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805\Desktop\正式开始！\"/>
    </mc:Choice>
  </mc:AlternateContent>
  <xr:revisionPtr revIDLastSave="0" documentId="13_ncr:1_{668000BA-79DC-45F3-9883-5D38164C55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5" r:id="rId1"/>
    <sheet name="Sheet1" sheetId="6" r:id="rId2"/>
  </sheets>
  <definedNames>
    <definedName name="_xlnm._FilterDatabase" localSheetId="0" hidden="1">data!$A$1:$AE$568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9" i="6" l="1"/>
  <c r="J379" i="6"/>
  <c r="K378" i="6"/>
  <c r="J378" i="6"/>
  <c r="K377" i="6"/>
  <c r="J377" i="6"/>
  <c r="K376" i="6"/>
  <c r="J376" i="6"/>
  <c r="K375" i="6"/>
  <c r="J375" i="6"/>
  <c r="K374" i="6"/>
  <c r="J374" i="6"/>
  <c r="K373" i="6"/>
  <c r="J373" i="6"/>
  <c r="K372" i="6"/>
  <c r="J372" i="6"/>
  <c r="K371" i="6"/>
  <c r="J371" i="6"/>
  <c r="K370" i="6"/>
  <c r="J370" i="6"/>
  <c r="K369" i="6"/>
  <c r="J369" i="6"/>
  <c r="K368" i="6"/>
  <c r="J368" i="6"/>
  <c r="K367" i="6"/>
  <c r="J367" i="6"/>
  <c r="K366" i="6"/>
  <c r="J366" i="6"/>
  <c r="K365" i="6"/>
  <c r="J365" i="6"/>
  <c r="K364" i="6"/>
  <c r="J364" i="6"/>
  <c r="K363" i="6"/>
  <c r="J363" i="6"/>
  <c r="K362" i="6"/>
  <c r="J362" i="6"/>
  <c r="K361" i="6"/>
  <c r="J361" i="6"/>
  <c r="K360" i="6"/>
  <c r="J360" i="6"/>
  <c r="K359" i="6"/>
  <c r="J359" i="6"/>
  <c r="K358" i="6"/>
  <c r="J358" i="6"/>
  <c r="K357" i="6"/>
  <c r="J357" i="6"/>
  <c r="K356" i="6"/>
  <c r="J356" i="6"/>
  <c r="K355" i="6"/>
  <c r="J355" i="6"/>
  <c r="K354" i="6"/>
  <c r="J354" i="6"/>
  <c r="K353" i="6"/>
  <c r="J353" i="6"/>
  <c r="K352" i="6"/>
  <c r="J352" i="6"/>
  <c r="K351" i="6"/>
  <c r="J351" i="6"/>
  <c r="K350" i="6"/>
  <c r="J350" i="6"/>
  <c r="K349" i="6"/>
  <c r="J349" i="6"/>
  <c r="K348" i="6"/>
  <c r="J348" i="6"/>
  <c r="K347" i="6"/>
  <c r="J347" i="6"/>
  <c r="K346" i="6"/>
  <c r="J346" i="6"/>
  <c r="K345" i="6"/>
  <c r="J345" i="6"/>
  <c r="K344" i="6"/>
  <c r="J344" i="6"/>
  <c r="K343" i="6"/>
  <c r="J343" i="6"/>
  <c r="K342" i="6"/>
  <c r="J342" i="6"/>
  <c r="K341" i="6"/>
  <c r="J341" i="6"/>
  <c r="K340" i="6"/>
  <c r="J340" i="6"/>
  <c r="K339" i="6"/>
  <c r="J339" i="6"/>
  <c r="K338" i="6"/>
  <c r="J338" i="6"/>
  <c r="K337" i="6"/>
  <c r="J337" i="6"/>
  <c r="K336" i="6"/>
  <c r="J336" i="6"/>
  <c r="K335" i="6"/>
  <c r="J335" i="6"/>
  <c r="K334" i="6"/>
  <c r="J334" i="6"/>
  <c r="K333" i="6"/>
  <c r="J333" i="6"/>
  <c r="K332" i="6"/>
  <c r="J332" i="6"/>
  <c r="K331" i="6"/>
  <c r="J331" i="6"/>
  <c r="K330" i="6"/>
  <c r="J330" i="6"/>
  <c r="K329" i="6"/>
  <c r="J329" i="6"/>
  <c r="K328" i="6"/>
  <c r="J328" i="6"/>
  <c r="K327" i="6"/>
  <c r="J327" i="6"/>
  <c r="K326" i="6"/>
  <c r="J326" i="6"/>
  <c r="K325" i="6"/>
  <c r="J325" i="6"/>
  <c r="K324" i="6"/>
  <c r="J324" i="6"/>
  <c r="K323" i="6"/>
  <c r="J323" i="6"/>
  <c r="K322" i="6"/>
  <c r="J322" i="6"/>
  <c r="K321" i="6"/>
  <c r="J321" i="6"/>
  <c r="K320" i="6"/>
  <c r="J320" i="6"/>
  <c r="K319" i="6"/>
  <c r="J319" i="6"/>
  <c r="K318" i="6"/>
  <c r="J318" i="6"/>
  <c r="K317" i="6"/>
  <c r="J317" i="6"/>
  <c r="K316" i="6"/>
  <c r="J316" i="6"/>
  <c r="K315" i="6"/>
  <c r="J315" i="6"/>
  <c r="K314" i="6"/>
  <c r="J314" i="6"/>
  <c r="K313" i="6"/>
  <c r="J313" i="6"/>
  <c r="K312" i="6"/>
  <c r="J312" i="6"/>
  <c r="K311" i="6"/>
  <c r="J311" i="6"/>
  <c r="K310" i="6"/>
  <c r="J310" i="6"/>
  <c r="K309" i="6"/>
  <c r="J309" i="6"/>
  <c r="K308" i="6"/>
  <c r="J308" i="6"/>
  <c r="K307" i="6"/>
  <c r="J307" i="6"/>
  <c r="K306" i="6"/>
  <c r="J306" i="6"/>
  <c r="K305" i="6"/>
  <c r="J305" i="6"/>
  <c r="K304" i="6"/>
  <c r="J304" i="6"/>
  <c r="K303" i="6"/>
  <c r="J303" i="6"/>
  <c r="K302" i="6"/>
  <c r="J302" i="6"/>
  <c r="K301" i="6"/>
  <c r="J301" i="6"/>
  <c r="K300" i="6"/>
  <c r="J300" i="6"/>
  <c r="K299" i="6"/>
  <c r="J299" i="6"/>
  <c r="K298" i="6"/>
  <c r="J298" i="6"/>
  <c r="K297" i="6"/>
  <c r="J297" i="6"/>
  <c r="K296" i="6"/>
  <c r="J296" i="6"/>
  <c r="K295" i="6"/>
  <c r="J295" i="6"/>
  <c r="K294" i="6"/>
  <c r="J294" i="6"/>
  <c r="K293" i="6"/>
  <c r="J293" i="6"/>
  <c r="K292" i="6"/>
  <c r="J292" i="6"/>
  <c r="K291" i="6"/>
  <c r="J291" i="6"/>
  <c r="K290" i="6"/>
  <c r="J290" i="6"/>
  <c r="K289" i="6"/>
  <c r="J289" i="6"/>
  <c r="K288" i="6"/>
  <c r="J288" i="6"/>
  <c r="K287" i="6"/>
  <c r="J287" i="6"/>
  <c r="K286" i="6"/>
  <c r="J286" i="6"/>
  <c r="K285" i="6"/>
  <c r="J285" i="6"/>
  <c r="K284" i="6"/>
  <c r="J284" i="6"/>
  <c r="K283" i="6"/>
  <c r="J283" i="6"/>
  <c r="K282" i="6"/>
  <c r="J282" i="6"/>
  <c r="K281" i="6"/>
  <c r="J281" i="6"/>
  <c r="K280" i="6"/>
  <c r="J280" i="6"/>
  <c r="K279" i="6"/>
  <c r="J279" i="6"/>
  <c r="K278" i="6"/>
  <c r="J278" i="6"/>
  <c r="K277" i="6"/>
  <c r="J277" i="6"/>
  <c r="K276" i="6"/>
  <c r="J276" i="6"/>
  <c r="K275" i="6"/>
  <c r="J275" i="6"/>
  <c r="K274" i="6"/>
  <c r="J274" i="6"/>
  <c r="K273" i="6"/>
  <c r="J273" i="6"/>
  <c r="K272" i="6"/>
  <c r="J272" i="6"/>
  <c r="K271" i="6"/>
  <c r="J271" i="6"/>
  <c r="K270" i="6"/>
  <c r="J270" i="6"/>
  <c r="K269" i="6"/>
  <c r="J269" i="6"/>
  <c r="K268" i="6"/>
  <c r="J268" i="6"/>
  <c r="K267" i="6"/>
  <c r="J267" i="6"/>
  <c r="K266" i="6"/>
  <c r="J266" i="6"/>
  <c r="K265" i="6"/>
  <c r="J265" i="6"/>
  <c r="K264" i="6"/>
  <c r="J264" i="6"/>
  <c r="K263" i="6"/>
  <c r="J263" i="6"/>
  <c r="K262" i="6"/>
  <c r="J262" i="6"/>
  <c r="K261" i="6"/>
  <c r="J261" i="6"/>
  <c r="K260" i="6"/>
  <c r="J260" i="6"/>
  <c r="K259" i="6"/>
  <c r="J259" i="6"/>
  <c r="K258" i="6"/>
  <c r="J258" i="6"/>
  <c r="K257" i="6"/>
  <c r="J257" i="6"/>
  <c r="K256" i="6"/>
  <c r="J256" i="6"/>
  <c r="K255" i="6"/>
  <c r="J255" i="6"/>
  <c r="K254" i="6"/>
  <c r="J254" i="6"/>
  <c r="K253" i="6"/>
  <c r="J253" i="6"/>
  <c r="K252" i="6"/>
  <c r="J252" i="6"/>
  <c r="K251" i="6"/>
  <c r="J251" i="6"/>
  <c r="K250" i="6"/>
  <c r="J250" i="6"/>
  <c r="K249" i="6"/>
  <c r="J249" i="6"/>
  <c r="K248" i="6"/>
  <c r="J248" i="6"/>
  <c r="K247" i="6"/>
  <c r="J247" i="6"/>
  <c r="K246" i="6"/>
  <c r="J246" i="6"/>
  <c r="K245" i="6"/>
  <c r="J245" i="6"/>
  <c r="K244" i="6"/>
  <c r="J244" i="6"/>
  <c r="K243" i="6"/>
  <c r="J243" i="6"/>
  <c r="K242" i="6"/>
  <c r="J242" i="6"/>
  <c r="K241" i="6"/>
  <c r="J241" i="6"/>
  <c r="K240" i="6"/>
  <c r="J240" i="6"/>
  <c r="K239" i="6"/>
  <c r="J239" i="6"/>
  <c r="K238" i="6"/>
  <c r="J238" i="6"/>
  <c r="K237" i="6"/>
  <c r="J237" i="6"/>
  <c r="K236" i="6"/>
  <c r="J236" i="6"/>
  <c r="K235" i="6"/>
  <c r="J235" i="6"/>
  <c r="K234" i="6"/>
  <c r="J234" i="6"/>
  <c r="K233" i="6"/>
  <c r="J233" i="6"/>
  <c r="K232" i="6"/>
  <c r="J232" i="6"/>
  <c r="K231" i="6"/>
  <c r="J231" i="6"/>
  <c r="K230" i="6"/>
  <c r="J230" i="6"/>
  <c r="K229" i="6"/>
  <c r="J229" i="6"/>
  <c r="K228" i="6"/>
  <c r="J228" i="6"/>
  <c r="K227" i="6"/>
  <c r="J227" i="6"/>
  <c r="K226" i="6"/>
  <c r="J226" i="6"/>
  <c r="K225" i="6"/>
  <c r="J225" i="6"/>
  <c r="K224" i="6"/>
  <c r="J224" i="6"/>
  <c r="K223" i="6"/>
  <c r="J223" i="6"/>
  <c r="K222" i="6"/>
  <c r="J222" i="6"/>
  <c r="K221" i="6"/>
  <c r="J221" i="6"/>
  <c r="K220" i="6"/>
  <c r="J220" i="6"/>
  <c r="K219" i="6"/>
  <c r="J219" i="6"/>
  <c r="K218" i="6"/>
  <c r="J218" i="6"/>
  <c r="K217" i="6"/>
  <c r="J217" i="6"/>
  <c r="K216" i="6"/>
  <c r="J216" i="6"/>
  <c r="K215" i="6"/>
  <c r="J215" i="6"/>
  <c r="K214" i="6"/>
  <c r="J214" i="6"/>
  <c r="K213" i="6"/>
  <c r="J213" i="6"/>
  <c r="K212" i="6"/>
  <c r="J212" i="6"/>
  <c r="K211" i="6"/>
  <c r="J211" i="6"/>
  <c r="K210" i="6"/>
  <c r="J210" i="6"/>
  <c r="K209" i="6"/>
  <c r="J209" i="6"/>
  <c r="K208" i="6"/>
  <c r="J208" i="6"/>
  <c r="K207" i="6"/>
  <c r="J207" i="6"/>
  <c r="K206" i="6"/>
  <c r="J206" i="6"/>
  <c r="K205" i="6"/>
  <c r="J205" i="6"/>
  <c r="K204" i="6"/>
  <c r="J204" i="6"/>
  <c r="K203" i="6"/>
  <c r="J203" i="6"/>
  <c r="K202" i="6"/>
  <c r="J202" i="6"/>
  <c r="K201" i="6"/>
  <c r="J201" i="6"/>
  <c r="K200" i="6"/>
  <c r="J200" i="6"/>
  <c r="K199" i="6"/>
  <c r="J199" i="6"/>
  <c r="K198" i="6"/>
  <c r="J198" i="6"/>
  <c r="K197" i="6"/>
  <c r="J197" i="6"/>
  <c r="K196" i="6"/>
  <c r="J196" i="6"/>
  <c r="K195" i="6"/>
  <c r="J195" i="6"/>
  <c r="K194" i="6"/>
  <c r="J194" i="6"/>
  <c r="K193" i="6"/>
  <c r="J193" i="6"/>
  <c r="K192" i="6"/>
  <c r="J192" i="6"/>
  <c r="K191" i="6"/>
  <c r="J191" i="6"/>
  <c r="K568" i="5"/>
  <c r="J568" i="5"/>
  <c r="K567" i="5"/>
  <c r="J567" i="5"/>
  <c r="K566" i="5"/>
  <c r="J566" i="5"/>
  <c r="K565" i="5"/>
  <c r="J565" i="5"/>
  <c r="K564" i="5"/>
  <c r="J564" i="5"/>
  <c r="K563" i="5"/>
  <c r="J563" i="5"/>
  <c r="K562" i="5"/>
  <c r="J562" i="5"/>
  <c r="K561" i="5"/>
  <c r="J561" i="5"/>
  <c r="K560" i="5"/>
  <c r="J560" i="5"/>
  <c r="K559" i="5"/>
  <c r="J559" i="5"/>
  <c r="K558" i="5"/>
  <c r="J558" i="5"/>
  <c r="K557" i="5"/>
  <c r="J557" i="5"/>
  <c r="K556" i="5"/>
  <c r="J556" i="5"/>
  <c r="K555" i="5"/>
  <c r="J555" i="5"/>
  <c r="K554" i="5"/>
  <c r="J554" i="5"/>
  <c r="K553" i="5"/>
  <c r="J553" i="5"/>
  <c r="K552" i="5"/>
  <c r="J552" i="5"/>
  <c r="K551" i="5"/>
  <c r="J551" i="5"/>
  <c r="K550" i="5"/>
  <c r="J550" i="5"/>
  <c r="K549" i="5"/>
  <c r="J549" i="5"/>
  <c r="K548" i="5"/>
  <c r="J548" i="5"/>
  <c r="K547" i="5"/>
  <c r="J547" i="5"/>
  <c r="K546" i="5"/>
  <c r="J546" i="5"/>
  <c r="K545" i="5"/>
  <c r="J545" i="5"/>
  <c r="K544" i="5"/>
  <c r="J544" i="5"/>
  <c r="K543" i="5"/>
  <c r="J543" i="5"/>
  <c r="K542" i="5"/>
  <c r="J542" i="5"/>
  <c r="K541" i="5"/>
  <c r="J541" i="5"/>
  <c r="K540" i="5"/>
  <c r="J540" i="5"/>
  <c r="K539" i="5"/>
  <c r="J539" i="5"/>
  <c r="K538" i="5"/>
  <c r="J538" i="5"/>
  <c r="K537" i="5"/>
  <c r="J537" i="5"/>
  <c r="K536" i="5"/>
  <c r="J536" i="5"/>
  <c r="K535" i="5"/>
  <c r="J535" i="5"/>
  <c r="K534" i="5"/>
  <c r="J534" i="5"/>
  <c r="K533" i="5"/>
  <c r="J533" i="5"/>
  <c r="K532" i="5"/>
  <c r="J532" i="5"/>
  <c r="K531" i="5"/>
  <c r="J531" i="5"/>
  <c r="K530" i="5"/>
  <c r="J530" i="5"/>
  <c r="K529" i="5"/>
  <c r="J529" i="5"/>
  <c r="K528" i="5"/>
  <c r="J528" i="5"/>
  <c r="K527" i="5"/>
  <c r="J527" i="5"/>
  <c r="K526" i="5"/>
  <c r="J526" i="5"/>
  <c r="K525" i="5"/>
  <c r="J525" i="5"/>
  <c r="K524" i="5"/>
  <c r="J524" i="5"/>
  <c r="K523" i="5"/>
  <c r="J523" i="5"/>
  <c r="K522" i="5"/>
  <c r="J522" i="5"/>
  <c r="K521" i="5"/>
  <c r="J521" i="5"/>
  <c r="K520" i="5"/>
  <c r="J520" i="5"/>
  <c r="K519" i="5"/>
  <c r="J519" i="5"/>
  <c r="K518" i="5"/>
  <c r="J518" i="5"/>
  <c r="K517" i="5"/>
  <c r="J517" i="5"/>
  <c r="K516" i="5"/>
  <c r="J516" i="5"/>
  <c r="K515" i="5"/>
  <c r="J515" i="5"/>
  <c r="K514" i="5"/>
  <c r="J514" i="5"/>
  <c r="K513" i="5"/>
  <c r="J513" i="5"/>
  <c r="K512" i="5"/>
  <c r="J512" i="5"/>
  <c r="K511" i="5"/>
  <c r="J511" i="5"/>
  <c r="K510" i="5"/>
  <c r="J510" i="5"/>
  <c r="K509" i="5"/>
  <c r="J509" i="5"/>
  <c r="K508" i="5"/>
  <c r="J508" i="5"/>
  <c r="K507" i="5"/>
  <c r="J507" i="5"/>
  <c r="K506" i="5"/>
  <c r="J506" i="5"/>
  <c r="K505" i="5"/>
  <c r="J505" i="5"/>
  <c r="K504" i="5"/>
  <c r="J504" i="5"/>
  <c r="K503" i="5"/>
  <c r="J503" i="5"/>
  <c r="K502" i="5"/>
  <c r="J502" i="5"/>
  <c r="K501" i="5"/>
  <c r="J501" i="5"/>
  <c r="K500" i="5"/>
  <c r="J500" i="5"/>
  <c r="K499" i="5"/>
  <c r="J499" i="5"/>
  <c r="K498" i="5"/>
  <c r="J498" i="5"/>
  <c r="K497" i="5"/>
  <c r="J497" i="5"/>
  <c r="K496" i="5"/>
  <c r="J496" i="5"/>
  <c r="K495" i="5"/>
  <c r="J495" i="5"/>
  <c r="K494" i="5"/>
  <c r="J494" i="5"/>
  <c r="K493" i="5"/>
  <c r="J493" i="5"/>
  <c r="K492" i="5"/>
  <c r="J492" i="5"/>
  <c r="K491" i="5"/>
  <c r="J491" i="5"/>
  <c r="K490" i="5"/>
  <c r="J490" i="5"/>
  <c r="K489" i="5"/>
  <c r="J489" i="5"/>
  <c r="K488" i="5"/>
  <c r="J488" i="5"/>
  <c r="K487" i="5"/>
  <c r="J487" i="5"/>
  <c r="K486" i="5"/>
  <c r="J486" i="5"/>
  <c r="K485" i="5"/>
  <c r="J485" i="5"/>
  <c r="K484" i="5"/>
  <c r="J484" i="5"/>
  <c r="K483" i="5"/>
  <c r="J483" i="5"/>
  <c r="K482" i="5"/>
  <c r="J482" i="5"/>
  <c r="K481" i="5"/>
  <c r="J481" i="5"/>
  <c r="K480" i="5"/>
  <c r="J480" i="5"/>
  <c r="K479" i="5"/>
  <c r="J479" i="5"/>
  <c r="K478" i="5"/>
  <c r="J478" i="5"/>
  <c r="K477" i="5"/>
  <c r="J477" i="5"/>
  <c r="K476" i="5"/>
  <c r="J476" i="5"/>
  <c r="K475" i="5"/>
  <c r="J475" i="5"/>
  <c r="K474" i="5"/>
  <c r="J474" i="5"/>
  <c r="K473" i="5"/>
  <c r="J473" i="5"/>
  <c r="K472" i="5"/>
  <c r="J472" i="5"/>
  <c r="K471" i="5"/>
  <c r="J471" i="5"/>
  <c r="K470" i="5"/>
  <c r="J470" i="5"/>
  <c r="K469" i="5"/>
  <c r="J469" i="5"/>
  <c r="K468" i="5"/>
  <c r="J468" i="5"/>
  <c r="K467" i="5"/>
  <c r="J467" i="5"/>
  <c r="K466" i="5"/>
  <c r="J466" i="5"/>
  <c r="K465" i="5"/>
  <c r="J46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K453" i="5"/>
  <c r="J453" i="5"/>
  <c r="K452" i="5"/>
  <c r="J452" i="5"/>
  <c r="K451" i="5"/>
  <c r="J451" i="5"/>
  <c r="K450" i="5"/>
  <c r="J450" i="5"/>
  <c r="K449" i="5"/>
  <c r="J449" i="5"/>
  <c r="K448" i="5"/>
  <c r="J448" i="5"/>
  <c r="K447" i="5"/>
  <c r="J447" i="5"/>
  <c r="K446" i="5"/>
  <c r="J446" i="5"/>
  <c r="K445" i="5"/>
  <c r="J445" i="5"/>
  <c r="K444" i="5"/>
  <c r="J444" i="5"/>
  <c r="K443" i="5"/>
  <c r="J443" i="5"/>
  <c r="K442" i="5"/>
  <c r="J442" i="5"/>
  <c r="K441" i="5"/>
  <c r="J441" i="5"/>
  <c r="K440" i="5"/>
  <c r="J440" i="5"/>
  <c r="K439" i="5"/>
  <c r="J439" i="5"/>
  <c r="K438" i="5"/>
  <c r="J438" i="5"/>
  <c r="K437" i="5"/>
  <c r="J437" i="5"/>
  <c r="K436" i="5"/>
  <c r="J436" i="5"/>
  <c r="K435" i="5"/>
  <c r="J435" i="5"/>
  <c r="K434" i="5"/>
  <c r="J434" i="5"/>
  <c r="K433" i="5"/>
  <c r="J433" i="5"/>
  <c r="K432" i="5"/>
  <c r="J432" i="5"/>
  <c r="K431" i="5"/>
  <c r="J431" i="5"/>
  <c r="K430" i="5"/>
  <c r="J430" i="5"/>
  <c r="K429" i="5"/>
  <c r="J429" i="5"/>
  <c r="K428" i="5"/>
  <c r="J428" i="5"/>
  <c r="K427" i="5"/>
  <c r="J427" i="5"/>
  <c r="K426" i="5"/>
  <c r="J426" i="5"/>
  <c r="K425" i="5"/>
  <c r="J425" i="5"/>
  <c r="K424" i="5"/>
  <c r="J424" i="5"/>
  <c r="K423" i="5"/>
  <c r="J423" i="5"/>
  <c r="K422" i="5"/>
  <c r="J422" i="5"/>
  <c r="K421" i="5"/>
  <c r="J421" i="5"/>
  <c r="K420" i="5"/>
  <c r="J420" i="5"/>
  <c r="K419" i="5"/>
  <c r="J419" i="5"/>
  <c r="K418" i="5"/>
  <c r="J418" i="5"/>
  <c r="K417" i="5"/>
  <c r="J417" i="5"/>
  <c r="K416" i="5"/>
  <c r="J416" i="5"/>
  <c r="K415" i="5"/>
  <c r="J415" i="5"/>
  <c r="K414" i="5"/>
  <c r="J414" i="5"/>
  <c r="K413" i="5"/>
  <c r="J413" i="5"/>
  <c r="K412" i="5"/>
  <c r="J412" i="5"/>
  <c r="K411" i="5"/>
  <c r="J411" i="5"/>
  <c r="K410" i="5"/>
  <c r="J410" i="5"/>
  <c r="K409" i="5"/>
  <c r="J409" i="5"/>
  <c r="K408" i="5"/>
  <c r="J408" i="5"/>
  <c r="K407" i="5"/>
  <c r="J407" i="5"/>
  <c r="K406" i="5"/>
  <c r="J406" i="5"/>
  <c r="K405" i="5"/>
  <c r="J405" i="5"/>
  <c r="K404" i="5"/>
  <c r="J404" i="5"/>
  <c r="K403" i="5"/>
  <c r="J403" i="5"/>
  <c r="K402" i="5"/>
  <c r="J402" i="5"/>
  <c r="K401" i="5"/>
  <c r="J401" i="5"/>
  <c r="K400" i="5"/>
  <c r="J400" i="5"/>
  <c r="K399" i="5"/>
  <c r="J399" i="5"/>
  <c r="K398" i="5"/>
  <c r="J398" i="5"/>
  <c r="K397" i="5"/>
  <c r="J397" i="5"/>
  <c r="K396" i="5"/>
  <c r="J396" i="5"/>
  <c r="K395" i="5"/>
  <c r="J395" i="5"/>
  <c r="K394" i="5"/>
  <c r="J394" i="5"/>
  <c r="K393" i="5"/>
  <c r="J393" i="5"/>
  <c r="K392" i="5"/>
  <c r="J392" i="5"/>
  <c r="K391" i="5"/>
  <c r="J391" i="5"/>
  <c r="K390" i="5"/>
  <c r="J390" i="5"/>
  <c r="K389" i="5"/>
  <c r="J389" i="5"/>
  <c r="K388" i="5"/>
  <c r="J388" i="5"/>
  <c r="K387" i="5"/>
  <c r="J387" i="5"/>
  <c r="K386" i="5"/>
  <c r="J386" i="5"/>
  <c r="K385" i="5"/>
  <c r="J385" i="5"/>
  <c r="K384" i="5"/>
  <c r="J384" i="5"/>
  <c r="K383" i="5"/>
  <c r="J383" i="5"/>
  <c r="K382" i="5"/>
  <c r="J382" i="5"/>
  <c r="K381" i="5"/>
  <c r="J381" i="5"/>
  <c r="K380" i="5"/>
  <c r="J380" i="5"/>
  <c r="K379" i="5"/>
  <c r="J379" i="5"/>
  <c r="K378" i="5"/>
  <c r="J378" i="5"/>
  <c r="K377" i="5"/>
  <c r="J377" i="5"/>
  <c r="K376" i="5"/>
  <c r="J376" i="5"/>
  <c r="K375" i="5"/>
  <c r="J375" i="5"/>
  <c r="K374" i="5"/>
  <c r="J374" i="5"/>
  <c r="K373" i="5"/>
  <c r="J373" i="5"/>
  <c r="K372" i="5"/>
  <c r="J372" i="5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</calcChain>
</file>

<file path=xl/sharedStrings.xml><?xml version="1.0" encoding="utf-8"?>
<sst xmlns="http://schemas.openxmlformats.org/spreadsheetml/2006/main" count="2897" uniqueCount="602">
  <si>
    <t>债券代码</t>
  </si>
  <si>
    <t>发行人</t>
  </si>
  <si>
    <t>所属行业(Wind)</t>
  </si>
  <si>
    <t>总资产报酬率</t>
  </si>
  <si>
    <t>净资产收益率ROE</t>
  </si>
  <si>
    <t>营业利润率</t>
  </si>
  <si>
    <t>流动比率</t>
  </si>
  <si>
    <t>速动比率</t>
  </si>
  <si>
    <t>现金比率</t>
  </si>
  <si>
    <t>存货周转率</t>
  </si>
  <si>
    <t>流动资产周转率</t>
  </si>
  <si>
    <t>固定资产周转率</t>
  </si>
  <si>
    <t>总资产周转率</t>
  </si>
  <si>
    <t>应收账款周转率</t>
  </si>
  <si>
    <t>营业收入增长率</t>
  </si>
  <si>
    <t>净利润增长率</t>
  </si>
  <si>
    <t>总资产增长率</t>
  </si>
  <si>
    <t>净资产增长率</t>
  </si>
  <si>
    <t>资产负债率</t>
  </si>
  <si>
    <t>是否违约</t>
  </si>
  <si>
    <t>40695.HK</t>
  </si>
  <si>
    <t>163023.SH</t>
  </si>
  <si>
    <t>167902.SH</t>
  </si>
  <si>
    <t>122494.SH</t>
  </si>
  <si>
    <t>166346.SH</t>
  </si>
  <si>
    <t>149256.SZ</t>
  </si>
  <si>
    <t>175172.SH</t>
  </si>
  <si>
    <t>101767003.IB</t>
  </si>
  <si>
    <t>101767007.IB</t>
  </si>
  <si>
    <t>146585.SH</t>
  </si>
  <si>
    <t>155120.SH</t>
  </si>
  <si>
    <t>125616.SH</t>
  </si>
  <si>
    <t>162696.SH</t>
  </si>
  <si>
    <t>101801439.IB</t>
  </si>
  <si>
    <t>101659069.IB</t>
  </si>
  <si>
    <t>137050.SH</t>
  </si>
  <si>
    <t>150862.SH</t>
  </si>
  <si>
    <t>101759003.IB</t>
  </si>
  <si>
    <t>118430.SZ</t>
  </si>
  <si>
    <t>101801300.IB</t>
  </si>
  <si>
    <t>101801204.IB</t>
  </si>
  <si>
    <t>112782.SZ</t>
  </si>
  <si>
    <t>136705.SH</t>
  </si>
  <si>
    <t>143818.SH</t>
  </si>
  <si>
    <t>101754107.IB</t>
  </si>
  <si>
    <t>118535.SZ</t>
  </si>
  <si>
    <t>101800839.IB</t>
  </si>
  <si>
    <t>114357.SZ</t>
  </si>
  <si>
    <t>122405.SH</t>
  </si>
  <si>
    <t>167260.SH</t>
  </si>
  <si>
    <t>114354.SZ</t>
  </si>
  <si>
    <t>112600.SZ</t>
  </si>
  <si>
    <t>112399.SZ</t>
  </si>
  <si>
    <t>101674002.IB</t>
  </si>
  <si>
    <t>143603.SH</t>
  </si>
  <si>
    <t>101800477.IB</t>
  </si>
  <si>
    <t>011902068.IB</t>
  </si>
  <si>
    <t>122071.SH</t>
  </si>
  <si>
    <t>114304.SZ</t>
  </si>
  <si>
    <t>031800806.IB</t>
  </si>
  <si>
    <t>155090.SH</t>
  </si>
  <si>
    <t>101900346.IB</t>
  </si>
  <si>
    <t>114274.SZ</t>
  </si>
  <si>
    <t>012000912.IB</t>
  </si>
  <si>
    <t>114268.SZ</t>
  </si>
  <si>
    <t>101778004.IB</t>
  </si>
  <si>
    <t>136058.SH</t>
  </si>
  <si>
    <t>155739.SH</t>
  </si>
  <si>
    <t>166202.SH</t>
  </si>
  <si>
    <t>011901268.IB</t>
  </si>
  <si>
    <t>143376.SH</t>
  </si>
  <si>
    <t>136033.SH</t>
  </si>
  <si>
    <t>143387.SH</t>
  </si>
  <si>
    <t>137062.SH</t>
  </si>
  <si>
    <t>101900660.IB</t>
  </si>
  <si>
    <t>112467.SZ</t>
  </si>
  <si>
    <t>114219.SZ</t>
  </si>
  <si>
    <t>101560055.IB</t>
  </si>
  <si>
    <t>011900659.IB</t>
  </si>
  <si>
    <t>143683.SH</t>
  </si>
  <si>
    <t>011902819.IB</t>
  </si>
  <si>
    <t>101754083.IB</t>
  </si>
  <si>
    <t>112553.SZ</t>
  </si>
  <si>
    <t>101753016.IB</t>
  </si>
  <si>
    <t>101651033.IB</t>
  </si>
  <si>
    <t>101560002.IB</t>
  </si>
  <si>
    <t>112505.SZ</t>
  </si>
  <si>
    <t>136291.SH</t>
  </si>
  <si>
    <t>081800037.IB</t>
  </si>
  <si>
    <t>112496.SZ</t>
  </si>
  <si>
    <t>143447.SH</t>
  </si>
  <si>
    <t>011900800.IB</t>
  </si>
  <si>
    <t>114098.SZ</t>
  </si>
  <si>
    <t>101801478.IB</t>
  </si>
  <si>
    <t>150055.SH</t>
  </si>
  <si>
    <t>150056.SH</t>
  </si>
  <si>
    <t>101673011.IB</t>
  </si>
  <si>
    <t>112494.SZ</t>
  </si>
  <si>
    <t>117063.SZ</t>
  </si>
  <si>
    <t>136871.SH</t>
  </si>
  <si>
    <t>117108.SZ</t>
  </si>
  <si>
    <t>143429.SH</t>
  </si>
  <si>
    <t>122346.SH</t>
  </si>
  <si>
    <t>145206.SH</t>
  </si>
  <si>
    <t>011900493.IB</t>
  </si>
  <si>
    <t>136759.SH</t>
  </si>
  <si>
    <t>101789001.IB</t>
  </si>
  <si>
    <t>150922.SH</t>
  </si>
  <si>
    <t>136794.SH</t>
  </si>
  <si>
    <t>136821.SH</t>
  </si>
  <si>
    <t>136786.SH</t>
  </si>
  <si>
    <t>114290.SZ</t>
  </si>
  <si>
    <t>112154.SZ</t>
  </si>
  <si>
    <t>145824.SH</t>
  </si>
  <si>
    <t>112227.SZ</t>
  </si>
  <si>
    <t>135850.SH</t>
  </si>
  <si>
    <t>135250.SH</t>
  </si>
  <si>
    <t>112433.SZ</t>
  </si>
  <si>
    <t>150570.SH</t>
  </si>
  <si>
    <t>112417.SZ</t>
  </si>
  <si>
    <t>101758003.IB</t>
  </si>
  <si>
    <t>143150.SH</t>
  </si>
  <si>
    <t>114130.SZ</t>
  </si>
  <si>
    <t>118588.SZ</t>
  </si>
  <si>
    <t>143040.SH</t>
  </si>
  <si>
    <t>1280038.IB</t>
  </si>
  <si>
    <t>101762004.IB</t>
  </si>
  <si>
    <t>101662006.IB</t>
  </si>
  <si>
    <t>136125.SH</t>
  </si>
  <si>
    <t>112326.SZ</t>
  </si>
  <si>
    <t>031784012.IB</t>
  </si>
  <si>
    <t>112308.SZ</t>
  </si>
  <si>
    <t>011800533.IB</t>
  </si>
  <si>
    <t>011800490.IB</t>
  </si>
  <si>
    <t>011800431.IB</t>
  </si>
  <si>
    <t>011800353.IB</t>
  </si>
  <si>
    <t>112510.SZ</t>
  </si>
  <si>
    <t>101464003.IB</t>
  </si>
  <si>
    <t>145187.SH</t>
  </si>
  <si>
    <t>143391.SH</t>
  </si>
  <si>
    <t>136817.SH</t>
  </si>
  <si>
    <t>143362.SH</t>
  </si>
  <si>
    <t>145069.SH</t>
  </si>
  <si>
    <t>122541.SH</t>
  </si>
  <si>
    <t>136695.SH</t>
  </si>
  <si>
    <t>041755017.IB</t>
  </si>
  <si>
    <t>112276.SZ</t>
  </si>
  <si>
    <t>125877.SH</t>
  </si>
  <si>
    <t>118337.SZ</t>
  </si>
  <si>
    <t>101364001.IB</t>
  </si>
  <si>
    <t>118579.SZ</t>
  </si>
  <si>
    <t>1282487.IB</t>
  </si>
  <si>
    <t>516022.GSE</t>
  </si>
  <si>
    <t>101473011.IB</t>
  </si>
  <si>
    <t>72002204.XEE</t>
  </si>
  <si>
    <t>031490870.IB</t>
  </si>
  <si>
    <t>041564104.IB</t>
  </si>
  <si>
    <t>031390443.IB</t>
  </si>
  <si>
    <t>1282542.IB</t>
  </si>
  <si>
    <t>011699358.IB</t>
  </si>
  <si>
    <t>041564082.IB</t>
  </si>
  <si>
    <t>118253.SZ</t>
  </si>
  <si>
    <t>110038.GBG</t>
  </si>
  <si>
    <t>51501304.GSE</t>
  </si>
  <si>
    <t>041551020.IB</t>
  </si>
  <si>
    <t>1182159.IB</t>
  </si>
  <si>
    <t>1182127.IB</t>
  </si>
  <si>
    <t>118245.SZ</t>
  </si>
  <si>
    <t>031290117.IB</t>
  </si>
  <si>
    <t>118165.SZ</t>
  </si>
  <si>
    <t>1280443.IB</t>
  </si>
  <si>
    <t>125172.SH</t>
  </si>
  <si>
    <t>088047.IB</t>
  </si>
  <si>
    <t>1082180.IB</t>
  </si>
  <si>
    <t>金科地产集团股份有限公司</t>
  </si>
  <si>
    <t>北京鸿坤伟业房地产开发有限公司</t>
  </si>
  <si>
    <t>广西万通房地产有限公司</t>
  </si>
  <si>
    <t>华夏幸福基业股份有限公司</t>
  </si>
  <si>
    <t>鸿达兴业集团有限公司</t>
  </si>
  <si>
    <t>阳光城集团股份有限公司</t>
  </si>
  <si>
    <t>华夏幸福基业控股股份公司</t>
  </si>
  <si>
    <t>新华联控股有限公司</t>
  </si>
  <si>
    <t>中融新大集团有限公司</t>
  </si>
  <si>
    <t>哈尔滨工大高新技术产业开发股份有限公司,潍坊银行股份有限公司</t>
  </si>
  <si>
    <t>北京华业资本控股股份有限公司</t>
  </si>
  <si>
    <t>四川蓝光发展股份有限公司</t>
  </si>
  <si>
    <t>福建阳光集团有限公司</t>
  </si>
  <si>
    <t>东旭光电科技股份有限公司</t>
  </si>
  <si>
    <t>康美实业投资控股有限公司</t>
  </si>
  <si>
    <t>康得新复合材料集团股份有限公司</t>
  </si>
  <si>
    <t>国广环球传媒控股有限公司</t>
  </si>
  <si>
    <t>山东岚桥集团有限公司</t>
  </si>
  <si>
    <t>北京桑德环境工程有限公司</t>
  </si>
  <si>
    <t>东旭集团有限公司</t>
  </si>
  <si>
    <t>重庆协信远创实业有限公司</t>
  </si>
  <si>
    <t>山东如意科技集团有限公司</t>
  </si>
  <si>
    <t>康美药业股份有限公司</t>
  </si>
  <si>
    <t>雏鹰农牧集团股份有限公司</t>
  </si>
  <si>
    <t>洛娃科技实业集团有限公司</t>
  </si>
  <si>
    <t>泰禾集团股份有限公司</t>
  </si>
  <si>
    <t>宜华生活科技股份有限公司</t>
  </si>
  <si>
    <t>北讯集团股份有限公司</t>
  </si>
  <si>
    <t>上海巴安水务股份有限公司</t>
  </si>
  <si>
    <t>阳光凯迪新能源集团有限公司</t>
  </si>
  <si>
    <t>隆鑫控股有限公司</t>
  </si>
  <si>
    <t>同济堂医药有限公司</t>
  </si>
  <si>
    <t>三亚凤凰国际机场有限责任公司</t>
  </si>
  <si>
    <t>海南航空控股股份有限公司</t>
  </si>
  <si>
    <t>华讯方舟科技有限公司</t>
  </si>
  <si>
    <t>紫光集团有限公司</t>
  </si>
  <si>
    <t>福建福晟集团有限公司</t>
  </si>
  <si>
    <t>郴州市金贵银业股份有限公司</t>
  </si>
  <si>
    <t>南京建工产业集团有限公司</t>
  </si>
  <si>
    <t>永泰能源股份有限公司</t>
  </si>
  <si>
    <t>宜华企业(集团)有限公司</t>
  </si>
  <si>
    <t>宁夏远高实业集团有限公司</t>
  </si>
  <si>
    <t>华晨汽车集团控股有限公司</t>
  </si>
  <si>
    <t>成龙建设集团有限公司</t>
  </si>
  <si>
    <t>甘肃刚泰控股(集团)股份有限公司</t>
  </si>
  <si>
    <t>河南豫联能源集团有限责任公司</t>
  </si>
  <si>
    <t>天广中茂股份有限公司</t>
  </si>
  <si>
    <t>通用技术集团沈阳机床有限责任公司</t>
  </si>
  <si>
    <t>海口美兰国际机场有限责任公司</t>
  </si>
  <si>
    <t>铁牛集团有限公司</t>
  </si>
  <si>
    <t>青海盐湖工业股份有限公司</t>
  </si>
  <si>
    <t>中国吉林森林工业集团有限责任公司</t>
  </si>
  <si>
    <t>金洲慈航集团股份有限公司</t>
  </si>
  <si>
    <t>力帆科技(集团)股份有限公司</t>
  </si>
  <si>
    <t>北京北大科技园建设开发有限公司</t>
  </si>
  <si>
    <t>天娱数字科技(大连)集团股份有限公司</t>
  </si>
  <si>
    <t>重庆力帆控股有限公司</t>
  </si>
  <si>
    <t>西王集团有限公司</t>
  </si>
  <si>
    <t>安徽省华安外经建设(集团)有限公司</t>
  </si>
  <si>
    <t>天津融诚物产能源资源发展有限公司</t>
  </si>
  <si>
    <t>青海省投资集团有限公司</t>
  </si>
  <si>
    <t>中信国安集团有限公司</t>
  </si>
  <si>
    <t>凯迪生态环境科技股份有限公司</t>
  </si>
  <si>
    <t>神雾科技集团股份有限公司</t>
  </si>
  <si>
    <t>山东玉皇化工有限公司</t>
  </si>
  <si>
    <t>龙跃实业集团有限公司</t>
  </si>
  <si>
    <t>三鼎控股集团有限公司</t>
  </si>
  <si>
    <t>贵人鸟股份有限公司</t>
  </si>
  <si>
    <t>江苏保千里视像科技集团股份有限公司</t>
  </si>
  <si>
    <t>北大方正集团有限公司</t>
  </si>
  <si>
    <t>三胞集团有限公司</t>
  </si>
  <si>
    <t>精功集团有限公司</t>
  </si>
  <si>
    <t>哈尔滨秋林集团股份有限公司</t>
  </si>
  <si>
    <t>中国华阳经贸集团有限公司</t>
  </si>
  <si>
    <t>中安科股份有限公司</t>
  </si>
  <si>
    <t>华泰汽车集团有限公司</t>
  </si>
  <si>
    <t>刚泰集团有限公司</t>
  </si>
  <si>
    <t>吉林利源精制股份有限公司</t>
  </si>
  <si>
    <t>正源房地产开发有限公司</t>
  </si>
  <si>
    <t>庞大汽贸集团股份有限公司</t>
  </si>
  <si>
    <t>山子高科技股份有限公司</t>
  </si>
  <si>
    <t>天津市浩通物产有限公司</t>
  </si>
  <si>
    <t>国购投资有限公司</t>
  </si>
  <si>
    <t>江苏宏图高科技股份有限公司</t>
  </si>
  <si>
    <t>大连金玛商城企业集团有限公司</t>
  </si>
  <si>
    <t>大连天宝绿色食品股份有限公司</t>
  </si>
  <si>
    <t>成都天翔环境股份有限公司</t>
  </si>
  <si>
    <t>东方金钰股份有限公司</t>
  </si>
  <si>
    <t>华盛江泉集团有限公司</t>
  </si>
  <si>
    <t>印纪娱乐传媒股份有限公司</t>
  </si>
  <si>
    <t>金鸿控股集团股份有限公司</t>
  </si>
  <si>
    <t>中弘控股股份有限公司</t>
  </si>
  <si>
    <t>永泰集团有限公司</t>
  </si>
  <si>
    <t>安徽盛运环保(集团)股份有限公司</t>
  </si>
  <si>
    <t>山东金茂纺织化工集团有限公司</t>
  </si>
  <si>
    <t>东辰控股集团有限公司</t>
  </si>
  <si>
    <t>同益实业集团有限公司</t>
  </si>
  <si>
    <t>宁夏上陵实业(集团)有限公司</t>
  </si>
  <si>
    <t>中融双创(北京)科技集团有限公司</t>
  </si>
  <si>
    <t>中城投集团第六工程局有限公司</t>
  </si>
  <si>
    <t>乐视网信息技术(北京)股份有限公司</t>
  </si>
  <si>
    <t>内蒙古博源控股集团有限公司</t>
  </si>
  <si>
    <t>神雾环保技术股份有限公司</t>
  </si>
  <si>
    <t>甘肃宏良皮业股份有限公司</t>
  </si>
  <si>
    <t>丹东临港集团有限公司</t>
  </si>
  <si>
    <t>陕西通海绒业股份有限公司</t>
  </si>
  <si>
    <t>四川省煤炭产业集团有限责任公司</t>
  </si>
  <si>
    <t>大连机床集团有限责任公司</t>
  </si>
  <si>
    <t>中国城市建设控股集团有限公司</t>
  </si>
  <si>
    <t>武汉国裕物流产业集团有限公司</t>
  </si>
  <si>
    <t>河南佳源乳业股份有限公司</t>
  </si>
  <si>
    <t>东兴金满堂商贸有限公司</t>
  </si>
  <si>
    <t>甘肃华协农业生物科技股份有限公司</t>
  </si>
  <si>
    <t>春和集团有限公司</t>
  </si>
  <si>
    <t>保定天威英利新能源有限公司</t>
  </si>
  <si>
    <t>保定天威集团有限公司</t>
  </si>
  <si>
    <t>江苏中联物流股份有限公司</t>
  </si>
  <si>
    <t>陕西国德电气制造有限公司</t>
  </si>
  <si>
    <t>四川圣达集团有限公司</t>
  </si>
  <si>
    <t>莒南县鸿润食品有限公司</t>
  </si>
  <si>
    <t>国机重型装备集团股份有限公司</t>
  </si>
  <si>
    <t>房地产--房地产Ⅱ--房地产管理和开发--房地产开发</t>
  </si>
  <si>
    <t>房地产--房地产Ⅱ--房地产管理和开发--房地产经营公司</t>
  </si>
  <si>
    <t>材料--材料Ⅱ--化工--基础化工</t>
  </si>
  <si>
    <t>工业--资本货物--综合类Ⅲ--综合类行业</t>
  </si>
  <si>
    <t>工业--资本货物--贸易公司与工业品经销商Ⅲ--贸易公司与工业品经销商</t>
  </si>
  <si>
    <t>信息技术--软件与服务--信息技术服务--信息科技咨询与其它服务</t>
  </si>
  <si>
    <t>信息技术--技术硬件与设备--电子设备、仪器和元件--电子元件</t>
  </si>
  <si>
    <t>医疗保健--制药、生物科技与生命科学--制药--中药</t>
  </si>
  <si>
    <t>可选消费--媒体Ⅱ--媒体Ⅲ--出版</t>
  </si>
  <si>
    <t>能源--能源Ⅱ--石油、天然气与供消费用燃料--石油与天然气的炼制和销售</t>
  </si>
  <si>
    <t>公用事业--公用事业Ⅱ--水务Ⅲ--水务</t>
  </si>
  <si>
    <t>可选消费--耐用消费品与服装--纺织品、服装与奢侈品--纺织品</t>
  </si>
  <si>
    <t>日常消费--食品、饮料与烟草--食品--食品加工与肉类</t>
  </si>
  <si>
    <t>可选消费--耐用消费品与服装--家庭耐用消费品--家庭装饰品</t>
  </si>
  <si>
    <t>工业--资本货物--建筑产品Ⅲ--建筑产品</t>
  </si>
  <si>
    <t>工业--商业和专业服务--商业服务与用品--环境与设施服务</t>
  </si>
  <si>
    <t>工业--资本货物--建筑与工程Ⅲ--建筑与工程</t>
  </si>
  <si>
    <t>可选消费--汽车与汽车零部件--汽车--摩托车制造</t>
  </si>
  <si>
    <t>工业--运输--交通基础设施--机场服务</t>
  </si>
  <si>
    <t>工业--运输--航空Ⅲ--航空</t>
  </si>
  <si>
    <t>信息技术--技术硬件与设备--电子设备、仪器和元件--电子设备和仪器</t>
  </si>
  <si>
    <t>信息技术--技术硬件与设备--通信设备Ⅲ--通信设备</t>
  </si>
  <si>
    <t>材料--材料Ⅱ--金属、非金属与采矿--白银</t>
  </si>
  <si>
    <t>公用事业--公用事业Ⅱ--电力Ⅲ--电力</t>
  </si>
  <si>
    <t>可选消费--耐用消费品与服装--家庭耐用消费品--家用器具与特殊消费品</t>
  </si>
  <si>
    <t>材料--材料Ⅱ--金属、非金属与采矿--贵金属与矿石</t>
  </si>
  <si>
    <t>可选消费--汽车与汽车零部件--汽车--汽车制造</t>
  </si>
  <si>
    <t>可选消费--耐用消费品与服装--纺织品、服装与奢侈品--服装、服饰与奢侈品</t>
  </si>
  <si>
    <t>材料--材料Ⅱ--金属、非金属与采矿--铝</t>
  </si>
  <si>
    <t>工业--资本货物--机械--工业机械</t>
  </si>
  <si>
    <t>材料--材料Ⅱ--化工--化肥与农用化工</t>
  </si>
  <si>
    <t>材料--材料Ⅱ--纸与林木产品--林木产品</t>
  </si>
  <si>
    <t>信息技术--软件与服务--软件--家庭娱乐软件</t>
  </si>
  <si>
    <t>能源--能源Ⅱ--石油、天然气与供消费用燃料--煤炭与消费用燃料</t>
  </si>
  <si>
    <t>材料--材料Ⅱ--金属、非金属与采矿--金属非金属</t>
  </si>
  <si>
    <t>公用事业--公用事业Ⅱ--独立电力生产商与能源贸易商Ⅲ--新能源发电业者</t>
  </si>
  <si>
    <t>工业--商业和专业服务--专业服务--调查和咨询服务</t>
  </si>
  <si>
    <t>信息技术--软件与服务--互联网软件与服务Ⅲ--互联网软件与服务</t>
  </si>
  <si>
    <t>可选消费--零售业--专营零售--电脑与电子产品零售</t>
  </si>
  <si>
    <t>可选消费--零售业--多元化零售--百货商店</t>
  </si>
  <si>
    <t>可选消费--零售业--互联网与售货目录零售--售货目录零售</t>
  </si>
  <si>
    <t>可选消费--汽车与汽车零部件--汽车零配件--机动车零配件与设备</t>
  </si>
  <si>
    <t>材料--材料Ⅱ--金属、非金属与采矿--黄金</t>
  </si>
  <si>
    <t>可选消费--零售业--专营零售--汽车零售</t>
  </si>
  <si>
    <t>可选消费--零售业--多元化零售--综合货品商店</t>
  </si>
  <si>
    <t>可选消费--媒体Ⅱ--媒体Ⅲ--广告</t>
  </si>
  <si>
    <t>公用事业--公用事业Ⅱ--燃气Ⅲ--燃气</t>
  </si>
  <si>
    <t>工业--运输--交通基础设施--海港与服务</t>
  </si>
  <si>
    <t>工业--运输--航空货运与物流Ⅲ--航空货运与物流</t>
  </si>
  <si>
    <t>日常消费--食品、饮料与烟草--食品--农产品</t>
  </si>
  <si>
    <t>工业--资本货物--机械--建筑机械与重型卡车</t>
  </si>
  <si>
    <t>信息技术--半导体与半导体生产设备--半导体产品与半导体设备--半导体产品</t>
  </si>
  <si>
    <t>工业--资本货物--电气设备--电气部件与设备</t>
  </si>
  <si>
    <t>000830.SZ</t>
  </si>
  <si>
    <t>鲁西化工集团股份有限公司</t>
  </si>
  <si>
    <t>002037.SZ</t>
  </si>
  <si>
    <t>保利联合化工控股集团股份有限公司</t>
  </si>
  <si>
    <t>002092.SZ</t>
  </si>
  <si>
    <t>新疆中泰化学股份有限公司</t>
  </si>
  <si>
    <t>600277.SH</t>
  </si>
  <si>
    <t>亿利洁能股份有限公司</t>
  </si>
  <si>
    <t>600309.SH</t>
  </si>
  <si>
    <t>万华化学集团股份有限公司</t>
  </si>
  <si>
    <t>600409.SH</t>
  </si>
  <si>
    <t>唐山三友化工股份有限公司</t>
  </si>
  <si>
    <t>万华化学集团股份有限公司</t>
    <phoneticPr fontId="2" type="noConversion"/>
  </si>
  <si>
    <t>002237.SZ</t>
  </si>
  <si>
    <t>山东恒邦冶炼股份有限公司</t>
  </si>
  <si>
    <t>600547.SH</t>
  </si>
  <si>
    <t>山东黄金矿业股份有限公司</t>
  </si>
  <si>
    <t>000878.SZ</t>
  </si>
  <si>
    <t>云南铜业股份有限公司</t>
  </si>
  <si>
    <t>600362.SH</t>
  </si>
  <si>
    <t>江西铜业股份有限公司</t>
  </si>
  <si>
    <t>601600.SH</t>
  </si>
  <si>
    <t>中国铝业股份有限公司</t>
  </si>
  <si>
    <t>600567.SH</t>
  </si>
  <si>
    <t>山鹰国际控股股份公司</t>
  </si>
  <si>
    <t>材料--材料Ⅱ--纸与林木产品--纸制品</t>
  </si>
  <si>
    <t>002344.SZ</t>
  </si>
  <si>
    <t>海宁中国皮革城股份有限公司</t>
  </si>
  <si>
    <t>000031.SZ</t>
  </si>
  <si>
    <t>大悦城控股集团股份有限公司</t>
  </si>
  <si>
    <t>000402.SZ</t>
  </si>
  <si>
    <t>金融街控股股份有限公司</t>
  </si>
  <si>
    <t>000540.SZ</t>
  </si>
  <si>
    <t>中天金融集团股份有限公司</t>
  </si>
  <si>
    <t>000736.SZ</t>
  </si>
  <si>
    <t>中交地产股份有限公司</t>
  </si>
  <si>
    <t>000961.SZ</t>
  </si>
  <si>
    <t>江苏中南建设集团股份有限公司</t>
  </si>
  <si>
    <t>001979.SZ</t>
  </si>
  <si>
    <t>招商局蛇口工业区控股股份有限公司</t>
  </si>
  <si>
    <t>002146.SZ</t>
  </si>
  <si>
    <t>荣盛房地产发展股份有限公司</t>
  </si>
  <si>
    <t>002208.SZ</t>
  </si>
  <si>
    <t>合肥城建发展股份有限公司</t>
  </si>
  <si>
    <t>000517.SZ</t>
  </si>
  <si>
    <t>荣安地产股份有限公司</t>
  </si>
  <si>
    <t>002244.SZ</t>
  </si>
  <si>
    <t>杭州滨江房产集团股份有限公司</t>
  </si>
  <si>
    <t>600048.SH</t>
  </si>
  <si>
    <t>保利发展控股集团股份有限公司</t>
  </si>
  <si>
    <t>600077.SH</t>
  </si>
  <si>
    <t>宋都基业投资股份有限公司</t>
  </si>
  <si>
    <t>600094.SH</t>
  </si>
  <si>
    <t>上海大名城企业股份有限公司</t>
  </si>
  <si>
    <t>600162.SH</t>
  </si>
  <si>
    <t>深圳香江控股股份有限公司</t>
  </si>
  <si>
    <t>600325.SH</t>
  </si>
  <si>
    <t>珠海华发实业股份有限公司</t>
  </si>
  <si>
    <t>000826.SZ</t>
  </si>
  <si>
    <t>启迪环境科技发展股份有限公司</t>
  </si>
  <si>
    <t>000885.SZ</t>
  </si>
  <si>
    <t>城发环境股份有限公司</t>
  </si>
  <si>
    <t>002310.SZ</t>
  </si>
  <si>
    <t>北京东方园林环境股份有限公司</t>
  </si>
  <si>
    <t>002573.SZ</t>
  </si>
  <si>
    <t>北京清新环境技术股份有限公司</t>
  </si>
  <si>
    <t>002672.SZ</t>
  </si>
  <si>
    <t>东江环保股份有限公司</t>
  </si>
  <si>
    <t>600323.SH</t>
  </si>
  <si>
    <t>瀚蓝环境股份有限公司</t>
  </si>
  <si>
    <t>300732.SZ</t>
  </si>
  <si>
    <t>河南省交通规划设计研究院股份有限公司</t>
  </si>
  <si>
    <t>600029.SH</t>
  </si>
  <si>
    <t>中国南方航空股份有限公司</t>
  </si>
  <si>
    <t>600115.SH</t>
  </si>
  <si>
    <t>中国东方航空股份有限公司</t>
  </si>
  <si>
    <t>002120.SZ</t>
  </si>
  <si>
    <t>韵达控股股份有限公司</t>
  </si>
  <si>
    <t>002468.SZ</t>
  </si>
  <si>
    <t>申通快递股份有限公司</t>
  </si>
  <si>
    <t>000900.SZ</t>
  </si>
  <si>
    <t>现代投资股份有限公司</t>
  </si>
  <si>
    <t>工业--运输--交通基础设施--公路与铁路</t>
  </si>
  <si>
    <t>600020.SH</t>
  </si>
  <si>
    <t>河南中原高速公路股份有限公司</t>
  </si>
  <si>
    <t>600017.SH</t>
  </si>
  <si>
    <t>日照港股份有限公司</t>
  </si>
  <si>
    <t>601018.SH</t>
  </si>
  <si>
    <t>宁波舟山港股份有限公司</t>
  </si>
  <si>
    <t>000400.SZ</t>
  </si>
  <si>
    <t>许继电气股份有限公司</t>
  </si>
  <si>
    <t>002074.SZ</t>
  </si>
  <si>
    <t>国轩高科股份有限公司</t>
  </si>
  <si>
    <t>002169.SZ</t>
  </si>
  <si>
    <t>广州智光电气股份有限公司</t>
  </si>
  <si>
    <t>000008.SZ</t>
  </si>
  <si>
    <t>神州高铁技术股份有限公司</t>
  </si>
  <si>
    <t>600499.SH</t>
  </si>
  <si>
    <t>科达制造股份有限公司</t>
  </si>
  <si>
    <t>600619.SH</t>
  </si>
  <si>
    <t>上海海立(集团)股份有限公司</t>
  </si>
  <si>
    <t>002307.SZ</t>
  </si>
  <si>
    <t>新疆北新路桥集团股份有限公司</t>
  </si>
  <si>
    <t>600984.SH</t>
  </si>
  <si>
    <t>陕西建设机械股份有限公司</t>
  </si>
  <si>
    <t>002431.SZ</t>
  </si>
  <si>
    <t>棕榈生态城镇发展股份有限公司</t>
  </si>
  <si>
    <t>002542.SZ</t>
  </si>
  <si>
    <t>中化岩土集团股份有限公司</t>
  </si>
  <si>
    <t>300237.SZ</t>
  </si>
  <si>
    <t>山东美晨生态环境股份有限公司</t>
  </si>
  <si>
    <t>600820.SH</t>
  </si>
  <si>
    <t>上海隧道工程股份有限公司</t>
  </si>
  <si>
    <t>600970.SH</t>
  </si>
  <si>
    <t>中国中材国际工程股份有限公司</t>
  </si>
  <si>
    <t>601611.SH</t>
  </si>
  <si>
    <t>中国核工业建设股份有限公司</t>
  </si>
  <si>
    <t>000652.SZ</t>
  </si>
  <si>
    <t>天津泰达股份有限公司</t>
  </si>
  <si>
    <t>600153.SH</t>
  </si>
  <si>
    <t>厦门建发股份有限公司</t>
  </si>
  <si>
    <t>600704.SH</t>
  </si>
  <si>
    <t>物产中大集团股份有限公司</t>
  </si>
  <si>
    <t>600755.SH</t>
  </si>
  <si>
    <t>厦门国贸集团股份有限公司</t>
  </si>
  <si>
    <t>000009.SZ</t>
  </si>
  <si>
    <t>中国宝安集团股份有限公司</t>
  </si>
  <si>
    <t>600648.SH</t>
  </si>
  <si>
    <t>上海外高桥集团股份有限公司</t>
  </si>
  <si>
    <t>600783.SH</t>
  </si>
  <si>
    <t>鲁信创业投资集团股份有限公司</t>
  </si>
  <si>
    <t>000027.SZ</t>
  </si>
  <si>
    <t>深圳能源集团股份有限公司</t>
  </si>
  <si>
    <t>600021.SH</t>
  </si>
  <si>
    <t>上海电力股份有限公司</t>
  </si>
  <si>
    <t>600900.SH</t>
  </si>
  <si>
    <t>中国长江电力股份有限公司</t>
  </si>
  <si>
    <t>000591.SZ</t>
  </si>
  <si>
    <t>中节能太阳能股份有限公司</t>
  </si>
  <si>
    <t>002911.SZ</t>
  </si>
  <si>
    <t>佛燃能源集团股份有限公司</t>
  </si>
  <si>
    <t>601139.SH</t>
  </si>
  <si>
    <t>深圳市燃气集团股份有限公司</t>
  </si>
  <si>
    <t>000598.SZ</t>
  </si>
  <si>
    <t>成都市兴蓉环境股份有限公司</t>
  </si>
  <si>
    <t>600039.SH</t>
  </si>
  <si>
    <t>四川路桥建设集团股份有限公司</t>
  </si>
  <si>
    <t>000685.SZ</t>
  </si>
  <si>
    <t>中山公用事业集团股份有限公司</t>
  </si>
  <si>
    <t>000501.SZ</t>
  </si>
  <si>
    <t>武商集团股份有限公司</t>
  </si>
  <si>
    <t>603123.SH</t>
  </si>
  <si>
    <t>北京翠微大厦股份有限公司</t>
  </si>
  <si>
    <t>600739.SH</t>
  </si>
  <si>
    <t>辽宁成大股份有限公司</t>
  </si>
  <si>
    <t>可选消费--零售业--消费品经销商Ⅲ--消费品经销商</t>
  </si>
  <si>
    <t>002024.SZ</t>
  </si>
  <si>
    <t>苏宁易购集团股份有限公司</t>
  </si>
  <si>
    <t>601828.SH</t>
  </si>
  <si>
    <t>红星美凯龙家居集团股份有限公司</t>
  </si>
  <si>
    <t>可选消费--零售业--专营零售--家庭装饰零售</t>
  </si>
  <si>
    <t>600297.SH</t>
  </si>
  <si>
    <t>广汇汽车服务集团股份公司</t>
  </si>
  <si>
    <t>000793.SZ</t>
  </si>
  <si>
    <t>华闻传媒投资集团股份有限公司</t>
  </si>
  <si>
    <t>600136.SH</t>
  </si>
  <si>
    <t>武汉当代明诚文化体育集团股份有限公司</t>
  </si>
  <si>
    <t>可选消费--媒体Ⅱ--媒体Ⅲ--电影与娱乐</t>
  </si>
  <si>
    <t>000665.SZ</t>
  </si>
  <si>
    <t>湖北省广播电视信息网络股份有限公司</t>
  </si>
  <si>
    <t>可选消费--媒体Ⅱ--媒体Ⅲ--有线和卫星电视</t>
  </si>
  <si>
    <t>002612.SZ</t>
  </si>
  <si>
    <t>朗姿股份有限公司</t>
  </si>
  <si>
    <t>600655.SH</t>
  </si>
  <si>
    <t>上海豫园旅游商城(集团)股份有限公司</t>
  </si>
  <si>
    <t>601718.SH</t>
  </si>
  <si>
    <t>际华集团股份有限公司</t>
  </si>
  <si>
    <t>600660.SH</t>
  </si>
  <si>
    <t>福耀玻璃工业集团股份有限公司</t>
  </si>
  <si>
    <t>600699.SH</t>
  </si>
  <si>
    <t>宁波均胜电子股份有限公司</t>
  </si>
  <si>
    <t>000625.SZ</t>
  </si>
  <si>
    <t>重庆长安汽车股份有限公司</t>
  </si>
  <si>
    <t>002594.SZ</t>
  </si>
  <si>
    <t>比亚迪股份有限公司</t>
  </si>
  <si>
    <t>601238.SH</t>
  </si>
  <si>
    <t>广州汽车集团股份有限公司</t>
  </si>
  <si>
    <t>600348.SH</t>
  </si>
  <si>
    <t>山西华阳集团新能股份有限公司</t>
  </si>
  <si>
    <t>601011.SH</t>
  </si>
  <si>
    <t>宝泰隆新材料股份有限公司</t>
  </si>
  <si>
    <t>601666.SH</t>
  </si>
  <si>
    <t>平顶山天安煤业股份有限公司</t>
  </si>
  <si>
    <t>000968.SZ</t>
  </si>
  <si>
    <t>山西蓝焰控股股份有限公司</t>
  </si>
  <si>
    <t>能源--能源Ⅱ--石油、天然气与供消费用燃料--石油天然气勘探与生产</t>
  </si>
  <si>
    <t>002221.SZ</t>
  </si>
  <si>
    <t>东华能源股份有限公司</t>
  </si>
  <si>
    <t>000876.SZ</t>
  </si>
  <si>
    <t>新希望六和股份有限公司</t>
  </si>
  <si>
    <t>000568.SZ</t>
  </si>
  <si>
    <t>泸州老窖股份有限公司</t>
  </si>
  <si>
    <t>日常消费--食品、饮料与烟草--饮料--白酒与葡萄酒</t>
  </si>
  <si>
    <t>002714.SZ</t>
  </si>
  <si>
    <t>牧原食品股份有限公司</t>
  </si>
  <si>
    <t>300498.SZ</t>
  </si>
  <si>
    <t>温氏食品集团股份有限公司</t>
  </si>
  <si>
    <t>300999.SZ</t>
  </si>
  <si>
    <t>益海嘉里金龙鱼粮油食品股份有限公司</t>
  </si>
  <si>
    <t>600438.SH</t>
  </si>
  <si>
    <t>通威股份有限公司</t>
  </si>
  <si>
    <t>688126.SH</t>
  </si>
  <si>
    <t>上海硅产业集团股份有限公司</t>
  </si>
  <si>
    <t>000050.SZ</t>
  </si>
  <si>
    <t>天马微电子股份有限公司</t>
  </si>
  <si>
    <t>000100.SZ</t>
  </si>
  <si>
    <t>TCL科技集团股份有限公司</t>
  </si>
  <si>
    <t>002217.SZ</t>
  </si>
  <si>
    <t>合力泰科技股份有限公司</t>
  </si>
  <si>
    <t>300131.SZ</t>
  </si>
  <si>
    <t>深圳市英唐智能控制股份有限公司</t>
  </si>
  <si>
    <t>600183.SH</t>
  </si>
  <si>
    <t>广东生益科技股份有限公司</t>
  </si>
  <si>
    <t>601869.SH</t>
  </si>
  <si>
    <t>长飞光纤光缆股份有限公司</t>
  </si>
  <si>
    <t>300166.SZ</t>
  </si>
  <si>
    <t>北京东方国信科技股份有限公司</t>
  </si>
  <si>
    <t>信息技术--软件与服务--软件--应用软件</t>
  </si>
  <si>
    <t>300212.SZ</t>
  </si>
  <si>
    <t>北京易华录信息技术股份有限公司</t>
  </si>
  <si>
    <t>600196.SH</t>
  </si>
  <si>
    <t>上海复星医药(集团)股份有限公司</t>
  </si>
  <si>
    <t>医疗保健--制药、生物科技与生命科学--制药--西药</t>
  </si>
  <si>
    <t>300026.SZ</t>
  </si>
  <si>
    <t>天津红日药业股份有限公司</t>
  </si>
  <si>
    <t>ＧＤＰ增长率</t>
  </si>
  <si>
    <t>Ｍ２增长率</t>
    <phoneticPr fontId="2" type="noConversion"/>
  </si>
  <si>
    <t>消费价格指数（ＣＰＩ）</t>
    <phoneticPr fontId="2" type="noConversion"/>
  </si>
  <si>
    <t>行业增加值指数</t>
    <phoneticPr fontId="2" type="noConversion"/>
  </si>
  <si>
    <t>市场平均市盈率</t>
    <phoneticPr fontId="2" type="noConversion"/>
  </si>
  <si>
    <t>山东黄金矿业股份有限公司</t>
    <phoneticPr fontId="2" type="noConversion"/>
  </si>
  <si>
    <t>可选消费--媒体Ⅱ--媒体Ⅲ--出版</t>
    <phoneticPr fontId="2" type="noConversion"/>
  </si>
  <si>
    <t>能源--能源Ⅱ--石油、天然气与供消费用燃料--煤炭与消费用燃料</t>
    <phoneticPr fontId="2" type="noConversion"/>
  </si>
  <si>
    <t>材料--材料Ⅱ--纸与林木产品--纸制品</t>
    <phoneticPr fontId="2" type="noConversion"/>
  </si>
  <si>
    <t>长期负债比率</t>
    <phoneticPr fontId="2" type="noConversion"/>
  </si>
  <si>
    <t>股东权益固定资产比率</t>
    <phoneticPr fontId="2" type="noConversion"/>
  </si>
  <si>
    <t>现金收入比率</t>
    <phoneticPr fontId="2" type="noConversion"/>
  </si>
  <si>
    <t>净现金收入率</t>
    <phoneticPr fontId="2" type="noConversion"/>
  </si>
  <si>
    <t>现金负债总额比</t>
    <phoneticPr fontId="2" type="noConversion"/>
  </si>
  <si>
    <t>神州高铁技术股份有限公司</t>
    <phoneticPr fontId="2" type="noConversion"/>
  </si>
  <si>
    <t>保利联合化工控股集团股份有限公司</t>
    <phoneticPr fontId="2" type="noConversion"/>
  </si>
  <si>
    <t>青海盐湖工业股份有限公司</t>
    <phoneticPr fontId="2" type="noConversion"/>
  </si>
  <si>
    <t>鲁西化工集团股份有限公司</t>
    <phoneticPr fontId="2" type="noConversion"/>
  </si>
  <si>
    <t>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</si>
</sst>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3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9B7B-4B1E-48A6-8FB9-E61D7784C029}">
  <dimension ref="A1:AE568"/>
  <sheetViews>
    <sheetView tabSelected="1" topLeftCell="I1" zoomScale="70" zoomScaleNormal="70" workbookViewId="0">
      <selection activeCell="AC35" sqref="AC35"/>
    </sheetView>
  </sheetViews>
  <sheetFormatPr defaultRowHeight="14.4" x14ac:dyDescent="0.25"/>
  <cols>
    <col min="3" max="3" width="69.33203125" bestFit="1" customWidth="1"/>
    <col min="4" max="4" width="80.109375" bestFit="1" customWidth="1"/>
    <col min="8" max="9" width="10.77734375" bestFit="1" customWidth="1"/>
    <col min="11" max="11" width="18.21875" bestFit="1" customWidth="1"/>
    <col min="15" max="15" width="15.6640625" bestFit="1" customWidth="1"/>
    <col min="19" max="19" width="22" bestFit="1" customWidth="1"/>
    <col min="21" max="21" width="13.109375" bestFit="1" customWidth="1"/>
    <col min="22" max="22" width="15.6640625" bestFit="1" customWidth="1"/>
    <col min="23" max="23" width="25.6640625" bestFit="1" customWidth="1"/>
  </cols>
  <sheetData>
    <row r="1" spans="1:31" x14ac:dyDescent="0.25">
      <c r="A1" s="1" t="s">
        <v>0</v>
      </c>
      <c r="B1" s="1" t="s">
        <v>601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596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7" t="s">
        <v>592</v>
      </c>
      <c r="W1" s="7" t="s">
        <v>593</v>
      </c>
      <c r="X1" s="1" t="s">
        <v>594</v>
      </c>
      <c r="Y1" s="1" t="s">
        <v>595</v>
      </c>
      <c r="Z1" s="3" t="s">
        <v>583</v>
      </c>
      <c r="AA1" s="1" t="s">
        <v>584</v>
      </c>
      <c r="AB1" s="1" t="s">
        <v>585</v>
      </c>
      <c r="AC1" s="1" t="s">
        <v>587</v>
      </c>
      <c r="AD1" s="1" t="s">
        <v>586</v>
      </c>
      <c r="AE1" s="1" t="s">
        <v>19</v>
      </c>
    </row>
    <row r="2" spans="1:31" x14ac:dyDescent="0.25">
      <c r="A2" s="2" t="s">
        <v>20</v>
      </c>
      <c r="B2" s="2">
        <v>2022</v>
      </c>
      <c r="C2" s="2" t="s">
        <v>174</v>
      </c>
      <c r="D2" s="2" t="s">
        <v>295</v>
      </c>
      <c r="E2" s="2">
        <v>2.4116</v>
      </c>
      <c r="F2" s="2">
        <v>9.4952000000000005</v>
      </c>
      <c r="G2" s="2">
        <v>7.7786</v>
      </c>
      <c r="H2" s="2">
        <v>1.3218000000000001</v>
      </c>
      <c r="I2" s="2">
        <v>0.37680000000000002</v>
      </c>
      <c r="J2">
        <f>0.120250160674316*(100)</f>
        <v>12.025016067431601</v>
      </c>
      <c r="K2" s="8">
        <f>0.0484*(100)</f>
        <v>4.84</v>
      </c>
      <c r="L2" s="2">
        <v>0.4</v>
      </c>
      <c r="M2" s="2">
        <v>0.34489999999999998</v>
      </c>
      <c r="N2" s="2">
        <v>30.807600000000001</v>
      </c>
      <c r="O2" s="2">
        <v>0.29849999999999999</v>
      </c>
      <c r="P2" s="2">
        <v>39.2425</v>
      </c>
      <c r="Q2" s="2">
        <v>28.0548</v>
      </c>
      <c r="R2" s="2">
        <v>-31.079536933561609</v>
      </c>
      <c r="S2" s="2">
        <v>-2.5701000000000001</v>
      </c>
      <c r="T2" s="2">
        <v>5.4047999999999998</v>
      </c>
      <c r="U2" s="2">
        <v>79.068299999999994</v>
      </c>
      <c r="V2" s="2">
        <v>14.066341780416526</v>
      </c>
      <c r="W2" s="2">
        <v>12.11254282</v>
      </c>
      <c r="X2" s="2">
        <v>89.22</v>
      </c>
      <c r="Y2" s="2">
        <v>12.65</v>
      </c>
      <c r="Z2" s="4">
        <v>3</v>
      </c>
      <c r="AA2" s="4">
        <v>11.799999999999999</v>
      </c>
      <c r="AB2" s="2">
        <v>2</v>
      </c>
      <c r="AC2" s="2">
        <v>13.03</v>
      </c>
      <c r="AD2" s="2">
        <v>-5.0999999999999943</v>
      </c>
      <c r="AE2" s="2">
        <v>1</v>
      </c>
    </row>
    <row r="3" spans="1:31" x14ac:dyDescent="0.25">
      <c r="A3" s="2" t="s">
        <v>26</v>
      </c>
      <c r="B3" s="2">
        <v>2022</v>
      </c>
      <c r="C3" s="2" t="s">
        <v>180</v>
      </c>
      <c r="D3" s="2" t="s">
        <v>295</v>
      </c>
      <c r="E3" s="2">
        <v>-6.5301999999999998</v>
      </c>
      <c r="F3" s="2">
        <v>-83.460099999999997</v>
      </c>
      <c r="G3" s="2">
        <v>-102.1694</v>
      </c>
      <c r="H3" s="2">
        <v>1.0752999999999999</v>
      </c>
      <c r="I3" s="2">
        <v>0.6885</v>
      </c>
      <c r="J3">
        <f>0.0385427706983932*(100)</f>
        <v>3.8542770698393203</v>
      </c>
      <c r="K3">
        <f>-0.004*(100)</f>
        <v>-0.4</v>
      </c>
      <c r="L3" s="2">
        <v>0.13350000000000001</v>
      </c>
      <c r="M3" s="2">
        <v>0.10050000000000001</v>
      </c>
      <c r="N3" s="2">
        <v>4.7492000000000001</v>
      </c>
      <c r="O3" s="2">
        <v>8.9599999999999999E-2</v>
      </c>
      <c r="P3" s="2">
        <v>0.72189999999999999</v>
      </c>
      <c r="Q3" s="2">
        <v>-57.334800000000001</v>
      </c>
      <c r="R3" s="2">
        <v>-3868.326368680142</v>
      </c>
      <c r="S3" s="2">
        <v>-10.304399999999999</v>
      </c>
      <c r="T3" s="2">
        <v>-93.508700000000005</v>
      </c>
      <c r="U3" s="2">
        <v>94.609899999999996</v>
      </c>
      <c r="V3" s="2">
        <v>12.212235970601078</v>
      </c>
      <c r="W3" s="2">
        <v>0.21648035920703704</v>
      </c>
      <c r="X3" s="2">
        <v>87.78</v>
      </c>
      <c r="Y3" s="2">
        <v>-3.96</v>
      </c>
      <c r="Z3" s="4">
        <v>3</v>
      </c>
      <c r="AA3" s="4">
        <v>11.799999999999999</v>
      </c>
      <c r="AB3" s="2">
        <v>2</v>
      </c>
      <c r="AC3" s="2">
        <v>13.03</v>
      </c>
      <c r="AD3" s="2">
        <v>-5.0999999999999943</v>
      </c>
      <c r="AE3" s="2">
        <v>1</v>
      </c>
    </row>
    <row r="4" spans="1:31" x14ac:dyDescent="0.25">
      <c r="A4" s="2" t="s">
        <v>22</v>
      </c>
      <c r="B4" s="2">
        <v>2022</v>
      </c>
      <c r="C4" s="2" t="s">
        <v>176</v>
      </c>
      <c r="D4" s="2" t="s">
        <v>296</v>
      </c>
      <c r="E4" s="2">
        <v>-4.7408000000000001</v>
      </c>
      <c r="F4" s="2">
        <v>-84.068399999999997</v>
      </c>
      <c r="G4" s="2">
        <v>-65.462299999999999</v>
      </c>
      <c r="H4" s="2">
        <v>1.0381</v>
      </c>
      <c r="I4" s="2">
        <v>0.22470000000000001</v>
      </c>
      <c r="J4">
        <f>0.0376346819725808*(100)</f>
        <v>3.7634681972580797</v>
      </c>
      <c r="K4">
        <f>0.0154*(100)</f>
        <v>1.54</v>
      </c>
      <c r="L4" s="2">
        <v>0.1598</v>
      </c>
      <c r="M4" s="2">
        <v>0.13619999999999999</v>
      </c>
      <c r="N4" s="2">
        <v>10.0076</v>
      </c>
      <c r="O4" s="2">
        <v>9.6500000000000002E-2</v>
      </c>
      <c r="P4" s="2">
        <v>7.6557000000000004</v>
      </c>
      <c r="Q4" s="2">
        <v>-3.2562000000000002</v>
      </c>
      <c r="R4" s="2">
        <v>-10541.10128565125</v>
      </c>
      <c r="S4" s="2">
        <v>-4.7827000000000002</v>
      </c>
      <c r="T4" s="2">
        <v>-64.063999999999993</v>
      </c>
      <c r="U4" s="2">
        <v>89.957400000000007</v>
      </c>
      <c r="V4" s="2">
        <v>22.529336221785336</v>
      </c>
      <c r="W4" s="2">
        <v>3.2761728588014116</v>
      </c>
      <c r="X4" s="2">
        <v>75.52</v>
      </c>
      <c r="Y4" s="2">
        <v>14.11</v>
      </c>
      <c r="Z4" s="4">
        <v>3</v>
      </c>
      <c r="AA4" s="4">
        <v>11.799999999999999</v>
      </c>
      <c r="AB4" s="2">
        <v>2</v>
      </c>
      <c r="AC4" s="2">
        <v>13.03</v>
      </c>
      <c r="AD4" s="2">
        <v>-5.0999999999999943</v>
      </c>
      <c r="AE4" s="2">
        <v>1</v>
      </c>
    </row>
    <row r="5" spans="1:31" x14ac:dyDescent="0.25">
      <c r="A5" s="2" t="s">
        <v>24</v>
      </c>
      <c r="B5" s="2">
        <v>2022</v>
      </c>
      <c r="C5" s="2" t="s">
        <v>178</v>
      </c>
      <c r="D5" s="2" t="s">
        <v>297</v>
      </c>
      <c r="E5" s="2">
        <v>-3.3660999999999999</v>
      </c>
      <c r="F5" s="2">
        <v>-134.92339999999999</v>
      </c>
      <c r="G5" s="2">
        <v>-58.226199999999999</v>
      </c>
      <c r="H5" s="2">
        <v>0.25030000000000002</v>
      </c>
      <c r="I5" s="2">
        <v>0.20799999999999999</v>
      </c>
      <c r="J5">
        <f>0.00370877925436478*(100)</f>
        <v>0.37087792543647796</v>
      </c>
      <c r="K5">
        <f>-0.0179*(100)</f>
        <v>-1.79</v>
      </c>
      <c r="L5" s="2">
        <v>4.7683999999999997</v>
      </c>
      <c r="M5" s="2">
        <v>1.0914999999999999</v>
      </c>
      <c r="N5" s="2">
        <v>0.30559999999999998</v>
      </c>
      <c r="O5" s="2">
        <v>0.17960000000000001</v>
      </c>
      <c r="P5" s="2">
        <v>2.9523999999999999</v>
      </c>
      <c r="Q5" s="2">
        <v>2.7595000000000001</v>
      </c>
      <c r="R5" s="2">
        <v>-135.17286137440229</v>
      </c>
      <c r="S5" s="2">
        <v>-5.4335000000000004</v>
      </c>
      <c r="T5" s="2">
        <v>-71.890699999999995</v>
      </c>
      <c r="U5" s="2">
        <v>70.221299999999999</v>
      </c>
      <c r="V5" s="2">
        <v>2.8282702881815567</v>
      </c>
      <c r="W5" s="2">
        <v>0.58032655727085469</v>
      </c>
      <c r="X5" s="2">
        <v>27.37</v>
      </c>
      <c r="Y5" s="2">
        <v>-6.81</v>
      </c>
      <c r="Z5" s="4">
        <v>3</v>
      </c>
      <c r="AA5" s="4">
        <v>11.799999999999999</v>
      </c>
      <c r="AB5" s="2">
        <v>2</v>
      </c>
      <c r="AC5" s="2">
        <v>13.03</v>
      </c>
      <c r="AD5" s="2">
        <v>3.4000000000000057</v>
      </c>
      <c r="AE5" s="2">
        <v>1</v>
      </c>
    </row>
    <row r="6" spans="1:31" x14ac:dyDescent="0.25">
      <c r="A6" s="2" t="s">
        <v>21</v>
      </c>
      <c r="B6" s="2">
        <v>2022</v>
      </c>
      <c r="C6" s="2" t="s">
        <v>175</v>
      </c>
      <c r="D6" s="2" t="s">
        <v>295</v>
      </c>
      <c r="E6" s="2">
        <v>-3.1406000000000001</v>
      </c>
      <c r="F6" s="2">
        <v>-46.067100000000003</v>
      </c>
      <c r="G6" s="2">
        <v>-30.6235</v>
      </c>
      <c r="H6" s="2">
        <v>1.0038</v>
      </c>
      <c r="I6" s="2">
        <v>0.38519999999999999</v>
      </c>
      <c r="J6">
        <f>0.044549594270782*(100)</f>
        <v>4.4549594270782</v>
      </c>
      <c r="K6">
        <f>0.0141*(100)</f>
        <v>1.41</v>
      </c>
      <c r="L6" s="2">
        <v>0.4042</v>
      </c>
      <c r="M6" s="2">
        <v>0.30270000000000002</v>
      </c>
      <c r="N6" s="2">
        <v>155.84059999999999</v>
      </c>
      <c r="O6" s="2">
        <v>0.21510000000000001</v>
      </c>
      <c r="P6" s="2">
        <v>7.2603</v>
      </c>
      <c r="Q6" s="2">
        <v>35.728700000000003</v>
      </c>
      <c r="R6" s="2">
        <v>-1100.674529584539</v>
      </c>
      <c r="S6" s="2">
        <v>-17.8599</v>
      </c>
      <c r="T6" s="2">
        <v>-48.449300000000001</v>
      </c>
      <c r="U6" s="2">
        <v>86.529399999999995</v>
      </c>
      <c r="V6" s="2">
        <v>15.995787718893547</v>
      </c>
      <c r="W6" s="2">
        <v>136.68471975959974</v>
      </c>
      <c r="X6" s="2">
        <v>54.34</v>
      </c>
      <c r="Y6" s="2">
        <v>5.13</v>
      </c>
      <c r="Z6" s="4">
        <v>3</v>
      </c>
      <c r="AA6" s="4">
        <v>11.799999999999999</v>
      </c>
      <c r="AB6" s="2">
        <v>2</v>
      </c>
      <c r="AC6" s="2">
        <v>13.03</v>
      </c>
      <c r="AD6" s="2">
        <v>-5.0999999999999943</v>
      </c>
      <c r="AE6" s="2">
        <v>1</v>
      </c>
    </row>
    <row r="7" spans="1:31" x14ac:dyDescent="0.25">
      <c r="A7" s="2" t="s">
        <v>25</v>
      </c>
      <c r="B7" s="2">
        <v>2022</v>
      </c>
      <c r="C7" s="2" t="s">
        <v>179</v>
      </c>
      <c r="D7" s="2" t="s">
        <v>295</v>
      </c>
      <c r="E7" s="2">
        <v>-1.7729999999999999</v>
      </c>
      <c r="F7" s="2">
        <v>-28.440799999999999</v>
      </c>
      <c r="G7" s="2">
        <v>-16.665500000000002</v>
      </c>
      <c r="H7" s="2">
        <v>1.1314</v>
      </c>
      <c r="I7" s="2">
        <v>0.3826</v>
      </c>
      <c r="J7">
        <f>0.070197053047089*(100)</f>
        <v>7.0197053047088991</v>
      </c>
      <c r="K7">
        <f>0.029*(100)</f>
        <v>2.9000000000000004</v>
      </c>
      <c r="L7" s="2">
        <v>0.19819999999999999</v>
      </c>
      <c r="M7" s="2">
        <v>0.1401</v>
      </c>
      <c r="N7" s="2">
        <v>10.217700000000001</v>
      </c>
      <c r="O7" s="2">
        <v>0.1197</v>
      </c>
      <c r="P7" s="2">
        <v>22.894400000000001</v>
      </c>
      <c r="Q7" s="2">
        <v>-48.246499999999997</v>
      </c>
      <c r="R7" s="2">
        <v>-236.44843404977169</v>
      </c>
      <c r="S7" s="2">
        <v>1.6942999999999999</v>
      </c>
      <c r="T7" s="2">
        <v>-40.7303</v>
      </c>
      <c r="U7" s="2">
        <v>88.246200000000002</v>
      </c>
      <c r="V7" s="2">
        <v>12.9002656485134</v>
      </c>
      <c r="W7" s="2">
        <v>4.4857538223701923</v>
      </c>
      <c r="X7" s="2">
        <v>180.86</v>
      </c>
      <c r="Y7" s="2">
        <v>21.55</v>
      </c>
      <c r="Z7" s="4">
        <v>3</v>
      </c>
      <c r="AA7" s="4">
        <v>11.799999999999999</v>
      </c>
      <c r="AB7" s="2">
        <v>2</v>
      </c>
      <c r="AC7" s="2">
        <v>13.03</v>
      </c>
      <c r="AD7" s="2">
        <v>-5.0999999999999943</v>
      </c>
      <c r="AE7" s="2">
        <v>1</v>
      </c>
    </row>
    <row r="8" spans="1:31" x14ac:dyDescent="0.25">
      <c r="A8" s="2" t="s">
        <v>29</v>
      </c>
      <c r="B8" s="2">
        <v>2022</v>
      </c>
      <c r="C8" s="2" t="s">
        <v>183</v>
      </c>
      <c r="D8" s="2" t="s">
        <v>300</v>
      </c>
      <c r="E8" s="2">
        <v>-25.398299999999999</v>
      </c>
      <c r="F8" s="2">
        <v>-45.003829500000023</v>
      </c>
      <c r="G8" s="2">
        <v>-100.1793</v>
      </c>
      <c r="H8" s="2">
        <v>7.3400000000000007E-2</v>
      </c>
      <c r="I8" s="2">
        <v>7.0999999999999994E-2</v>
      </c>
      <c r="J8">
        <f>0.0360956831137809*(100)</f>
        <v>3.6095683113780899</v>
      </c>
      <c r="K8">
        <f>0.0042*(100)</f>
        <v>0.42</v>
      </c>
      <c r="L8" s="2">
        <v>13.4543</v>
      </c>
      <c r="M8" s="2">
        <v>0.9476</v>
      </c>
      <c r="N8" s="2">
        <v>0.13589999999999999</v>
      </c>
      <c r="O8" s="2">
        <v>0.1045</v>
      </c>
      <c r="P8" s="2">
        <v>12.0076</v>
      </c>
      <c r="Q8" s="2">
        <v>28.488499999999998</v>
      </c>
      <c r="R8" s="2">
        <v>43.399615977822727</v>
      </c>
      <c r="S8" s="2">
        <v>-6.0136000000000003</v>
      </c>
      <c r="T8" s="2">
        <v>-18.9114</v>
      </c>
      <c r="U8" s="2">
        <v>306.96539999999999</v>
      </c>
      <c r="V8" s="2">
        <v>168.64301664970108</v>
      </c>
      <c r="W8" s="2">
        <v>-2.7201047394333928</v>
      </c>
      <c r="X8" s="2">
        <v>101.09</v>
      </c>
      <c r="Y8" s="2">
        <v>12.33</v>
      </c>
      <c r="Z8" s="4">
        <v>3</v>
      </c>
      <c r="AA8" s="4">
        <v>11.799999999999999</v>
      </c>
      <c r="AB8" s="2">
        <v>2</v>
      </c>
      <c r="AC8" s="2">
        <v>13.03</v>
      </c>
      <c r="AD8" s="2">
        <v>3.4000000000000057</v>
      </c>
      <c r="AE8" s="2">
        <v>1</v>
      </c>
    </row>
    <row r="9" spans="1:31" x14ac:dyDescent="0.25">
      <c r="A9" s="2" t="s">
        <v>23</v>
      </c>
      <c r="B9" s="2">
        <v>2022</v>
      </c>
      <c r="C9" s="2" t="s">
        <v>177</v>
      </c>
      <c r="D9" s="2" t="s">
        <v>295</v>
      </c>
      <c r="E9" s="2">
        <v>-5.9604999999999997</v>
      </c>
      <c r="F9" s="2">
        <v>-114.3099</v>
      </c>
      <c r="G9" s="2">
        <v>-97.232200000000006</v>
      </c>
      <c r="H9" s="2">
        <v>1.0783</v>
      </c>
      <c r="I9" s="2">
        <v>0.67910000000000004</v>
      </c>
      <c r="J9">
        <f>0.0396659762250764*(100)</f>
        <v>3.9665976225076403</v>
      </c>
      <c r="K9">
        <f>-0.0063*(100)</f>
        <v>-0.63</v>
      </c>
      <c r="L9" s="2">
        <v>0.13350000000000001</v>
      </c>
      <c r="M9" s="2">
        <v>0.1036</v>
      </c>
      <c r="N9" s="2">
        <v>4.7831999999999999</v>
      </c>
      <c r="O9" s="2">
        <v>9.2899999999999996E-2</v>
      </c>
      <c r="P9" s="2">
        <v>0.72189999999999999</v>
      </c>
      <c r="Q9" s="2">
        <v>-57.334800000000001</v>
      </c>
      <c r="R9" s="2">
        <v>-928.92739333762847</v>
      </c>
      <c r="S9" s="2">
        <v>-9.7794000000000008</v>
      </c>
      <c r="T9" s="2">
        <v>-89.823400000000007</v>
      </c>
      <c r="U9" s="2">
        <v>94.596699999999998</v>
      </c>
      <c r="V9" s="2">
        <v>12.053278995412708</v>
      </c>
      <c r="W9" s="2">
        <v>0.64210584415526728</v>
      </c>
      <c r="X9" s="2">
        <v>87.78</v>
      </c>
      <c r="Y9" s="2">
        <v>-6.13</v>
      </c>
      <c r="Z9" s="4">
        <v>3</v>
      </c>
      <c r="AA9" s="4">
        <v>11.799999999999999</v>
      </c>
      <c r="AB9" s="2">
        <v>2</v>
      </c>
      <c r="AC9" s="2">
        <v>13.03</v>
      </c>
      <c r="AD9" s="2">
        <v>-5.0999999999999943</v>
      </c>
      <c r="AE9" s="2">
        <v>1</v>
      </c>
    </row>
    <row r="10" spans="1:31" x14ac:dyDescent="0.25">
      <c r="A10" s="2" t="s">
        <v>28</v>
      </c>
      <c r="B10" s="2">
        <v>2022</v>
      </c>
      <c r="C10" s="2" t="s">
        <v>182</v>
      </c>
      <c r="D10" s="2" t="s">
        <v>299</v>
      </c>
      <c r="E10" s="2">
        <v>-3.7581000000000002</v>
      </c>
      <c r="F10" s="2">
        <v>-9.2988</v>
      </c>
      <c r="G10" s="2">
        <v>-15.147399999999999</v>
      </c>
      <c r="H10" s="2">
        <v>0.72130000000000005</v>
      </c>
      <c r="I10" s="2">
        <v>0.67869999999999997</v>
      </c>
      <c r="J10">
        <f>0.383249493685855*(100)</f>
        <v>38.3249493685855</v>
      </c>
      <c r="K10">
        <f>0.022*(100)</f>
        <v>2.1999999999999997</v>
      </c>
      <c r="L10" s="2">
        <v>13.7735</v>
      </c>
      <c r="M10" s="2">
        <v>0.80740000000000001</v>
      </c>
      <c r="N10" s="2">
        <v>4.2241999999999997</v>
      </c>
      <c r="O10" s="2">
        <v>0.2072</v>
      </c>
      <c r="P10" s="2">
        <v>9.4186999999999994</v>
      </c>
      <c r="Q10" s="2">
        <v>-32.682499999999997</v>
      </c>
      <c r="R10" s="2">
        <v>-146.8685697457918</v>
      </c>
      <c r="S10" s="2">
        <v>-19.462299999999999</v>
      </c>
      <c r="T10" s="2">
        <v>-12.348599999999999</v>
      </c>
      <c r="U10" s="2">
        <v>49.276200000000003</v>
      </c>
      <c r="V10" s="2">
        <v>21.013238198408885</v>
      </c>
      <c r="W10" s="2">
        <v>10.892980386099463</v>
      </c>
      <c r="X10" s="2">
        <v>74.989999999999995</v>
      </c>
      <c r="Y10" s="2">
        <v>4.66</v>
      </c>
      <c r="Z10" s="4">
        <v>3</v>
      </c>
      <c r="AA10" s="4">
        <v>11.799999999999999</v>
      </c>
      <c r="AB10" s="2">
        <v>2</v>
      </c>
      <c r="AC10" s="2">
        <v>13.03</v>
      </c>
      <c r="AD10" s="2">
        <v>3.4000000000000057</v>
      </c>
      <c r="AE10" s="2">
        <v>1</v>
      </c>
    </row>
    <row r="11" spans="1:31" x14ac:dyDescent="0.25">
      <c r="A11" s="2" t="s">
        <v>27</v>
      </c>
      <c r="B11" s="2">
        <v>2022</v>
      </c>
      <c r="C11" s="2" t="s">
        <v>181</v>
      </c>
      <c r="D11" s="2" t="s">
        <v>298</v>
      </c>
      <c r="E11" s="2">
        <v>6.7499000000000002</v>
      </c>
      <c r="F11" s="2">
        <v>-4.0202999999999998</v>
      </c>
      <c r="G11" s="2">
        <v>9.4822000000000006</v>
      </c>
      <c r="H11" s="2">
        <v>0.91080000000000005</v>
      </c>
      <c r="I11" s="2">
        <v>0.57809999999999995</v>
      </c>
      <c r="J11">
        <f>0.276988411453267*(100)</f>
        <v>27.698841145326703</v>
      </c>
      <c r="K11">
        <f>0.0539*(100)</f>
        <v>5.3900000000000006</v>
      </c>
      <c r="L11" s="2">
        <v>1.1088</v>
      </c>
      <c r="M11" s="2">
        <v>0.58509999999999995</v>
      </c>
      <c r="N11" s="2">
        <v>1.9859</v>
      </c>
      <c r="O11" s="2">
        <v>0.31630000000000003</v>
      </c>
      <c r="P11" s="2">
        <v>60.9649</v>
      </c>
      <c r="Q11" s="2">
        <v>17.254999999999999</v>
      </c>
      <c r="R11" s="2">
        <v>107.5452640602263</v>
      </c>
      <c r="S11" s="2">
        <v>-7.3099999999999998E-2</v>
      </c>
      <c r="T11" s="2">
        <v>-3.4348999999999998</v>
      </c>
      <c r="U11" s="2">
        <v>79.844200000000001</v>
      </c>
      <c r="V11" s="2">
        <v>17.508333338490189</v>
      </c>
      <c r="W11" s="2">
        <v>0.36889582861495546</v>
      </c>
      <c r="X11" s="2">
        <v>89.88000000000001</v>
      </c>
      <c r="Y11" s="2">
        <v>13.61</v>
      </c>
      <c r="Z11" s="4">
        <v>3</v>
      </c>
      <c r="AA11" s="4">
        <v>11.799999999999999</v>
      </c>
      <c r="AB11" s="2">
        <v>2</v>
      </c>
      <c r="AC11" s="2">
        <v>13.03</v>
      </c>
      <c r="AD11" s="2">
        <v>3.4000000000000057</v>
      </c>
      <c r="AE11" s="2">
        <v>1</v>
      </c>
    </row>
    <row r="12" spans="1:31" x14ac:dyDescent="0.25">
      <c r="A12" s="2" t="s">
        <v>49</v>
      </c>
      <c r="B12" s="2">
        <v>2021</v>
      </c>
      <c r="C12" s="2" t="s">
        <v>178</v>
      </c>
      <c r="D12" s="2" t="s">
        <v>297</v>
      </c>
      <c r="E12" s="2">
        <v>-0.25650000000000001</v>
      </c>
      <c r="F12" s="2">
        <v>-32.604900000000001</v>
      </c>
      <c r="G12" s="2">
        <v>-20.590399999999999</v>
      </c>
      <c r="H12" s="2">
        <v>0.43430000000000002</v>
      </c>
      <c r="I12" s="2">
        <v>0.36899999999999999</v>
      </c>
      <c r="J12">
        <f>0.0506798812503939*(100)</f>
        <v>5.0679881250393901</v>
      </c>
      <c r="K12">
        <f>0.0586*(100)</f>
        <v>5.86</v>
      </c>
      <c r="L12" s="2">
        <v>2.3864999999999998</v>
      </c>
      <c r="M12" s="2">
        <v>0.50349999999999995</v>
      </c>
      <c r="N12" s="2">
        <v>0.3241</v>
      </c>
      <c r="O12" s="2">
        <v>0.16700000000000001</v>
      </c>
      <c r="P12" s="2">
        <v>2.0206</v>
      </c>
      <c r="Q12" s="2">
        <v>-37.124099999999999</v>
      </c>
      <c r="R12" s="2">
        <v>-349.05996447405039</v>
      </c>
      <c r="S12" s="2">
        <v>-3.5163000000000002</v>
      </c>
      <c r="T12" s="2">
        <v>-34.1447</v>
      </c>
      <c r="U12" s="2">
        <v>68.777699999999996</v>
      </c>
      <c r="V12" s="2">
        <v>31.779430296448837</v>
      </c>
      <c r="W12" s="2">
        <v>0.2171016090680743</v>
      </c>
      <c r="X12" s="2">
        <v>74.8</v>
      </c>
      <c r="Y12" s="2">
        <v>23.69</v>
      </c>
      <c r="Z12" s="4">
        <v>8.4</v>
      </c>
      <c r="AA12" s="4">
        <v>9</v>
      </c>
      <c r="AB12" s="2">
        <v>0.9</v>
      </c>
      <c r="AC12" s="2">
        <v>20.9</v>
      </c>
      <c r="AD12" s="2">
        <v>10.400000000000006</v>
      </c>
      <c r="AE12" s="2">
        <v>1</v>
      </c>
    </row>
    <row r="13" spans="1:31" x14ac:dyDescent="0.25">
      <c r="A13" s="2" t="s">
        <v>21</v>
      </c>
      <c r="B13" s="2">
        <v>2021</v>
      </c>
      <c r="C13" s="2" t="s">
        <v>175</v>
      </c>
      <c r="D13" s="2" t="s">
        <v>295</v>
      </c>
      <c r="E13" s="2">
        <v>1.8420000000000001</v>
      </c>
      <c r="F13" s="2">
        <v>3.0819000000000001</v>
      </c>
      <c r="G13" s="2">
        <v>6.3205999999999998</v>
      </c>
      <c r="H13" s="2">
        <v>1.1682999999999999</v>
      </c>
      <c r="I13" s="2">
        <v>0.40239999999999998</v>
      </c>
      <c r="J13">
        <f>0.0741300733076688*(100)</f>
        <v>7.41300733076688</v>
      </c>
      <c r="K13">
        <f>0.0503*(100)</f>
        <v>5.0299999999999994</v>
      </c>
      <c r="L13" s="2">
        <v>0.22589999999999999</v>
      </c>
      <c r="M13" s="2">
        <v>0.2019</v>
      </c>
      <c r="N13" s="2">
        <v>74.202100000000002</v>
      </c>
      <c r="O13" s="2">
        <v>0.1409</v>
      </c>
      <c r="P13" s="2">
        <v>3.6675</v>
      </c>
      <c r="Q13" s="2">
        <v>-7.9394</v>
      </c>
      <c r="R13" s="2">
        <v>-56.823408883123577</v>
      </c>
      <c r="S13" s="2">
        <v>-4.5892999999999997</v>
      </c>
      <c r="T13" s="2">
        <v>3.1271</v>
      </c>
      <c r="U13" s="2">
        <v>79.833399999999997</v>
      </c>
      <c r="V13" s="2">
        <v>18.815596068120303</v>
      </c>
      <c r="W13" s="2">
        <v>102.03029566479336</v>
      </c>
      <c r="X13" s="2">
        <v>98.27</v>
      </c>
      <c r="Y13" s="2">
        <v>27.84</v>
      </c>
      <c r="Z13" s="4">
        <v>8.4</v>
      </c>
      <c r="AA13" s="4">
        <v>9</v>
      </c>
      <c r="AB13" s="2">
        <v>0.9</v>
      </c>
      <c r="AC13" s="2">
        <v>20.9</v>
      </c>
      <c r="AD13" s="2">
        <v>3.5</v>
      </c>
      <c r="AE13" s="2">
        <v>1</v>
      </c>
    </row>
    <row r="14" spans="1:31" x14ac:dyDescent="0.25">
      <c r="A14" s="2" t="s">
        <v>32</v>
      </c>
      <c r="B14" s="2">
        <v>2021</v>
      </c>
      <c r="C14" s="2" t="s">
        <v>185</v>
      </c>
      <c r="D14" s="2" t="s">
        <v>295</v>
      </c>
      <c r="E14" s="2">
        <v>2.3965000000000001</v>
      </c>
      <c r="F14" s="2">
        <v>17.498000000000001</v>
      </c>
      <c r="G14" s="2">
        <v>11.564</v>
      </c>
      <c r="H14" s="2">
        <v>1.4362999999999999</v>
      </c>
      <c r="I14" s="2">
        <v>0.41920000000000002</v>
      </c>
      <c r="J14">
        <f>0.178455100887641*(100)</f>
        <v>17.845510088764101</v>
      </c>
      <c r="K14">
        <f>-0.0289*(100)</f>
        <v>-2.8899999999999997</v>
      </c>
      <c r="L14" s="2">
        <v>0.22270000000000001</v>
      </c>
      <c r="M14" s="2">
        <v>0.20330000000000001</v>
      </c>
      <c r="N14" s="2">
        <v>17.577100000000002</v>
      </c>
      <c r="O14" s="2">
        <v>0.1867</v>
      </c>
      <c r="P14" s="2">
        <v>18.1782</v>
      </c>
      <c r="Q14" s="2">
        <v>9.6028000000000002</v>
      </c>
      <c r="R14" s="2">
        <v>-11.610472733302711</v>
      </c>
      <c r="S14" s="2">
        <v>27.922999999999998</v>
      </c>
      <c r="T14" s="2">
        <v>-3.5455999999999999</v>
      </c>
      <c r="U14" s="2">
        <v>82.035399999999996</v>
      </c>
      <c r="V14" s="2">
        <v>17.455470831096843</v>
      </c>
      <c r="W14" s="2">
        <v>10.45731027847715</v>
      </c>
      <c r="X14" s="2">
        <v>143.44</v>
      </c>
      <c r="Y14" s="2">
        <v>-14.26</v>
      </c>
      <c r="Z14" s="4">
        <v>8.4</v>
      </c>
      <c r="AA14" s="4">
        <v>9</v>
      </c>
      <c r="AB14" s="2">
        <v>0.9</v>
      </c>
      <c r="AC14" s="2">
        <v>20.9</v>
      </c>
      <c r="AD14" s="2">
        <v>3.5</v>
      </c>
      <c r="AE14" s="2">
        <v>1</v>
      </c>
    </row>
    <row r="15" spans="1:31" x14ac:dyDescent="0.25">
      <c r="A15" s="2" t="s">
        <v>30</v>
      </c>
      <c r="B15" s="2">
        <v>2021</v>
      </c>
      <c r="C15" s="2" t="s">
        <v>182</v>
      </c>
      <c r="D15" s="2" t="s">
        <v>299</v>
      </c>
      <c r="E15" s="2">
        <v>-0.86580000000000001</v>
      </c>
      <c r="F15" s="2">
        <v>-2.629</v>
      </c>
      <c r="G15" s="2">
        <v>-6.2706999999999997</v>
      </c>
      <c r="H15" s="2">
        <v>1.7936000000000001</v>
      </c>
      <c r="I15" s="2">
        <v>1.7130000000000001</v>
      </c>
      <c r="J15">
        <f>0.50965083016451*(100)</f>
        <v>50.965083016450997</v>
      </c>
      <c r="K15">
        <f>0.0132*(100)</f>
        <v>1.32</v>
      </c>
      <c r="L15" s="2">
        <v>12.212300000000001</v>
      </c>
      <c r="M15" s="2">
        <v>0.94099999999999995</v>
      </c>
      <c r="N15" s="2">
        <v>5.0007000000000001</v>
      </c>
      <c r="O15" s="2">
        <v>0.27510000000000001</v>
      </c>
      <c r="P15" s="2">
        <v>7.0624000000000002</v>
      </c>
      <c r="Q15" s="2">
        <v>-32.204700000000003</v>
      </c>
      <c r="R15" s="2">
        <v>-482.76578440722142</v>
      </c>
      <c r="S15" s="2">
        <v>-1.9381999999999999</v>
      </c>
      <c r="T15" s="2">
        <v>-3.4761000000000002</v>
      </c>
      <c r="U15" s="2">
        <v>41.243499999999997</v>
      </c>
      <c r="V15" s="2">
        <v>24.564790613839907</v>
      </c>
      <c r="W15" s="2">
        <v>8.7120806995348854</v>
      </c>
      <c r="X15" s="2">
        <v>93</v>
      </c>
      <c r="Y15" s="2">
        <v>1.95</v>
      </c>
      <c r="Z15" s="4">
        <v>8.4</v>
      </c>
      <c r="AA15" s="4">
        <v>9</v>
      </c>
      <c r="AB15" s="2">
        <v>0.9</v>
      </c>
      <c r="AC15" s="2">
        <v>20.9</v>
      </c>
      <c r="AD15" s="2">
        <v>9.0999999999999943</v>
      </c>
      <c r="AE15" s="2">
        <v>1</v>
      </c>
    </row>
    <row r="16" spans="1:31" x14ac:dyDescent="0.25">
      <c r="A16" s="2" t="s">
        <v>36</v>
      </c>
      <c r="B16" s="2">
        <v>2021</v>
      </c>
      <c r="C16" s="2" t="s">
        <v>180</v>
      </c>
      <c r="D16" s="2" t="s">
        <v>295</v>
      </c>
      <c r="E16" s="2">
        <v>2.2299000000000002</v>
      </c>
      <c r="F16" s="2">
        <v>-15.733000000000001</v>
      </c>
      <c r="G16" s="2">
        <v>5.5602999999999998</v>
      </c>
      <c r="H16" s="2">
        <v>1.5488999999999999</v>
      </c>
      <c r="I16" s="2">
        <v>0.93979999999999997</v>
      </c>
      <c r="J16">
        <f>0.0937629377273192*(100)</f>
        <v>9.3762937727319198</v>
      </c>
      <c r="K16">
        <f>-0.046*(100)</f>
        <v>-4.5999999999999996</v>
      </c>
      <c r="L16" s="2">
        <v>0.2117</v>
      </c>
      <c r="M16" s="2">
        <v>0.2261</v>
      </c>
      <c r="N16" s="2">
        <v>12.5007</v>
      </c>
      <c r="O16" s="2">
        <v>0.20419999999999999</v>
      </c>
      <c r="P16" s="2">
        <v>1.8399000000000001</v>
      </c>
      <c r="Q16" s="2">
        <v>-3.8035000000000001</v>
      </c>
      <c r="R16" s="2">
        <v>-109.688817918968</v>
      </c>
      <c r="S16" s="2">
        <v>5.1641000000000004</v>
      </c>
      <c r="T16" s="2">
        <v>26.698699999999999</v>
      </c>
      <c r="U16" s="2">
        <v>82.020799999999994</v>
      </c>
      <c r="V16" s="2">
        <v>24.111675825787934</v>
      </c>
      <c r="W16" s="2">
        <v>3.919796238687502</v>
      </c>
      <c r="X16" s="2">
        <v>73.11999999999999</v>
      </c>
      <c r="Y16" s="2">
        <v>-18.96</v>
      </c>
      <c r="Z16" s="4">
        <v>8.4</v>
      </c>
      <c r="AA16" s="4">
        <v>9</v>
      </c>
      <c r="AB16" s="2">
        <v>0.9</v>
      </c>
      <c r="AC16" s="2">
        <v>20.9</v>
      </c>
      <c r="AD16" s="2">
        <v>3.5</v>
      </c>
      <c r="AE16" s="2">
        <v>1</v>
      </c>
    </row>
    <row r="17" spans="1:31" x14ac:dyDescent="0.25">
      <c r="A17" s="2" t="s">
        <v>43</v>
      </c>
      <c r="B17" s="2">
        <v>2021</v>
      </c>
      <c r="C17" s="2" t="s">
        <v>195</v>
      </c>
      <c r="D17" s="2" t="s">
        <v>306</v>
      </c>
      <c r="E17" s="2">
        <v>2.8401000000000001</v>
      </c>
      <c r="F17" s="2">
        <v>3.5893000000000002</v>
      </c>
      <c r="G17" s="2">
        <v>4.0076000000000001</v>
      </c>
      <c r="H17" s="2">
        <v>1.3104</v>
      </c>
      <c r="I17" s="2">
        <v>1.0091000000000001</v>
      </c>
      <c r="J17">
        <f>0.0980223714025072*(100)</f>
        <v>9.8022371402507211</v>
      </c>
      <c r="K17">
        <f>0.0154*(100)</f>
        <v>1.54</v>
      </c>
      <c r="L17" s="2">
        <v>1.4256</v>
      </c>
      <c r="M17" s="2">
        <v>0.46589999999999998</v>
      </c>
      <c r="N17" s="2">
        <v>1.5742</v>
      </c>
      <c r="O17" s="2">
        <v>0.2162</v>
      </c>
      <c r="P17" s="2">
        <v>2.8208000000000002</v>
      </c>
      <c r="Q17" s="2">
        <v>-53.7346</v>
      </c>
      <c r="R17" s="2">
        <v>-33.818459584355402</v>
      </c>
      <c r="S17" s="2">
        <v>-4.4313000000000002</v>
      </c>
      <c r="T17" s="2">
        <v>3.2345000000000002</v>
      </c>
      <c r="U17" s="2">
        <v>56.857300000000002</v>
      </c>
      <c r="V17" s="2">
        <v>21.691206340581985</v>
      </c>
      <c r="W17" s="2">
        <v>1.3875646665497749</v>
      </c>
      <c r="X17" s="2">
        <v>109.24</v>
      </c>
      <c r="Y17" s="2">
        <v>3.95</v>
      </c>
      <c r="Z17" s="4">
        <v>8.4</v>
      </c>
      <c r="AA17" s="4">
        <v>9</v>
      </c>
      <c r="AB17" s="2">
        <v>0.9</v>
      </c>
      <c r="AC17" s="2">
        <v>20.9</v>
      </c>
      <c r="AD17" s="2">
        <v>9.0999999999999943</v>
      </c>
      <c r="AE17" s="2">
        <v>1</v>
      </c>
    </row>
    <row r="18" spans="1:31" x14ac:dyDescent="0.25">
      <c r="A18" s="2" t="s">
        <v>54</v>
      </c>
      <c r="B18" s="2">
        <v>2021</v>
      </c>
      <c r="C18" s="2" t="s">
        <v>205</v>
      </c>
      <c r="D18" s="2" t="s">
        <v>302</v>
      </c>
      <c r="E18" s="2">
        <v>-31.222899999999999</v>
      </c>
      <c r="F18" s="2">
        <v>-41.985199999999999</v>
      </c>
      <c r="G18" s="2">
        <v>-194.172</v>
      </c>
      <c r="H18" s="2">
        <v>1.5638000000000001</v>
      </c>
      <c r="I18" s="2">
        <v>1.5358000000000001</v>
      </c>
      <c r="J18">
        <f>0.0252176540276933*(100)</f>
        <v>2.5217654027693301</v>
      </c>
      <c r="K18">
        <f>0.0254*(100)</f>
        <v>2.54</v>
      </c>
      <c r="L18" s="2">
        <v>1.7355</v>
      </c>
      <c r="M18" s="2">
        <v>0.17599999999999999</v>
      </c>
      <c r="N18" s="2">
        <v>0.70289999999999997</v>
      </c>
      <c r="O18" s="2">
        <v>0.1171</v>
      </c>
      <c r="P18" s="2">
        <v>0.3483</v>
      </c>
      <c r="Q18" s="2">
        <v>-80.006</v>
      </c>
      <c r="R18" s="2">
        <v>-1596.0192238544621</v>
      </c>
      <c r="S18" s="2">
        <v>-21.917999999999999</v>
      </c>
      <c r="T18" s="2">
        <v>-34.753100000000003</v>
      </c>
      <c r="U18" s="2">
        <v>39.409199999999998</v>
      </c>
      <c r="V18" s="2">
        <v>5.9872289211635302E-2</v>
      </c>
      <c r="W18" s="2">
        <v>3.0861989664451346</v>
      </c>
      <c r="X18" s="2">
        <v>120.63</v>
      </c>
      <c r="Y18" s="2">
        <v>7.4700000000000006</v>
      </c>
      <c r="Z18" s="4">
        <v>8.4</v>
      </c>
      <c r="AA18" s="4">
        <v>9</v>
      </c>
      <c r="AB18" s="2">
        <v>0.9</v>
      </c>
      <c r="AC18" s="2">
        <v>20.9</v>
      </c>
      <c r="AD18" s="2">
        <v>9.0999999999999943</v>
      </c>
      <c r="AE18" s="2">
        <v>1</v>
      </c>
    </row>
    <row r="19" spans="1:31" x14ac:dyDescent="0.25">
      <c r="A19" s="2" t="s">
        <v>35</v>
      </c>
      <c r="B19" s="2">
        <v>2021</v>
      </c>
      <c r="C19" s="2" t="s">
        <v>188</v>
      </c>
      <c r="D19" s="2" t="s">
        <v>302</v>
      </c>
      <c r="E19" s="2">
        <v>-46.738399999999999</v>
      </c>
      <c r="F19" s="2">
        <v>-45.003829500000023</v>
      </c>
      <c r="G19" s="2">
        <v>-617.78470000000004</v>
      </c>
      <c r="H19" s="2">
        <v>0.6573</v>
      </c>
      <c r="I19" s="2">
        <v>0.45519999999999999</v>
      </c>
      <c r="J19">
        <f>0.0130633132843944*(100)</f>
        <v>1.30633132843944</v>
      </c>
      <c r="K19">
        <f>0.0146*(100)</f>
        <v>1.46</v>
      </c>
      <c r="L19" s="2">
        <v>0.25690000000000002</v>
      </c>
      <c r="M19" s="2">
        <v>0.1222</v>
      </c>
      <c r="N19" s="2">
        <v>0.78249999999999997</v>
      </c>
      <c r="O19" s="2">
        <v>8.4199999999999997E-2</v>
      </c>
      <c r="P19" s="2">
        <v>1.7975000000000001</v>
      </c>
      <c r="Q19" s="2">
        <v>-53.0931</v>
      </c>
      <c r="R19" s="2">
        <v>-280.88587160452403</v>
      </c>
      <c r="S19" s="2">
        <v>-42.334299999999999</v>
      </c>
      <c r="T19" s="2">
        <v>-327.113</v>
      </c>
      <c r="U19" s="2">
        <v>150.1968</v>
      </c>
      <c r="V19" s="2">
        <v>53.772560872347519</v>
      </c>
      <c r="W19" s="2">
        <v>-3.3106005619706944</v>
      </c>
      <c r="X19" s="2">
        <v>112.92</v>
      </c>
      <c r="Y19" s="2">
        <v>19.059999999999999</v>
      </c>
      <c r="Z19" s="4">
        <v>8.4</v>
      </c>
      <c r="AA19" s="4">
        <v>9</v>
      </c>
      <c r="AB19" s="2">
        <v>0.9</v>
      </c>
      <c r="AC19" s="2">
        <v>20.9</v>
      </c>
      <c r="AD19" s="2">
        <v>9.0999999999999943</v>
      </c>
      <c r="AE19" s="2">
        <v>1</v>
      </c>
    </row>
    <row r="20" spans="1:31" x14ac:dyDescent="0.25">
      <c r="A20" s="2" t="s">
        <v>42</v>
      </c>
      <c r="B20" s="2">
        <v>2021</v>
      </c>
      <c r="C20" s="2" t="s">
        <v>194</v>
      </c>
      <c r="D20" s="2" t="s">
        <v>295</v>
      </c>
      <c r="E20" s="2">
        <v>-5.0148999999999999</v>
      </c>
      <c r="F20" s="2">
        <v>-57.470100000000002</v>
      </c>
      <c r="G20" s="2">
        <v>-125.753</v>
      </c>
      <c r="H20" s="2">
        <v>1.0216000000000001</v>
      </c>
      <c r="I20" s="2">
        <v>0.2147</v>
      </c>
      <c r="J20">
        <f>0.0433491613996023*(100)</f>
        <v>4.3349161399602298</v>
      </c>
      <c r="K20">
        <f>0.0792*(100)</f>
        <v>7.9200000000000008</v>
      </c>
      <c r="L20" s="2">
        <v>0.15140000000000001</v>
      </c>
      <c r="M20" s="2">
        <v>0.108</v>
      </c>
      <c r="N20" s="2">
        <v>3.7787999999999999</v>
      </c>
      <c r="O20" s="2">
        <v>6.4699999999999994E-2</v>
      </c>
      <c r="P20" s="2">
        <v>9.9557000000000002</v>
      </c>
      <c r="Q20" s="2">
        <v>-54.364199999999997</v>
      </c>
      <c r="R20" s="2">
        <v>-865.66536966467402</v>
      </c>
      <c r="S20" s="2">
        <v>-14.7484</v>
      </c>
      <c r="T20" s="2">
        <v>-44.780799999999999</v>
      </c>
      <c r="U20" s="2">
        <v>86.087599999999995</v>
      </c>
      <c r="V20" s="2">
        <v>28.526644594257739</v>
      </c>
      <c r="W20" s="2">
        <v>6.1659924525746916</v>
      </c>
      <c r="X20" s="2">
        <v>174.15</v>
      </c>
      <c r="Y20" s="2">
        <v>97.02</v>
      </c>
      <c r="Z20" s="4">
        <v>8.4</v>
      </c>
      <c r="AA20" s="4">
        <v>9</v>
      </c>
      <c r="AB20" s="2">
        <v>0.9</v>
      </c>
      <c r="AC20" s="2">
        <v>20.9</v>
      </c>
      <c r="AD20" s="2">
        <v>3.5</v>
      </c>
      <c r="AE20" s="2">
        <v>1</v>
      </c>
    </row>
    <row r="21" spans="1:31" x14ac:dyDescent="0.25">
      <c r="A21" s="2" t="s">
        <v>31</v>
      </c>
      <c r="B21" s="2">
        <v>2021</v>
      </c>
      <c r="C21" s="2" t="s">
        <v>184</v>
      </c>
      <c r="D21" s="2" t="s">
        <v>295</v>
      </c>
      <c r="E21" s="2">
        <v>-10.9815</v>
      </c>
      <c r="F21" s="2">
        <v>-45.003829500000023</v>
      </c>
      <c r="G21" s="2">
        <v>-508.4427</v>
      </c>
      <c r="H21" s="2">
        <v>0.53390000000000004</v>
      </c>
      <c r="I21" s="2">
        <v>0.1477</v>
      </c>
      <c r="J21">
        <f>0.00492243919428069*(100)</f>
        <v>0.49224391942806905</v>
      </c>
      <c r="K21">
        <f>0.0082*(100)</f>
        <v>0.82000000000000006</v>
      </c>
      <c r="L21" s="2">
        <v>1.55E-2</v>
      </c>
      <c r="M21" s="2">
        <v>1.8800000000000001E-2</v>
      </c>
      <c r="N21" s="2">
        <v>1.0551999999999999</v>
      </c>
      <c r="O21" s="2">
        <v>1.09E-2</v>
      </c>
      <c r="P21" s="2">
        <v>0.19040000000000001</v>
      </c>
      <c r="Q21" s="2">
        <v>-61.463099999999997</v>
      </c>
      <c r="R21" s="2">
        <v>86.592107540341402</v>
      </c>
      <c r="S21" s="2">
        <v>-11.1427</v>
      </c>
      <c r="T21" s="2">
        <v>-13.833399999999999</v>
      </c>
      <c r="U21" s="2">
        <v>248.49299999999999</v>
      </c>
      <c r="V21" s="2">
        <v>139.85932571314325</v>
      </c>
      <c r="W21" s="2">
        <v>-148.13859081208466</v>
      </c>
      <c r="X21" s="2">
        <v>382.28</v>
      </c>
      <c r="Y21" s="2">
        <v>175.55</v>
      </c>
      <c r="Z21" s="4">
        <v>8.4</v>
      </c>
      <c r="AA21" s="4">
        <v>9</v>
      </c>
      <c r="AB21" s="2">
        <v>0.9</v>
      </c>
      <c r="AC21" s="2">
        <v>20.9</v>
      </c>
      <c r="AD21" s="2">
        <v>3.5</v>
      </c>
      <c r="AE21" s="2">
        <v>1</v>
      </c>
    </row>
    <row r="22" spans="1:31" x14ac:dyDescent="0.25">
      <c r="A22" s="2" t="s">
        <v>23</v>
      </c>
      <c r="B22" s="2">
        <v>2021</v>
      </c>
      <c r="C22" s="2" t="s">
        <v>177</v>
      </c>
      <c r="D22" s="2" t="s">
        <v>295</v>
      </c>
      <c r="E22" s="2">
        <v>3.3018000000000001</v>
      </c>
      <c r="F22" s="2">
        <v>6.5446</v>
      </c>
      <c r="G22" s="2">
        <v>7.9157999999999999</v>
      </c>
      <c r="H22" s="2">
        <v>1.5445</v>
      </c>
      <c r="I22" s="2">
        <v>0.91690000000000005</v>
      </c>
      <c r="J22">
        <f>0.0946592348440318*(100)</f>
        <v>9.465923484403179</v>
      </c>
      <c r="K22">
        <f>-0.0583*(100)</f>
        <v>-5.83</v>
      </c>
      <c r="L22" s="2">
        <v>0.2117</v>
      </c>
      <c r="M22" s="2">
        <v>0.2354</v>
      </c>
      <c r="N22" s="2">
        <v>12.7119</v>
      </c>
      <c r="O22" s="2">
        <v>0.21379999999999999</v>
      </c>
      <c r="P22" s="2">
        <v>1.8399000000000001</v>
      </c>
      <c r="Q22" s="2">
        <v>-3.8029000000000002</v>
      </c>
      <c r="R22" s="2">
        <v>-67.274390308587456</v>
      </c>
      <c r="S22" s="2">
        <v>6.7605000000000004</v>
      </c>
      <c r="T22" s="2">
        <v>23.870200000000001</v>
      </c>
      <c r="U22" s="2">
        <v>81.293599999999998</v>
      </c>
      <c r="V22" s="2">
        <v>22.862499067255154</v>
      </c>
      <c r="W22" s="2">
        <v>7.5288720193852878</v>
      </c>
      <c r="X22" s="2">
        <v>73.11999999999999</v>
      </c>
      <c r="Y22" s="2">
        <v>-22.88</v>
      </c>
      <c r="Z22" s="4">
        <v>8.4</v>
      </c>
      <c r="AA22" s="4">
        <v>9</v>
      </c>
      <c r="AB22" s="2">
        <v>0.9</v>
      </c>
      <c r="AC22" s="2">
        <v>20.9</v>
      </c>
      <c r="AD22" s="2">
        <v>3.5</v>
      </c>
      <c r="AE22" s="2">
        <v>1</v>
      </c>
    </row>
    <row r="23" spans="1:31" x14ac:dyDescent="0.25">
      <c r="A23" s="2" t="s">
        <v>48</v>
      </c>
      <c r="B23" s="2">
        <v>2021</v>
      </c>
      <c r="C23" s="2" t="s">
        <v>200</v>
      </c>
      <c r="D23" s="2" t="s">
        <v>308</v>
      </c>
      <c r="E23" s="2">
        <v>-15.8962</v>
      </c>
      <c r="F23" s="2">
        <v>-47.258499999999998</v>
      </c>
      <c r="G23" s="2">
        <v>-643.07470000000001</v>
      </c>
      <c r="H23" s="2">
        <v>0.86680000000000001</v>
      </c>
      <c r="I23" s="2">
        <v>0.55859999999999999</v>
      </c>
      <c r="J23">
        <f>0.000866938971168969*(100)</f>
        <v>8.6693897116896901E-2</v>
      </c>
      <c r="K23">
        <f>-0.0565*(100)</f>
        <v>-5.65</v>
      </c>
      <c r="L23" s="2">
        <v>0.1381</v>
      </c>
      <c r="M23" s="2">
        <v>5.4399999999999997E-2</v>
      </c>
      <c r="N23" s="2">
        <v>0.1318</v>
      </c>
      <c r="O23" s="2">
        <v>2.92E-2</v>
      </c>
      <c r="P23" s="2">
        <v>0.2142</v>
      </c>
      <c r="Q23" s="2">
        <v>-92.009200000000007</v>
      </c>
      <c r="R23" s="2">
        <v>-1464.583652611441</v>
      </c>
      <c r="S23" s="2">
        <v>-22.803799999999999</v>
      </c>
      <c r="T23" s="2">
        <v>-39.188000000000002</v>
      </c>
      <c r="U23" s="2">
        <v>62.207900000000002</v>
      </c>
      <c r="V23" s="2">
        <v>2.960446977227793</v>
      </c>
      <c r="W23" s="2">
        <v>1.8684715380889265</v>
      </c>
      <c r="X23" s="2">
        <v>56.46</v>
      </c>
      <c r="Y23" s="2">
        <v>-104.74</v>
      </c>
      <c r="Z23" s="4">
        <v>8.4</v>
      </c>
      <c r="AA23" s="4">
        <v>9</v>
      </c>
      <c r="AB23" s="2">
        <v>0.9</v>
      </c>
      <c r="AC23" s="2">
        <v>20.9</v>
      </c>
      <c r="AD23" s="2">
        <v>9.0999999999999943</v>
      </c>
      <c r="AE23" s="2">
        <v>1</v>
      </c>
    </row>
    <row r="24" spans="1:31" x14ac:dyDescent="0.25">
      <c r="A24" s="2" t="s">
        <v>57</v>
      </c>
      <c r="B24" s="2">
        <v>2021</v>
      </c>
      <c r="C24" s="2" t="s">
        <v>207</v>
      </c>
      <c r="D24" s="2" t="s">
        <v>314</v>
      </c>
      <c r="E24" s="2">
        <v>-34.9133</v>
      </c>
      <c r="F24" s="2">
        <v>-537.77679999999998</v>
      </c>
      <c r="G24" s="2">
        <v>-243.36189999999999</v>
      </c>
      <c r="H24" s="2">
        <v>0.3705</v>
      </c>
      <c r="I24" s="2">
        <v>0.36420000000000002</v>
      </c>
      <c r="J24">
        <f>0.0717637747454285*(100)</f>
        <v>7.1763774745428499</v>
      </c>
      <c r="K24">
        <f>-0.0027*(100)</f>
        <v>-0.27</v>
      </c>
      <c r="L24" s="2">
        <v>38.4968</v>
      </c>
      <c r="M24" s="2">
        <v>0.50470000000000004</v>
      </c>
      <c r="N24" s="2">
        <v>0.5363</v>
      </c>
      <c r="O24" s="2">
        <v>0.1628</v>
      </c>
      <c r="P24" s="2">
        <v>8.1133000000000006</v>
      </c>
      <c r="Q24" s="2">
        <v>-59.384900000000002</v>
      </c>
      <c r="R24" s="2">
        <v>-9477.0712270765471</v>
      </c>
      <c r="S24" s="2">
        <v>-21.606999999999999</v>
      </c>
      <c r="T24" s="2">
        <v>-155.09200000000001</v>
      </c>
      <c r="U24" s="2">
        <v>113.5219</v>
      </c>
      <c r="V24" s="2">
        <v>4.8382373610960654</v>
      </c>
      <c r="W24" s="2">
        <v>-0.55422474907283159</v>
      </c>
      <c r="X24" s="2">
        <v>108.22</v>
      </c>
      <c r="Y24" s="2">
        <v>-1.72</v>
      </c>
      <c r="Z24" s="4">
        <v>8.4</v>
      </c>
      <c r="AA24" s="4">
        <v>9</v>
      </c>
      <c r="AB24" s="2">
        <v>0.9</v>
      </c>
      <c r="AC24" s="2">
        <v>20.9</v>
      </c>
      <c r="AD24" s="2">
        <v>10.400000000000006</v>
      </c>
      <c r="AE24" s="2">
        <v>1</v>
      </c>
    </row>
    <row r="25" spans="1:31" x14ac:dyDescent="0.25">
      <c r="A25" s="2" t="s">
        <v>45</v>
      </c>
      <c r="B25" s="2">
        <v>2021</v>
      </c>
      <c r="C25" s="2" t="s">
        <v>197</v>
      </c>
      <c r="D25" s="2" t="s">
        <v>307</v>
      </c>
      <c r="E25" s="2">
        <v>-12.008699999999999</v>
      </c>
      <c r="F25" s="2">
        <v>-45.003829500000023</v>
      </c>
      <c r="G25" s="2">
        <v>-1696.5208</v>
      </c>
      <c r="H25" s="2">
        <v>0.54379999999999995</v>
      </c>
      <c r="I25" s="2">
        <v>0.53049999999999997</v>
      </c>
      <c r="J25">
        <f>0.00217301451605233*(100)</f>
        <v>0.21730145160523298</v>
      </c>
      <c r="K25">
        <f>0.0019*(100)</f>
        <v>0.19</v>
      </c>
      <c r="L25" s="2">
        <v>0.74670000000000003</v>
      </c>
      <c r="M25" s="2">
        <v>1.61E-2</v>
      </c>
      <c r="N25" s="2">
        <v>5.8799999999999998E-2</v>
      </c>
      <c r="O25" s="2">
        <v>9.7000000000000003E-3</v>
      </c>
      <c r="P25" s="2">
        <v>0.2447</v>
      </c>
      <c r="Q25" s="2">
        <v>-82.191800000000001</v>
      </c>
      <c r="R25" s="2">
        <v>1.7546286837344121</v>
      </c>
      <c r="S25" s="2">
        <v>-13.755599999999999</v>
      </c>
      <c r="T25" s="2">
        <v>-180.31370000000001</v>
      </c>
      <c r="U25" s="2">
        <v>118.828</v>
      </c>
      <c r="V25" s="2">
        <v>9.2550738208681143</v>
      </c>
      <c r="W25" s="2">
        <v>-1.6125934688040808</v>
      </c>
      <c r="X25" s="2">
        <v>100.04</v>
      </c>
      <c r="Y25" s="2">
        <v>21.43</v>
      </c>
      <c r="Z25" s="4">
        <v>8.4</v>
      </c>
      <c r="AA25" s="4">
        <v>9</v>
      </c>
      <c r="AB25" s="2">
        <v>0.9</v>
      </c>
      <c r="AC25" s="2">
        <v>20.9</v>
      </c>
      <c r="AD25" s="2">
        <v>9.0999999999999943</v>
      </c>
      <c r="AE25" s="2">
        <v>1</v>
      </c>
    </row>
    <row r="26" spans="1:31" x14ac:dyDescent="0.25">
      <c r="A26" s="2" t="s">
        <v>38</v>
      </c>
      <c r="B26" s="2">
        <v>2021</v>
      </c>
      <c r="C26" s="2" t="s">
        <v>190</v>
      </c>
      <c r="D26" s="2" t="s">
        <v>303</v>
      </c>
      <c r="E26" s="2">
        <v>-16.824100000000001</v>
      </c>
      <c r="F26" s="2">
        <v>-45.003829500000023</v>
      </c>
      <c r="G26" s="2">
        <v>-75.852900000000005</v>
      </c>
      <c r="H26" s="2">
        <v>0.56669999999999998</v>
      </c>
      <c r="I26" s="2">
        <v>0.54120000000000001</v>
      </c>
      <c r="J26">
        <f>0.106127785460884*(100)</f>
        <v>10.6127785460884</v>
      </c>
      <c r="K26">
        <f>0.0071*(100)</f>
        <v>0.71000000000000008</v>
      </c>
      <c r="L26" s="2">
        <v>30.279320999999989</v>
      </c>
      <c r="M26" s="2">
        <v>0.83599999999999997</v>
      </c>
      <c r="N26" s="2">
        <v>10.2181</v>
      </c>
      <c r="O26" s="2">
        <v>0.26250000000000001</v>
      </c>
      <c r="P26" s="2">
        <v>4.1940999999999997</v>
      </c>
      <c r="Q26" s="2">
        <v>-11.547585499999981</v>
      </c>
      <c r="R26" s="2">
        <v>-599.25051196801235</v>
      </c>
      <c r="S26" s="2">
        <v>-2.8992810000000002</v>
      </c>
      <c r="T26" s="2">
        <v>-77.493116000000001</v>
      </c>
      <c r="U26" s="2">
        <v>91.820700000000002</v>
      </c>
      <c r="V26" s="2">
        <v>36.419682779580555</v>
      </c>
      <c r="W26" s="2">
        <v>-6.495914819685539</v>
      </c>
      <c r="X26" s="2">
        <v>107.99</v>
      </c>
      <c r="Y26" s="2">
        <v>2.4900000000000002</v>
      </c>
      <c r="Z26" s="4">
        <v>8.4</v>
      </c>
      <c r="AA26" s="4">
        <v>9</v>
      </c>
      <c r="AB26" s="2">
        <v>0.9</v>
      </c>
      <c r="AC26" s="2">
        <v>20.9</v>
      </c>
      <c r="AD26" s="2">
        <v>9.0999999999999943</v>
      </c>
      <c r="AE26" s="2">
        <v>1</v>
      </c>
    </row>
    <row r="27" spans="1:31" x14ac:dyDescent="0.25">
      <c r="A27" s="2" t="s">
        <v>47</v>
      </c>
      <c r="B27" s="2">
        <v>2021</v>
      </c>
      <c r="C27" s="2" t="s">
        <v>199</v>
      </c>
      <c r="D27" s="2" t="s">
        <v>295</v>
      </c>
      <c r="E27" s="2">
        <v>-1.6373</v>
      </c>
      <c r="F27" s="2">
        <v>-29.110199999999999</v>
      </c>
      <c r="G27" s="2">
        <v>-134.2946</v>
      </c>
      <c r="H27" s="2">
        <v>1.2847</v>
      </c>
      <c r="I27" s="2">
        <v>0.13120000000000001</v>
      </c>
      <c r="J27">
        <f>0.0227392443681243*(100)</f>
        <v>2.2739244368124298</v>
      </c>
      <c r="K27">
        <f>-0.015*(100)</f>
        <v>-1.5</v>
      </c>
      <c r="L27" s="2">
        <v>2.1299999999999999E-2</v>
      </c>
      <c r="M27" s="2">
        <v>2.0899999999999998E-2</v>
      </c>
      <c r="N27" s="2">
        <v>1.0327</v>
      </c>
      <c r="O27" s="2">
        <v>1.6400000000000001E-2</v>
      </c>
      <c r="P27" s="2">
        <v>3.145</v>
      </c>
      <c r="Q27" s="2">
        <v>-84.697500000000005</v>
      </c>
      <c r="R27" s="2">
        <v>-801.33572645207266</v>
      </c>
      <c r="S27" s="2">
        <v>-3.3329</v>
      </c>
      <c r="T27" s="2">
        <v>-25.6448</v>
      </c>
      <c r="U27" s="2">
        <v>90.745599999999996</v>
      </c>
      <c r="V27" s="2">
        <v>30.071979926815949</v>
      </c>
      <c r="W27" s="2">
        <v>4.2675334721008369</v>
      </c>
      <c r="X27" s="2">
        <v>257.88</v>
      </c>
      <c r="Y27" s="2">
        <v>-81.58</v>
      </c>
      <c r="Z27" s="4">
        <v>8.4</v>
      </c>
      <c r="AA27" s="4">
        <v>9</v>
      </c>
      <c r="AB27" s="2">
        <v>0.9</v>
      </c>
      <c r="AC27" s="2">
        <v>20.9</v>
      </c>
      <c r="AD27" s="2">
        <v>3.5</v>
      </c>
      <c r="AE27" s="2">
        <v>1</v>
      </c>
    </row>
    <row r="28" spans="1:31" x14ac:dyDescent="0.25">
      <c r="A28" s="2" t="s">
        <v>50</v>
      </c>
      <c r="B28" s="2">
        <v>2021</v>
      </c>
      <c r="C28" s="2" t="s">
        <v>201</v>
      </c>
      <c r="D28" s="2" t="s">
        <v>309</v>
      </c>
      <c r="E28" s="2">
        <v>-8.3696999999999999</v>
      </c>
      <c r="F28" s="2">
        <v>-77.635499999999993</v>
      </c>
      <c r="G28" s="2">
        <v>-395.45269999999999</v>
      </c>
      <c r="H28" s="2">
        <v>0.15809999999999999</v>
      </c>
      <c r="I28" s="2">
        <v>0.13650000000000001</v>
      </c>
      <c r="J28">
        <f>0.0119498435657434*(100)</f>
        <v>1.1949843565743401</v>
      </c>
      <c r="K28">
        <f>0.0023*(100)</f>
        <v>0.22999999999999998</v>
      </c>
      <c r="L28" s="2">
        <v>3.4971999999999999</v>
      </c>
      <c r="M28" s="2">
        <v>0.20469999999999999</v>
      </c>
      <c r="N28" s="2">
        <v>0.1643</v>
      </c>
      <c r="O28" s="2">
        <v>2.53E-2</v>
      </c>
      <c r="P28" s="2">
        <v>0.74329999999999996</v>
      </c>
      <c r="Q28" s="2">
        <v>22.506499999999999</v>
      </c>
      <c r="R28" s="2">
        <v>41.294396168686617</v>
      </c>
      <c r="S28" s="2">
        <v>-5.6197999999999997</v>
      </c>
      <c r="T28" s="2">
        <v>-55.932099999999998</v>
      </c>
      <c r="U28" s="2">
        <v>91.649799999999999</v>
      </c>
      <c r="V28" s="2">
        <v>14.493686441248322</v>
      </c>
      <c r="W28" s="2">
        <v>0.57610107247388631</v>
      </c>
      <c r="X28" s="2">
        <v>163.04</v>
      </c>
      <c r="Y28" s="2">
        <v>8.0399999999999991</v>
      </c>
      <c r="Z28" s="4">
        <v>8.4</v>
      </c>
      <c r="AA28" s="4">
        <v>9</v>
      </c>
      <c r="AB28" s="2">
        <v>0.9</v>
      </c>
      <c r="AC28" s="2">
        <v>20.9</v>
      </c>
      <c r="AD28" s="2">
        <v>1.0999999999999943</v>
      </c>
      <c r="AE28" s="2">
        <v>1</v>
      </c>
    </row>
    <row r="29" spans="1:31" x14ac:dyDescent="0.25">
      <c r="A29" s="2" t="s">
        <v>58</v>
      </c>
      <c r="B29" s="2">
        <v>2021</v>
      </c>
      <c r="C29" s="2" t="s">
        <v>208</v>
      </c>
      <c r="D29" s="2" t="s">
        <v>315</v>
      </c>
      <c r="E29" s="2">
        <v>-10.5724</v>
      </c>
      <c r="F29" s="2">
        <v>-53.7744</v>
      </c>
      <c r="G29" s="2">
        <v>-94.893799999999999</v>
      </c>
      <c r="H29" s="2">
        <v>0.84809999999999997</v>
      </c>
      <c r="I29" s="2">
        <v>0.80779999999999996</v>
      </c>
      <c r="J29">
        <f>0.00900268917095866*(100)</f>
        <v>0.90026891709586598</v>
      </c>
      <c r="K29">
        <f>0.0019*(100)</f>
        <v>0.19</v>
      </c>
      <c r="L29" s="2">
        <v>1.7438</v>
      </c>
      <c r="M29" s="2">
        <v>0.22009999999999999</v>
      </c>
      <c r="N29" s="2">
        <v>7.6405000000000003</v>
      </c>
      <c r="O29" s="2">
        <v>0.14649999999999999</v>
      </c>
      <c r="P29" s="2">
        <v>0.42730000000000001</v>
      </c>
      <c r="Q29" s="2">
        <v>-58.495600000000003</v>
      </c>
      <c r="R29" s="2">
        <v>-46.295489637234802</v>
      </c>
      <c r="S29" s="2">
        <v>-9.1135000000000002</v>
      </c>
      <c r="T29" s="2">
        <v>-43.2712</v>
      </c>
      <c r="U29" s="2">
        <v>87.379199999999997</v>
      </c>
      <c r="V29" s="2">
        <v>7.3714565352618351</v>
      </c>
      <c r="W29" s="2">
        <v>9.8425346752110006</v>
      </c>
      <c r="X29" s="2">
        <v>92.15</v>
      </c>
      <c r="Y29" s="2">
        <v>1.0900000000000001</v>
      </c>
      <c r="Z29" s="4">
        <v>8.4</v>
      </c>
      <c r="AA29" s="4">
        <v>9</v>
      </c>
      <c r="AB29" s="2">
        <v>0.9</v>
      </c>
      <c r="AC29" s="2">
        <v>20.9</v>
      </c>
      <c r="AD29" s="2">
        <v>9.1</v>
      </c>
      <c r="AE29" s="2">
        <v>1</v>
      </c>
    </row>
    <row r="30" spans="1:31" x14ac:dyDescent="0.25">
      <c r="A30" s="2" t="s">
        <v>41</v>
      </c>
      <c r="B30" s="2">
        <v>2021</v>
      </c>
      <c r="C30" s="2" t="s">
        <v>193</v>
      </c>
      <c r="D30" s="2" t="s">
        <v>298</v>
      </c>
      <c r="E30" s="2">
        <v>-0.99</v>
      </c>
      <c r="F30" s="2">
        <v>-39.298400000000001</v>
      </c>
      <c r="G30" s="2">
        <v>-42.306100000000001</v>
      </c>
      <c r="H30" s="2">
        <v>0.92149999999999999</v>
      </c>
      <c r="I30" s="2">
        <v>0.82989999999999997</v>
      </c>
      <c r="J30">
        <f>0.0359228322458004*(100)</f>
        <v>3.5922832245800405</v>
      </c>
      <c r="K30">
        <f>0.0231*(100)</f>
        <v>2.31</v>
      </c>
      <c r="L30" s="2">
        <v>0.8206</v>
      </c>
      <c r="M30" s="2">
        <v>0.13869999999999999</v>
      </c>
      <c r="N30" s="2">
        <v>0.96089999999999998</v>
      </c>
      <c r="O30" s="2">
        <v>9.2399999999999996E-2</v>
      </c>
      <c r="P30" s="2">
        <v>1.1233</v>
      </c>
      <c r="Q30" s="2">
        <v>-50.577800000000003</v>
      </c>
      <c r="R30" s="2">
        <v>76.588202058265807</v>
      </c>
      <c r="S30" s="2">
        <v>-10.794499999999999</v>
      </c>
      <c r="T30" s="2">
        <v>-30.737100000000002</v>
      </c>
      <c r="U30" s="2">
        <v>78.263999999999996</v>
      </c>
      <c r="V30" s="2">
        <v>6.8936800190318852</v>
      </c>
      <c r="W30" s="2">
        <v>0.64343311039985684</v>
      </c>
      <c r="X30" s="2">
        <v>106.51</v>
      </c>
      <c r="Y30" s="2">
        <v>18.86</v>
      </c>
      <c r="Z30" s="4">
        <v>8.4</v>
      </c>
      <c r="AA30" s="4">
        <v>9</v>
      </c>
      <c r="AB30" s="2">
        <v>0.9</v>
      </c>
      <c r="AC30" s="2">
        <v>20.9</v>
      </c>
      <c r="AD30" s="2">
        <v>9.0999999999999943</v>
      </c>
      <c r="AE30" s="2">
        <v>1</v>
      </c>
    </row>
    <row r="31" spans="1:31" x14ac:dyDescent="0.25">
      <c r="A31" s="2" t="s">
        <v>51</v>
      </c>
      <c r="B31" s="2">
        <v>2021</v>
      </c>
      <c r="C31" s="2" t="s">
        <v>202</v>
      </c>
      <c r="D31" s="2" t="s">
        <v>310</v>
      </c>
      <c r="E31" s="2">
        <v>-7.7211999999999996</v>
      </c>
      <c r="F31" s="2">
        <v>-23.106400000000001</v>
      </c>
      <c r="G31" s="2">
        <v>-126.306</v>
      </c>
      <c r="H31" s="2">
        <v>0.46760000000000002</v>
      </c>
      <c r="I31" s="2">
        <v>0.37919999999999998</v>
      </c>
      <c r="J31">
        <f>0.0969954439617862*(100)</f>
        <v>9.6995443961786201</v>
      </c>
      <c r="K31">
        <f>0.0551*(100)</f>
        <v>5.5100000000000007</v>
      </c>
      <c r="L31" s="2">
        <v>0.6462</v>
      </c>
      <c r="M31" s="2">
        <v>0.26350000000000001</v>
      </c>
      <c r="N31" s="2">
        <v>2.0510000000000002</v>
      </c>
      <c r="O31" s="2">
        <v>7.7399999999999997E-2</v>
      </c>
      <c r="P31" s="2">
        <v>2.0209999999999999</v>
      </c>
      <c r="Q31" s="2">
        <v>-45.817399999999999</v>
      </c>
      <c r="R31" s="2">
        <v>-7092.6162425849379</v>
      </c>
      <c r="S31" s="2">
        <v>-10.468500000000001</v>
      </c>
      <c r="T31" s="2">
        <v>-22.2136</v>
      </c>
      <c r="U31" s="2">
        <v>66.095799999999997</v>
      </c>
      <c r="V31" s="2">
        <v>19.258118585236112</v>
      </c>
      <c r="W31" s="2">
        <v>8.1225577641852809</v>
      </c>
      <c r="X31" s="2">
        <v>188.82</v>
      </c>
      <c r="Y31" s="2">
        <v>44.45</v>
      </c>
      <c r="Z31" s="4">
        <v>8.4</v>
      </c>
      <c r="AA31" s="4">
        <v>9</v>
      </c>
      <c r="AB31" s="2">
        <v>0.9</v>
      </c>
      <c r="AC31" s="2">
        <v>20.9</v>
      </c>
      <c r="AD31" s="2">
        <v>9.0999999999999943</v>
      </c>
      <c r="AE31" s="2">
        <v>1</v>
      </c>
    </row>
    <row r="32" spans="1:31" x14ac:dyDescent="0.25">
      <c r="A32" s="2" t="s">
        <v>52</v>
      </c>
      <c r="B32" s="2">
        <v>2021</v>
      </c>
      <c r="C32" s="2" t="s">
        <v>203</v>
      </c>
      <c r="D32" s="2" t="s">
        <v>311</v>
      </c>
      <c r="E32" s="2">
        <v>-6.0738000000000003</v>
      </c>
      <c r="F32" s="2">
        <v>-45.003829500000023</v>
      </c>
      <c r="G32" s="2">
        <v>-815.19539999999995</v>
      </c>
      <c r="H32" s="2">
        <v>0.60629999999999995</v>
      </c>
      <c r="I32" s="2">
        <v>0.60589999999999999</v>
      </c>
      <c r="J32">
        <f>0.0127732345547508*(100)</f>
        <v>1.2773234554750801</v>
      </c>
      <c r="K32">
        <f>-0.0025*(100)</f>
        <v>-0.25</v>
      </c>
      <c r="L32" s="2">
        <v>29.732600000000001</v>
      </c>
      <c r="M32" s="2">
        <v>2.6599999999999999E-2</v>
      </c>
      <c r="N32" s="2">
        <v>8.6506000000000007</v>
      </c>
      <c r="O32" s="2">
        <v>2.1000000000000001E-2</v>
      </c>
      <c r="P32" s="2">
        <v>0.2475</v>
      </c>
      <c r="Q32" s="2">
        <v>-46.247</v>
      </c>
      <c r="R32" s="2">
        <v>-322.77550176846728</v>
      </c>
      <c r="S32" s="2">
        <v>55.068300000000001</v>
      </c>
      <c r="T32" s="2">
        <v>17.481400000000001</v>
      </c>
      <c r="U32" s="2">
        <v>138.02070000000001</v>
      </c>
      <c r="V32" s="2">
        <v>2.2614907129159612</v>
      </c>
      <c r="W32" s="2">
        <v>-138.46155977262146</v>
      </c>
      <c r="X32" s="2">
        <v>131.55000000000001</v>
      </c>
      <c r="Y32" s="2">
        <v>-20.239999999999998</v>
      </c>
      <c r="Z32" s="4">
        <v>8.4</v>
      </c>
      <c r="AA32" s="4">
        <v>9</v>
      </c>
      <c r="AB32" s="2">
        <v>0.9</v>
      </c>
      <c r="AC32" s="2">
        <v>20.9</v>
      </c>
      <c r="AD32" s="2">
        <v>1.0999999999999943</v>
      </c>
      <c r="AE32" s="2">
        <v>1</v>
      </c>
    </row>
    <row r="33" spans="1:31" x14ac:dyDescent="0.25">
      <c r="A33" s="2" t="s">
        <v>33</v>
      </c>
      <c r="B33" s="2">
        <v>2021</v>
      </c>
      <c r="C33" s="2" t="s">
        <v>186</v>
      </c>
      <c r="D33" s="2" t="s">
        <v>295</v>
      </c>
      <c r="E33" s="2">
        <v>3.2189000000000001</v>
      </c>
      <c r="F33" s="2">
        <v>13.8432</v>
      </c>
      <c r="G33" s="2">
        <v>9.4405999999999999</v>
      </c>
      <c r="H33" s="2">
        <v>1.3640000000000001</v>
      </c>
      <c r="I33" s="2">
        <v>0.58420000000000005</v>
      </c>
      <c r="J33">
        <f>0.261364646057533*(100)</f>
        <v>26.1364646057533</v>
      </c>
      <c r="K33">
        <f>0.058*(100)</f>
        <v>5.8000000000000007</v>
      </c>
      <c r="L33" s="2">
        <v>0.47239999999999999</v>
      </c>
      <c r="M33" s="2">
        <v>0.33739999999999998</v>
      </c>
      <c r="N33" s="2">
        <v>15.4993</v>
      </c>
      <c r="O33" s="2">
        <v>0.28249999999999997</v>
      </c>
      <c r="P33" s="2">
        <v>20.543399999999998</v>
      </c>
      <c r="Q33" s="2">
        <v>20.880099999999999</v>
      </c>
      <c r="R33" s="2">
        <v>12.37475397929774</v>
      </c>
      <c r="S33" s="2">
        <v>15.4124</v>
      </c>
      <c r="T33" s="2">
        <v>15.762600000000001</v>
      </c>
      <c r="U33" s="2">
        <v>82.727900000000005</v>
      </c>
      <c r="V33" s="2">
        <v>22.045942867765085</v>
      </c>
      <c r="W33" s="2">
        <v>1.9522286256737711</v>
      </c>
      <c r="X33" s="2">
        <v>101.35</v>
      </c>
      <c r="Y33" s="2">
        <v>18.190000000000001</v>
      </c>
      <c r="Z33" s="4">
        <v>8.4</v>
      </c>
      <c r="AA33" s="4">
        <v>9</v>
      </c>
      <c r="AB33" s="2">
        <v>0.9</v>
      </c>
      <c r="AC33" s="2">
        <v>20.9</v>
      </c>
      <c r="AD33" s="2">
        <v>3.5</v>
      </c>
      <c r="AE33" s="2">
        <v>1</v>
      </c>
    </row>
    <row r="34" spans="1:31" x14ac:dyDescent="0.25">
      <c r="A34" s="2" t="s">
        <v>39</v>
      </c>
      <c r="B34" s="2">
        <v>2021</v>
      </c>
      <c r="C34" s="2" t="s">
        <v>191</v>
      </c>
      <c r="D34" s="2" t="s">
        <v>304</v>
      </c>
      <c r="E34" s="2">
        <v>5.3888999999999996</v>
      </c>
      <c r="F34" s="2">
        <v>6.2202999999999999</v>
      </c>
      <c r="G34" s="2">
        <v>6.5784000000000002</v>
      </c>
      <c r="H34" s="2">
        <v>1.0423</v>
      </c>
      <c r="I34" s="2">
        <v>0.87029999999999996</v>
      </c>
      <c r="J34">
        <f>0.0667772921531215*(100)</f>
        <v>6.6777292153121506</v>
      </c>
      <c r="K34">
        <f>-0.0455*(100)</f>
        <v>-4.55</v>
      </c>
      <c r="L34" s="2">
        <v>4.7043999999999997</v>
      </c>
      <c r="M34" s="2">
        <v>1.0210999999999999</v>
      </c>
      <c r="N34" s="2">
        <v>1.5382</v>
      </c>
      <c r="O34" s="2">
        <v>0.48880000000000001</v>
      </c>
      <c r="P34" s="2">
        <v>6.8030999999999997</v>
      </c>
      <c r="Q34" s="2">
        <v>-35.633299999999998</v>
      </c>
      <c r="R34" s="2">
        <v>-46.540847711250002</v>
      </c>
      <c r="S34" s="2">
        <v>7.9600000000000004E-2</v>
      </c>
      <c r="T34" s="2">
        <v>4.0900999999999996</v>
      </c>
      <c r="U34" s="2">
        <v>61.646599999999999</v>
      </c>
      <c r="V34" s="2">
        <v>16.09790903740813</v>
      </c>
      <c r="W34" s="2">
        <v>1.0738926167200267</v>
      </c>
      <c r="X34" s="2">
        <v>114.22</v>
      </c>
      <c r="Y34" s="2">
        <v>-5.74</v>
      </c>
      <c r="Z34" s="4">
        <v>8.4</v>
      </c>
      <c r="AA34" s="4">
        <v>9</v>
      </c>
      <c r="AB34" s="2">
        <v>0.9</v>
      </c>
      <c r="AC34" s="2">
        <v>20.9</v>
      </c>
      <c r="AD34" s="2">
        <v>10.400000000000006</v>
      </c>
      <c r="AE34" s="2">
        <v>1</v>
      </c>
    </row>
    <row r="35" spans="1:31" x14ac:dyDescent="0.25">
      <c r="A35" s="2" t="s">
        <v>40</v>
      </c>
      <c r="B35" s="2">
        <v>2021</v>
      </c>
      <c r="C35" s="2" t="s">
        <v>192</v>
      </c>
      <c r="D35" s="2" t="s">
        <v>305</v>
      </c>
      <c r="E35" s="2">
        <v>1.7831999999999999</v>
      </c>
      <c r="F35" s="2">
        <v>-1.857</v>
      </c>
      <c r="G35" s="2">
        <v>-1.2885</v>
      </c>
      <c r="H35" s="2">
        <v>0.80159999999999998</v>
      </c>
      <c r="I35" s="2">
        <v>0.76939999999999997</v>
      </c>
      <c r="J35">
        <f>0.0257288580947297*(100)</f>
        <v>2.5728858094729699</v>
      </c>
      <c r="K35">
        <f>0.0345*(100)</f>
        <v>3.45</v>
      </c>
      <c r="L35" s="2">
        <v>3.9422000000000001</v>
      </c>
      <c r="M35" s="2">
        <v>0.25280000000000002</v>
      </c>
      <c r="N35" s="2">
        <v>9.6555999999999997</v>
      </c>
      <c r="O35" s="2">
        <v>0.1017</v>
      </c>
      <c r="P35" s="2">
        <v>0.84950000000000003</v>
      </c>
      <c r="Q35" s="2">
        <v>-22.357500000000002</v>
      </c>
      <c r="R35" s="2">
        <v>-140.06252374761931</v>
      </c>
      <c r="S35" s="2">
        <v>-1.3875999999999999</v>
      </c>
      <c r="T35" s="2">
        <v>-1.8399000000000001</v>
      </c>
      <c r="U35" s="2">
        <v>76.823800000000006</v>
      </c>
      <c r="V35" s="2">
        <v>26.289279156561836</v>
      </c>
      <c r="W35" s="2">
        <v>19.231905070846388</v>
      </c>
      <c r="X35" s="2">
        <v>65.75</v>
      </c>
      <c r="Y35" s="2">
        <v>25.84</v>
      </c>
      <c r="Z35" s="4">
        <v>8.4</v>
      </c>
      <c r="AA35" s="4">
        <v>9</v>
      </c>
      <c r="AB35" s="2">
        <v>0.9</v>
      </c>
      <c r="AC35" s="2">
        <v>20.9</v>
      </c>
      <c r="AD35" s="2">
        <v>10.400000000000006</v>
      </c>
      <c r="AE35" s="2">
        <v>1</v>
      </c>
    </row>
    <row r="36" spans="1:31" x14ac:dyDescent="0.25">
      <c r="A36" s="2" t="s">
        <v>46</v>
      </c>
      <c r="B36" s="2">
        <v>2021</v>
      </c>
      <c r="C36" s="2" t="s">
        <v>198</v>
      </c>
      <c r="D36" s="2" t="s">
        <v>307</v>
      </c>
      <c r="E36" s="2">
        <v>0.13009999999999999</v>
      </c>
      <c r="F36" s="2">
        <v>-7.51E-2</v>
      </c>
      <c r="G36" s="2">
        <v>1.6299999999999999E-2</v>
      </c>
      <c r="H36" s="2">
        <v>1.6404000000000001</v>
      </c>
      <c r="I36" s="2">
        <v>1.5122</v>
      </c>
      <c r="J36">
        <f>0.0222422158576797*(100)</f>
        <v>2.2242215857679701</v>
      </c>
      <c r="K36">
        <f>0.0026*(100)</f>
        <v>0.26</v>
      </c>
      <c r="L36" s="2">
        <v>0.80300000000000005</v>
      </c>
      <c r="M36" s="2">
        <v>0.1075</v>
      </c>
      <c r="N36" s="2">
        <v>0.31940000000000002</v>
      </c>
      <c r="O36" s="2">
        <v>6.0900000000000003E-2</v>
      </c>
      <c r="P36" s="2">
        <v>2.7738999999999998</v>
      </c>
      <c r="Q36" s="2">
        <v>36.628900000000002</v>
      </c>
      <c r="R36" s="2">
        <v>99.484565563675901</v>
      </c>
      <c r="S36" s="2">
        <v>0.16209999999999999</v>
      </c>
      <c r="T36" s="2">
        <v>7.3856000000000002</v>
      </c>
      <c r="U36" s="2">
        <v>65.970600000000005</v>
      </c>
      <c r="V36" s="2">
        <v>31.124060488762169</v>
      </c>
      <c r="W36" s="2">
        <v>1.7738526318664487</v>
      </c>
      <c r="X36" s="2">
        <v>37.630000000000003</v>
      </c>
      <c r="Y36" s="2">
        <v>2.78</v>
      </c>
      <c r="Z36" s="4">
        <v>8.4</v>
      </c>
      <c r="AA36" s="4">
        <v>9</v>
      </c>
      <c r="AB36" s="2">
        <v>0.9</v>
      </c>
      <c r="AC36" s="2">
        <v>20.9</v>
      </c>
      <c r="AD36" s="2">
        <v>9.0999999999999943</v>
      </c>
      <c r="AE36" s="2">
        <v>1</v>
      </c>
    </row>
    <row r="37" spans="1:31" x14ac:dyDescent="0.25">
      <c r="A37" s="2" t="s">
        <v>55</v>
      </c>
      <c r="B37" s="2">
        <v>2021</v>
      </c>
      <c r="C37" s="2" t="s">
        <v>181</v>
      </c>
      <c r="D37" s="2" t="s">
        <v>298</v>
      </c>
      <c r="E37" s="2">
        <v>-4.0338000000000003</v>
      </c>
      <c r="F37" s="2">
        <v>-63.677900000000001</v>
      </c>
      <c r="G37" s="2">
        <v>-25.799600000000002</v>
      </c>
      <c r="H37" s="2">
        <v>0.8367</v>
      </c>
      <c r="I37" s="2">
        <v>0.43319999999999997</v>
      </c>
      <c r="J37">
        <f>0.172316516268081*(100)</f>
        <v>17.231651626808102</v>
      </c>
      <c r="K37">
        <f>0.0483*(100)</f>
        <v>4.83</v>
      </c>
      <c r="L37" s="2">
        <v>0.9073</v>
      </c>
      <c r="M37" s="2">
        <v>0.52700000000000002</v>
      </c>
      <c r="N37" s="2">
        <v>1.6777</v>
      </c>
      <c r="O37" s="2">
        <v>0.24929999999999999</v>
      </c>
      <c r="P37" s="2">
        <v>39.235399999999998</v>
      </c>
      <c r="Q37" s="2">
        <v>-41.989899999999999</v>
      </c>
      <c r="R37" s="2">
        <v>-826.58893527305736</v>
      </c>
      <c r="S37" s="2">
        <v>-12.9724</v>
      </c>
      <c r="T37" s="2">
        <v>-59.5473</v>
      </c>
      <c r="U37" s="2">
        <v>82.528499999999994</v>
      </c>
      <c r="V37" s="2">
        <v>21.164463149789732</v>
      </c>
      <c r="W37" s="2">
        <v>0.3743473223795506</v>
      </c>
      <c r="X37" s="2">
        <v>115.03</v>
      </c>
      <c r="Y37" s="2">
        <v>14.79</v>
      </c>
      <c r="Z37" s="4">
        <v>8.4</v>
      </c>
      <c r="AA37" s="4">
        <v>9</v>
      </c>
      <c r="AB37" s="2">
        <v>0.9</v>
      </c>
      <c r="AC37" s="2">
        <v>20.9</v>
      </c>
      <c r="AD37" s="2">
        <v>9.0999999999999943</v>
      </c>
      <c r="AE37" s="2">
        <v>1</v>
      </c>
    </row>
    <row r="38" spans="1:31" x14ac:dyDescent="0.25">
      <c r="A38" s="2" t="s">
        <v>37</v>
      </c>
      <c r="B38" s="2">
        <v>2021</v>
      </c>
      <c r="C38" s="2" t="s">
        <v>189</v>
      </c>
      <c r="D38" s="2" t="s">
        <v>297</v>
      </c>
      <c r="E38" s="2">
        <v>-29.104199999999999</v>
      </c>
      <c r="F38" s="2">
        <v>-45.003829500000023</v>
      </c>
      <c r="G38" s="2">
        <v>-282.74579999999997</v>
      </c>
      <c r="H38" s="2">
        <v>0.36620000000000003</v>
      </c>
      <c r="I38" s="2">
        <v>0.33879999999999999</v>
      </c>
      <c r="J38">
        <f>0.157867471535817*(100)</f>
        <v>15.7867471535817</v>
      </c>
      <c r="K38">
        <f>0.0006*(100)</f>
        <v>0.06</v>
      </c>
      <c r="L38" s="2">
        <v>2.8961000000000001</v>
      </c>
      <c r="M38" s="2">
        <v>0.28070000000000001</v>
      </c>
      <c r="N38" s="2">
        <v>0.3478</v>
      </c>
      <c r="O38" s="2">
        <v>0.1293</v>
      </c>
      <c r="P38" s="2">
        <v>2.0158999999999998</v>
      </c>
      <c r="Q38" s="2">
        <v>-25.159099999999999</v>
      </c>
      <c r="R38" s="2">
        <v>55.288953911344983</v>
      </c>
      <c r="S38" s="2">
        <v>-10.2759</v>
      </c>
      <c r="T38" s="2">
        <v>-51.435299999999998</v>
      </c>
      <c r="U38" s="2">
        <v>215.45689999999999</v>
      </c>
      <c r="V38" s="2">
        <v>87.928547366753946</v>
      </c>
      <c r="W38" s="2">
        <v>-3.1479865264864153</v>
      </c>
      <c r="X38" s="2">
        <v>70.399999999999991</v>
      </c>
      <c r="Y38" s="2">
        <v>1.02</v>
      </c>
      <c r="Z38" s="4">
        <v>8.4</v>
      </c>
      <c r="AA38" s="4">
        <v>9</v>
      </c>
      <c r="AB38" s="2">
        <v>0.9</v>
      </c>
      <c r="AC38" s="2">
        <v>20.9</v>
      </c>
      <c r="AD38" s="2">
        <v>10.400000000000006</v>
      </c>
      <c r="AE38" s="2">
        <v>1</v>
      </c>
    </row>
    <row r="39" spans="1:31" x14ac:dyDescent="0.25">
      <c r="A39" s="2" t="s">
        <v>44</v>
      </c>
      <c r="B39" s="2">
        <v>2021</v>
      </c>
      <c r="C39" s="2" t="s">
        <v>196</v>
      </c>
      <c r="D39" s="2" t="s">
        <v>302</v>
      </c>
      <c r="E39" s="2">
        <v>-58.973999999999997</v>
      </c>
      <c r="F39" s="2">
        <v>-622.99390000000005</v>
      </c>
      <c r="G39" s="2">
        <v>-563.39279999999997</v>
      </c>
      <c r="H39" s="2">
        <v>0.79620000000000002</v>
      </c>
      <c r="I39" s="2">
        <v>0.55110000000000003</v>
      </c>
      <c r="J39">
        <f>0.0241644218192973*(100)</f>
        <v>2.4164421819297299</v>
      </c>
      <c r="K39">
        <f>0.0236*(100)</f>
        <v>2.36</v>
      </c>
      <c r="L39" s="2">
        <v>0.28160000000000002</v>
      </c>
      <c r="M39" s="2">
        <v>0.1651</v>
      </c>
      <c r="N39" s="2">
        <v>0.69079999999999997</v>
      </c>
      <c r="O39" s="2">
        <v>0.1105</v>
      </c>
      <c r="P39" s="2">
        <v>1.7816000000000001</v>
      </c>
      <c r="Q39" s="2">
        <v>-52.715200000000003</v>
      </c>
      <c r="R39" s="2">
        <v>-567.98366366185257</v>
      </c>
      <c r="S39" s="2">
        <v>-48.400599999999997</v>
      </c>
      <c r="T39" s="2">
        <v>-151.35730000000001</v>
      </c>
      <c r="U39" s="2">
        <v>131.23560000000001</v>
      </c>
      <c r="V39" s="2">
        <v>61.363473837739136</v>
      </c>
      <c r="W39" s="2">
        <v>-1.3214515136135097</v>
      </c>
      <c r="X39" s="2">
        <v>112.82</v>
      </c>
      <c r="Y39" s="2">
        <v>19.059999999999999</v>
      </c>
      <c r="Z39" s="4">
        <v>8.4</v>
      </c>
      <c r="AA39" s="4">
        <v>9</v>
      </c>
      <c r="AB39" s="2">
        <v>0.9</v>
      </c>
      <c r="AC39" s="2">
        <v>20.9</v>
      </c>
      <c r="AD39" s="2">
        <v>9.0999999999999943</v>
      </c>
      <c r="AE39" s="2">
        <v>1</v>
      </c>
    </row>
    <row r="40" spans="1:31" x14ac:dyDescent="0.25">
      <c r="A40" s="2" t="s">
        <v>53</v>
      </c>
      <c r="B40" s="2">
        <v>2021</v>
      </c>
      <c r="C40" s="2" t="s">
        <v>204</v>
      </c>
      <c r="D40" s="2" t="s">
        <v>312</v>
      </c>
      <c r="E40" s="2">
        <v>0.25969999999999999</v>
      </c>
      <c r="F40" s="2">
        <v>-15.5069</v>
      </c>
      <c r="G40" s="2">
        <v>-4.7827999999999999</v>
      </c>
      <c r="H40" s="2">
        <v>0.8024</v>
      </c>
      <c r="I40" s="2">
        <v>0.69869999999999999</v>
      </c>
      <c r="J40">
        <f>0.168717263864765*(100)</f>
        <v>16.871726386476499</v>
      </c>
      <c r="K40">
        <f>0.0598*(100)</f>
        <v>5.9799999999999995</v>
      </c>
      <c r="L40" s="2">
        <v>7.4625000000000004</v>
      </c>
      <c r="M40" s="2">
        <v>1.1955</v>
      </c>
      <c r="N40" s="2">
        <v>3.9929000000000001</v>
      </c>
      <c r="O40" s="2">
        <v>0.55559999999999998</v>
      </c>
      <c r="P40" s="2">
        <v>7.7557</v>
      </c>
      <c r="Q40" s="2">
        <v>-11.1372</v>
      </c>
      <c r="R40" s="2">
        <v>-781.56507062580738</v>
      </c>
      <c r="S40" s="2">
        <v>-3.76</v>
      </c>
      <c r="T40" s="2">
        <v>-17.770099999999999</v>
      </c>
      <c r="U40" s="2">
        <v>74.168700000000001</v>
      </c>
      <c r="V40" s="2">
        <v>13.513886582871351</v>
      </c>
      <c r="W40" s="2">
        <v>0.73446518223899593</v>
      </c>
      <c r="X40" s="2">
        <v>95.97</v>
      </c>
      <c r="Y40" s="2">
        <v>7.8299999999999992</v>
      </c>
      <c r="Z40" s="4">
        <v>8.4</v>
      </c>
      <c r="AA40" s="4">
        <v>9</v>
      </c>
      <c r="AB40" s="2">
        <v>0.9</v>
      </c>
      <c r="AC40" s="2">
        <v>20.9</v>
      </c>
      <c r="AD40" s="2">
        <v>9.0999999999999943</v>
      </c>
      <c r="AE40" s="2">
        <v>1</v>
      </c>
    </row>
    <row r="41" spans="1:31" x14ac:dyDescent="0.25">
      <c r="A41" s="2" t="s">
        <v>34</v>
      </c>
      <c r="B41" s="2">
        <v>2021</v>
      </c>
      <c r="C41" s="2" t="s">
        <v>187</v>
      </c>
      <c r="D41" s="2" t="s">
        <v>301</v>
      </c>
      <c r="E41" s="2">
        <v>-3.1366000000000001</v>
      </c>
      <c r="F41" s="2">
        <v>-11.6652</v>
      </c>
      <c r="G41" s="2">
        <v>-43.4664</v>
      </c>
      <c r="H41" s="2">
        <v>1.1059000000000001</v>
      </c>
      <c r="I41" s="2">
        <v>1.0326</v>
      </c>
      <c r="J41">
        <f>0.31810712556671*(100)</f>
        <v>31.810712556671</v>
      </c>
      <c r="K41">
        <f>0.0564*(100)</f>
        <v>5.64</v>
      </c>
      <c r="L41" s="2">
        <v>1.6167</v>
      </c>
      <c r="M41" s="2">
        <v>0.18859999999999999</v>
      </c>
      <c r="N41" s="2">
        <v>0.74199999999999999</v>
      </c>
      <c r="O41" s="2">
        <v>0.10630000000000001</v>
      </c>
      <c r="P41" s="2">
        <v>0.68959999999999999</v>
      </c>
      <c r="Q41" s="2">
        <v>-59.787500000000001</v>
      </c>
      <c r="R41" s="2">
        <v>-122.87069755541989</v>
      </c>
      <c r="S41" s="2">
        <v>-4.3258999999999999</v>
      </c>
      <c r="T41" s="2">
        <v>-9.4931000000000001</v>
      </c>
      <c r="U41" s="2">
        <v>55.863100000000003</v>
      </c>
      <c r="V41" s="2">
        <v>8.0456095707751398</v>
      </c>
      <c r="W41" s="2">
        <v>2.9229661535121734</v>
      </c>
      <c r="X41" s="2">
        <v>146.22</v>
      </c>
      <c r="Y41" s="2">
        <v>28.96</v>
      </c>
      <c r="Z41" s="4">
        <v>8.4</v>
      </c>
      <c r="AA41" s="4">
        <v>9</v>
      </c>
      <c r="AB41" s="2">
        <v>0.9</v>
      </c>
      <c r="AC41" s="2">
        <v>20.9</v>
      </c>
      <c r="AD41" s="2">
        <v>9.1</v>
      </c>
      <c r="AE41" s="2">
        <v>1</v>
      </c>
    </row>
    <row r="42" spans="1:31" x14ac:dyDescent="0.25">
      <c r="A42" s="2" t="s">
        <v>56</v>
      </c>
      <c r="B42" s="2">
        <v>2021</v>
      </c>
      <c r="C42" s="2" t="s">
        <v>206</v>
      </c>
      <c r="D42" s="2" t="s">
        <v>313</v>
      </c>
      <c r="E42" s="2">
        <v>-12.6371</v>
      </c>
      <c r="F42" s="2">
        <v>-43.679400000000001</v>
      </c>
      <c r="G42" s="2">
        <v>-264.66070000000002</v>
      </c>
      <c r="H42" s="2">
        <v>0.55120000000000002</v>
      </c>
      <c r="I42" s="2">
        <v>0.55100000000000005</v>
      </c>
      <c r="J42">
        <f>0.0404524503985596*(100)</f>
        <v>4.0452450398559598</v>
      </c>
      <c r="K42">
        <f>0.0189*(100)</f>
        <v>1.8900000000000001</v>
      </c>
      <c r="L42" s="2">
        <v>330.21460000000002</v>
      </c>
      <c r="M42" s="2">
        <v>0.22009999999999999</v>
      </c>
      <c r="N42" s="2">
        <v>0.37419999999999998</v>
      </c>
      <c r="O42" s="2">
        <v>6.2600000000000003E-2</v>
      </c>
      <c r="P42" s="2">
        <v>3.9379</v>
      </c>
      <c r="Q42" s="2">
        <v>-17.3703</v>
      </c>
      <c r="R42" s="2">
        <v>-963.93811781153363</v>
      </c>
      <c r="S42" s="2">
        <v>-35.4604</v>
      </c>
      <c r="T42" s="2">
        <v>-72.551400000000001</v>
      </c>
      <c r="U42" s="2">
        <v>79.970100000000002</v>
      </c>
      <c r="V42" s="2">
        <v>7.8262960994133577</v>
      </c>
      <c r="W42" s="2">
        <v>0.93881136499506423</v>
      </c>
      <c r="X42" s="2">
        <v>96.32</v>
      </c>
      <c r="Y42" s="2">
        <v>19</v>
      </c>
      <c r="Z42" s="4">
        <v>8.4</v>
      </c>
      <c r="AA42" s="4">
        <v>9</v>
      </c>
      <c r="AB42" s="2">
        <v>0.9</v>
      </c>
      <c r="AC42" s="2">
        <v>20.9</v>
      </c>
      <c r="AD42" s="2">
        <v>10.400000000000006</v>
      </c>
      <c r="AE42" s="2">
        <v>1</v>
      </c>
    </row>
    <row r="43" spans="1:31" x14ac:dyDescent="0.25">
      <c r="A43" s="2" t="s">
        <v>68</v>
      </c>
      <c r="B43" s="2">
        <v>2020</v>
      </c>
      <c r="C43" s="2" t="s">
        <v>216</v>
      </c>
      <c r="D43" s="2" t="s">
        <v>321</v>
      </c>
      <c r="E43" s="2">
        <v>9.7490000000000006</v>
      </c>
      <c r="F43" s="2">
        <v>5.8836000000000004</v>
      </c>
      <c r="G43" s="2">
        <v>8.9733000000000001</v>
      </c>
      <c r="H43" s="2">
        <v>0.98480000000000001</v>
      </c>
      <c r="I43" s="2">
        <v>0.74560000000000004</v>
      </c>
      <c r="J43">
        <f>0.523473509598789*(100)</f>
        <v>52.347350959878902</v>
      </c>
      <c r="K43">
        <f>0.1652*(100)</f>
        <v>16.520000000000003</v>
      </c>
      <c r="L43" s="2">
        <v>5.5121000000000002</v>
      </c>
      <c r="M43" s="2">
        <v>1.7357</v>
      </c>
      <c r="N43" s="2">
        <v>4.7760999999999996</v>
      </c>
      <c r="O43" s="2">
        <v>0.98880000000000001</v>
      </c>
      <c r="P43" s="2">
        <v>22.9726</v>
      </c>
      <c r="Q43" s="2">
        <v>18.410399999999999</v>
      </c>
      <c r="R43" s="2">
        <v>12.029889544879451</v>
      </c>
      <c r="S43" s="2">
        <v>14.238899999999999</v>
      </c>
      <c r="T43" s="2">
        <v>11.070499999999999</v>
      </c>
      <c r="U43" s="2">
        <v>74.114500000000007</v>
      </c>
      <c r="V43" s="2">
        <v>14.604618416515949</v>
      </c>
      <c r="W43" s="2">
        <v>0.13310870667451524</v>
      </c>
      <c r="X43" s="2">
        <v>121.71</v>
      </c>
      <c r="Y43" s="2">
        <v>13.21</v>
      </c>
      <c r="Z43" s="4">
        <v>2.2999999999999998</v>
      </c>
      <c r="AA43" s="4">
        <v>10.100000000000001</v>
      </c>
      <c r="AB43" s="2">
        <v>2.5</v>
      </c>
      <c r="AC43" s="2">
        <v>16.100000000000001</v>
      </c>
      <c r="AD43" s="2">
        <v>-0.90000000000000568</v>
      </c>
      <c r="AE43" s="2">
        <v>1</v>
      </c>
    </row>
    <row r="44" spans="1:31" x14ac:dyDescent="0.25">
      <c r="A44" s="2" t="s">
        <v>67</v>
      </c>
      <c r="B44" s="2">
        <v>2020</v>
      </c>
      <c r="C44" s="2" t="s">
        <v>215</v>
      </c>
      <c r="D44" s="2" t="s">
        <v>320</v>
      </c>
      <c r="E44" s="2">
        <v>11.279299999999999</v>
      </c>
      <c r="F44" s="2">
        <v>10.513500000000001</v>
      </c>
      <c r="G44" s="2">
        <v>13.9506</v>
      </c>
      <c r="H44" s="2">
        <v>2.7648000000000001</v>
      </c>
      <c r="I44" s="2">
        <v>2.1943999999999999</v>
      </c>
      <c r="J44">
        <f>0.626069806072417*(100)</f>
        <v>62.606980607241702</v>
      </c>
      <c r="K44">
        <f>0.1907*(100)</f>
        <v>19.07</v>
      </c>
      <c r="L44" s="2">
        <v>4.6759000000000004</v>
      </c>
      <c r="M44" s="2">
        <v>1.3929</v>
      </c>
      <c r="N44" s="2">
        <v>2.2713000000000001</v>
      </c>
      <c r="O44" s="2">
        <v>0.65359999999999996</v>
      </c>
      <c r="P44" s="2">
        <v>5.9751000000000003</v>
      </c>
      <c r="Q44" s="2">
        <v>4.5529999999999999</v>
      </c>
      <c r="R44" s="2">
        <v>-3.4840653963319261</v>
      </c>
      <c r="S44" s="2">
        <v>8.8613</v>
      </c>
      <c r="T44" s="2">
        <v>11.792299999999999</v>
      </c>
      <c r="U44" s="2">
        <v>34.701700000000002</v>
      </c>
      <c r="V44" s="2">
        <v>16.71562898045384</v>
      </c>
      <c r="W44" s="2">
        <v>2.2937531805140541</v>
      </c>
      <c r="X44" s="2">
        <v>115.7</v>
      </c>
      <c r="Y44" s="2">
        <v>10.55</v>
      </c>
      <c r="Z44" s="4">
        <v>2.2999999999999998</v>
      </c>
      <c r="AA44" s="4">
        <v>10.100000000000001</v>
      </c>
      <c r="AB44" s="2">
        <v>2.5</v>
      </c>
      <c r="AC44" s="2">
        <v>16.100000000000001</v>
      </c>
      <c r="AD44" s="2">
        <v>2.4000000000000057</v>
      </c>
      <c r="AE44" s="2">
        <v>1</v>
      </c>
    </row>
    <row r="45" spans="1:31" x14ac:dyDescent="0.25">
      <c r="A45" s="2" t="s">
        <v>60</v>
      </c>
      <c r="B45" s="2">
        <v>2020</v>
      </c>
      <c r="C45" s="2" t="s">
        <v>210</v>
      </c>
      <c r="D45" s="2" t="s">
        <v>311</v>
      </c>
      <c r="E45" s="2">
        <v>2.7010999999999998</v>
      </c>
      <c r="F45" s="2">
        <v>5.5156999999999998</v>
      </c>
      <c r="G45" s="2">
        <v>4.2031999999999998</v>
      </c>
      <c r="H45" s="2">
        <v>1.7357</v>
      </c>
      <c r="I45" s="2">
        <v>0.63800000000000001</v>
      </c>
      <c r="J45">
        <f>0.0722284499968462*(100)</f>
        <v>7.2228449996846207</v>
      </c>
      <c r="K45">
        <f>-0.038*(100)</f>
        <v>-3.8</v>
      </c>
      <c r="L45" s="2">
        <v>0.75449999999999995</v>
      </c>
      <c r="M45" s="2">
        <v>0.55659999999999998</v>
      </c>
      <c r="N45" s="2">
        <v>88.517700000000005</v>
      </c>
      <c r="O45" s="2">
        <v>0.49340000000000001</v>
      </c>
      <c r="P45" s="2">
        <v>15.9633</v>
      </c>
      <c r="Q45" s="2">
        <v>6.2023000000000001</v>
      </c>
      <c r="R45" s="2">
        <v>-30.40709825483912</v>
      </c>
      <c r="S45" s="2">
        <v>11.9863</v>
      </c>
      <c r="T45" s="2">
        <v>5.6264000000000003</v>
      </c>
      <c r="U45" s="2">
        <v>77.316599999999994</v>
      </c>
      <c r="V45" s="2">
        <v>25.885630180193996</v>
      </c>
      <c r="W45" s="2">
        <v>29.353717783477389</v>
      </c>
      <c r="X45" s="2">
        <v>124.42</v>
      </c>
      <c r="Y45" s="2">
        <v>-6.3</v>
      </c>
      <c r="Z45" s="4">
        <v>2.2999999999999998</v>
      </c>
      <c r="AA45" s="4">
        <v>10.100000000000001</v>
      </c>
      <c r="AB45" s="2">
        <v>2.5</v>
      </c>
      <c r="AC45" s="2">
        <v>16.100000000000001</v>
      </c>
      <c r="AD45" s="2">
        <v>2.7000000000000028</v>
      </c>
      <c r="AE45" s="2">
        <v>1</v>
      </c>
    </row>
    <row r="46" spans="1:31" x14ac:dyDescent="0.25">
      <c r="A46" s="2" t="s">
        <v>79</v>
      </c>
      <c r="B46" s="2">
        <v>2020</v>
      </c>
      <c r="C46" s="2" t="s">
        <v>223</v>
      </c>
      <c r="D46" s="2" t="s">
        <v>321</v>
      </c>
      <c r="E46" s="2">
        <v>-26.355499999999999</v>
      </c>
      <c r="F46" s="2">
        <v>-259.79719999999998</v>
      </c>
      <c r="G46" s="2">
        <v>-192.9229</v>
      </c>
      <c r="H46" s="2">
        <v>0.85960000000000003</v>
      </c>
      <c r="I46" s="2">
        <v>0.5867</v>
      </c>
      <c r="J46">
        <f>0.133262483412458*(100)</f>
        <v>13.326248341245799</v>
      </c>
      <c r="K46">
        <f>-0.1161*(100)</f>
        <v>-11.61</v>
      </c>
      <c r="L46" s="2">
        <v>0.75939999999999996</v>
      </c>
      <c r="M46" s="2">
        <v>0.24229999999999999</v>
      </c>
      <c r="N46" s="2">
        <v>0.94669999999999999</v>
      </c>
      <c r="O46" s="2">
        <v>0.1487</v>
      </c>
      <c r="P46" s="2">
        <v>0.9194</v>
      </c>
      <c r="Q46" s="2">
        <v>-69.925799999999995</v>
      </c>
      <c r="R46" s="2">
        <v>-1175.4955786132939</v>
      </c>
      <c r="S46" s="2">
        <v>-29.706700000000001</v>
      </c>
      <c r="T46" s="2">
        <v>-112.4735</v>
      </c>
      <c r="U46" s="2">
        <v>87.838399999999993</v>
      </c>
      <c r="V46" s="2">
        <v>10.410653286108811</v>
      </c>
      <c r="W46" s="2">
        <v>-0.10585538509361553</v>
      </c>
      <c r="X46" s="2">
        <v>108.87</v>
      </c>
      <c r="Y46" s="2">
        <v>-56.610000000000007</v>
      </c>
      <c r="Z46" s="4">
        <v>2.2999999999999998</v>
      </c>
      <c r="AA46" s="4">
        <v>10.100000000000001</v>
      </c>
      <c r="AB46" s="2">
        <v>2.5</v>
      </c>
      <c r="AC46" s="2">
        <v>16.100000000000001</v>
      </c>
      <c r="AD46" s="2">
        <v>-0.90000000000000568</v>
      </c>
      <c r="AE46" s="2">
        <v>1</v>
      </c>
    </row>
    <row r="47" spans="1:31" x14ac:dyDescent="0.25">
      <c r="A47" s="2" t="s">
        <v>90</v>
      </c>
      <c r="B47" s="2">
        <v>2020</v>
      </c>
      <c r="C47" s="2" t="s">
        <v>230</v>
      </c>
      <c r="D47" s="2" t="s">
        <v>312</v>
      </c>
      <c r="E47" s="2">
        <v>-21.255700000000001</v>
      </c>
      <c r="F47" s="2">
        <v>-174.51840000000001</v>
      </c>
      <c r="G47" s="2">
        <v>-108.3339</v>
      </c>
      <c r="H47" s="2">
        <v>0.38979999999999998</v>
      </c>
      <c r="I47" s="2">
        <v>0.32779999999999998</v>
      </c>
      <c r="J47">
        <f>0.0514678164614362*(100)</f>
        <v>5.1467816461436202</v>
      </c>
      <c r="K47">
        <f>-0.0584*(100)</f>
        <v>-5.84</v>
      </c>
      <c r="L47" s="2">
        <v>3.8247</v>
      </c>
      <c r="M47" s="2">
        <v>0.57599999999999996</v>
      </c>
      <c r="N47" s="2">
        <v>1.4358</v>
      </c>
      <c r="O47" s="2">
        <v>0.2296</v>
      </c>
      <c r="P47" s="2">
        <v>3.9260999999999999</v>
      </c>
      <c r="Q47" s="2">
        <v>-33.407800000000002</v>
      </c>
      <c r="R47" s="2">
        <v>-4068.0852786151891</v>
      </c>
      <c r="S47" s="2">
        <v>-33.436700000000002</v>
      </c>
      <c r="T47" s="2">
        <v>-103.7124</v>
      </c>
      <c r="U47" s="2">
        <v>93.760800000000003</v>
      </c>
      <c r="V47" s="2">
        <v>10.309058452142155</v>
      </c>
      <c r="W47" s="2">
        <v>-4.7097526402627078E-2</v>
      </c>
      <c r="X47" s="2">
        <v>101.13</v>
      </c>
      <c r="Y47" s="2">
        <v>-18.989999999999998</v>
      </c>
      <c r="Z47" s="4">
        <v>2.2999999999999998</v>
      </c>
      <c r="AA47" s="4">
        <v>10.100000000000001</v>
      </c>
      <c r="AB47" s="2">
        <v>2.5</v>
      </c>
      <c r="AC47" s="2">
        <v>16.100000000000001</v>
      </c>
      <c r="AD47" s="2">
        <v>-0.90000000000000568</v>
      </c>
      <c r="AE47" s="2">
        <v>1</v>
      </c>
    </row>
    <row r="48" spans="1:31" x14ac:dyDescent="0.25">
      <c r="A48" s="2" t="s">
        <v>72</v>
      </c>
      <c r="B48" s="2">
        <v>2020</v>
      </c>
      <c r="C48" s="2" t="s">
        <v>218</v>
      </c>
      <c r="D48" s="2" t="s">
        <v>322</v>
      </c>
      <c r="E48" s="2">
        <v>-30.435300000000002</v>
      </c>
      <c r="F48" s="2">
        <v>-105.755</v>
      </c>
      <c r="G48" s="2">
        <v>-286.2955</v>
      </c>
      <c r="H48" s="2">
        <v>1.1393</v>
      </c>
      <c r="I48" s="2">
        <v>0.32850000000000001</v>
      </c>
      <c r="J48">
        <f>0.00690407783154899*(100)</f>
        <v>0.69040778315489904</v>
      </c>
      <c r="K48">
        <f>-0.0019*(100)</f>
        <v>-0.19</v>
      </c>
      <c r="L48" s="2">
        <v>0.19739999999999999</v>
      </c>
      <c r="M48" s="2">
        <v>0.13400000000000001</v>
      </c>
      <c r="N48" s="2">
        <v>2.3843000000000001</v>
      </c>
      <c r="O48" s="2">
        <v>0.1193</v>
      </c>
      <c r="P48" s="2">
        <v>0.44209999999999999</v>
      </c>
      <c r="Q48" s="2">
        <v>-89.436000000000007</v>
      </c>
      <c r="R48" s="2">
        <v>-191.00364076528589</v>
      </c>
      <c r="S48" s="2">
        <v>-27.735800000000001</v>
      </c>
      <c r="T48" s="2">
        <v>-69.111500000000007</v>
      </c>
      <c r="U48" s="2">
        <v>81.3249</v>
      </c>
      <c r="V48" s="2">
        <v>3.5479426339433804</v>
      </c>
      <c r="W48" s="2">
        <v>3.1354242880694319</v>
      </c>
      <c r="X48" s="2">
        <v>217.26</v>
      </c>
      <c r="Y48" s="2">
        <v>-1.1100000000000001</v>
      </c>
      <c r="Z48" s="4">
        <v>2.2999999999999998</v>
      </c>
      <c r="AA48" s="4">
        <v>10.100000000000001</v>
      </c>
      <c r="AB48" s="2">
        <v>2.5</v>
      </c>
      <c r="AC48" s="2">
        <v>16.100000000000001</v>
      </c>
      <c r="AD48" s="2">
        <v>-0.90000000000000568</v>
      </c>
      <c r="AE48" s="2">
        <v>1</v>
      </c>
    </row>
    <row r="49" spans="1:31" x14ac:dyDescent="0.25">
      <c r="A49" s="2" t="s">
        <v>70</v>
      </c>
      <c r="B49" s="2">
        <v>2020</v>
      </c>
      <c r="C49" s="2" t="s">
        <v>217</v>
      </c>
      <c r="D49" s="2" t="s">
        <v>311</v>
      </c>
      <c r="E49" s="2">
        <v>8.0446000000000009</v>
      </c>
      <c r="F49" s="2">
        <v>10.479699999999999</v>
      </c>
      <c r="G49" s="2">
        <v>4.1292</v>
      </c>
      <c r="H49" s="2">
        <v>2.6002000000000001</v>
      </c>
      <c r="I49" s="2">
        <v>1.7766</v>
      </c>
      <c r="J49">
        <f>0.0866124165322522*(100)</f>
        <v>8.6612416532252201</v>
      </c>
      <c r="K49">
        <f>0.0503*(100)</f>
        <v>5.0299999999999994</v>
      </c>
      <c r="L49" s="2">
        <v>4.9939999999999998</v>
      </c>
      <c r="M49" s="2">
        <v>1.7237</v>
      </c>
      <c r="N49" s="2">
        <v>34.981400000000001</v>
      </c>
      <c r="O49" s="2">
        <v>1.6265000000000001</v>
      </c>
      <c r="P49" s="2">
        <v>6.8921000000000001</v>
      </c>
      <c r="Q49" s="2">
        <v>6.5587</v>
      </c>
      <c r="R49" s="2">
        <v>-8.5417728180237678</v>
      </c>
      <c r="S49" s="2">
        <v>5.7039</v>
      </c>
      <c r="T49" s="2">
        <v>11.0604</v>
      </c>
      <c r="U49" s="2">
        <v>48.157299999999999</v>
      </c>
      <c r="V49" s="2">
        <v>11.79053367780836</v>
      </c>
      <c r="W49" s="2">
        <v>12.210544554021867</v>
      </c>
      <c r="X49" s="2">
        <v>98.240000000000009</v>
      </c>
      <c r="Y49" s="2">
        <v>1.53</v>
      </c>
      <c r="Z49" s="4">
        <v>2.2999999999999998</v>
      </c>
      <c r="AA49" s="4">
        <v>10.100000000000001</v>
      </c>
      <c r="AB49" s="2">
        <v>2.5</v>
      </c>
      <c r="AC49" s="2">
        <v>16.100000000000001</v>
      </c>
      <c r="AD49" s="2">
        <v>2.7000000000000028</v>
      </c>
      <c r="AE49" s="2">
        <v>1</v>
      </c>
    </row>
    <row r="50" spans="1:31" x14ac:dyDescent="0.25">
      <c r="A50" s="2" t="s">
        <v>73</v>
      </c>
      <c r="B50" s="2">
        <v>2020</v>
      </c>
      <c r="C50" s="2" t="s">
        <v>219</v>
      </c>
      <c r="D50" s="2" t="s">
        <v>323</v>
      </c>
      <c r="E50" s="2">
        <v>4.7491000000000003</v>
      </c>
      <c r="F50" s="2">
        <v>-45.003829500000023</v>
      </c>
      <c r="G50" s="2">
        <v>-4.4089999999999998</v>
      </c>
      <c r="H50" s="2">
        <v>0.26669999999999999</v>
      </c>
      <c r="I50" s="2">
        <v>0.21829999999999999</v>
      </c>
      <c r="J50">
        <f>0.103201905391768*(100)</f>
        <v>10.320190539176801</v>
      </c>
      <c r="K50">
        <f>0.0276*(100)</f>
        <v>2.76</v>
      </c>
      <c r="L50" s="2">
        <v>4.7751000000000001</v>
      </c>
      <c r="M50" s="2">
        <v>1.0553999999999999</v>
      </c>
      <c r="N50" s="2">
        <v>0.40739999999999998</v>
      </c>
      <c r="O50" s="2">
        <v>0.23799999999999999</v>
      </c>
      <c r="P50" s="2">
        <v>11.950200000000001</v>
      </c>
      <c r="Q50" s="2">
        <v>-53.030200000000001</v>
      </c>
      <c r="R50" s="2">
        <v>90.830887885380534</v>
      </c>
      <c r="S50" s="2">
        <v>-2.3127</v>
      </c>
      <c r="T50" s="2">
        <v>-10.457000000000001</v>
      </c>
      <c r="U50" s="2">
        <v>113.764</v>
      </c>
      <c r="V50" s="2">
        <v>29.243409935234883</v>
      </c>
      <c r="W50" s="2">
        <v>-0.42459704177548718</v>
      </c>
      <c r="X50" s="2">
        <v>83.12</v>
      </c>
      <c r="Y50" s="2">
        <v>13.05</v>
      </c>
      <c r="Z50" s="4">
        <v>2.2999999999999998</v>
      </c>
      <c r="AA50" s="4">
        <v>10.100000000000001</v>
      </c>
      <c r="AB50" s="2">
        <v>2.5</v>
      </c>
      <c r="AC50" s="2">
        <v>16.100000000000001</v>
      </c>
      <c r="AD50" s="2">
        <v>2.4000000000000057</v>
      </c>
      <c r="AE50" s="2">
        <v>1</v>
      </c>
    </row>
    <row r="51" spans="1:31" x14ac:dyDescent="0.25">
      <c r="A51" s="2" t="s">
        <v>35</v>
      </c>
      <c r="B51" s="2">
        <v>2020</v>
      </c>
      <c r="C51" s="2" t="s">
        <v>188</v>
      </c>
      <c r="D51" s="2" t="s">
        <v>302</v>
      </c>
      <c r="E51" s="2">
        <v>-4.9112999999999998</v>
      </c>
      <c r="F51" s="2">
        <v>-45.003829500000023</v>
      </c>
      <c r="G51" s="2">
        <v>-68.036699999999996</v>
      </c>
      <c r="H51" s="2">
        <v>1.1214999999999999</v>
      </c>
      <c r="I51" s="2">
        <v>0.52329999999999999</v>
      </c>
      <c r="J51">
        <f>0.0123420049902012*(100)</f>
        <v>1.2342004990201201</v>
      </c>
      <c r="K51">
        <f>0.0431*(100)</f>
        <v>4.3099999999999996</v>
      </c>
      <c r="L51" s="2">
        <v>0.30599999999999999</v>
      </c>
      <c r="M51" s="2">
        <v>0.18060000000000001</v>
      </c>
      <c r="N51" s="2">
        <v>1.3661000000000001</v>
      </c>
      <c r="O51" s="2">
        <v>0.1313</v>
      </c>
      <c r="P51" s="2">
        <v>2.3321000000000001</v>
      </c>
      <c r="Q51" s="2">
        <v>-33.113799999999998</v>
      </c>
      <c r="R51" s="2">
        <v>-501.33041808283548</v>
      </c>
      <c r="S51" s="2">
        <v>-12.160399999999999</v>
      </c>
      <c r="T51" s="2">
        <v>-478.4579</v>
      </c>
      <c r="U51" s="2">
        <v>87.514799999999994</v>
      </c>
      <c r="V51" s="2">
        <v>23.175871535602855</v>
      </c>
      <c r="W51" s="2">
        <v>-0.59826598000597453</v>
      </c>
      <c r="X51" s="2">
        <v>114.76</v>
      </c>
      <c r="Y51" s="2">
        <v>26.66</v>
      </c>
      <c r="Z51" s="4">
        <v>2.2999999999999998</v>
      </c>
      <c r="AA51" s="4">
        <v>10.100000000000001</v>
      </c>
      <c r="AB51" s="2">
        <v>2.5</v>
      </c>
      <c r="AC51" s="2">
        <v>16.100000000000001</v>
      </c>
      <c r="AD51" s="2">
        <v>-0.90000000000000568</v>
      </c>
      <c r="AE51" s="2">
        <v>1</v>
      </c>
    </row>
    <row r="52" spans="1:31" x14ac:dyDescent="0.25">
      <c r="A52" s="2" t="s">
        <v>87</v>
      </c>
      <c r="B52" s="2">
        <v>2020</v>
      </c>
      <c r="C52" s="2" t="s">
        <v>227</v>
      </c>
      <c r="D52" s="2" t="s">
        <v>321</v>
      </c>
      <c r="E52" s="2">
        <v>-18.036899999999999</v>
      </c>
      <c r="F52" s="2">
        <v>-91.840699999999998</v>
      </c>
      <c r="G52" s="2">
        <v>-71.416700000000006</v>
      </c>
      <c r="H52" s="2">
        <v>0.44750000000000001</v>
      </c>
      <c r="I52" s="2">
        <v>0.37959999999999999</v>
      </c>
      <c r="J52">
        <f>0.178792488924841*(100)</f>
        <v>17.8792488924841</v>
      </c>
      <c r="K52">
        <f>-0.0682*(100)</f>
        <v>-6.8199999999999994</v>
      </c>
      <c r="L52" s="2">
        <v>5.7034000000000002</v>
      </c>
      <c r="M52" s="2">
        <v>0.74150000000000005</v>
      </c>
      <c r="N52" s="2">
        <v>1.3084</v>
      </c>
      <c r="O52" s="2">
        <v>0.31490000000000001</v>
      </c>
      <c r="P52" s="2">
        <v>3.6612</v>
      </c>
      <c r="Q52" s="2">
        <v>-32.354799999999997</v>
      </c>
      <c r="R52" s="2">
        <v>-2000.4927824501949</v>
      </c>
      <c r="S52" s="2">
        <v>-30.453099999999999</v>
      </c>
      <c r="T52" s="2">
        <v>-63.172600000000003</v>
      </c>
      <c r="U52" s="2">
        <v>85.399299999999997</v>
      </c>
      <c r="V52" s="2">
        <v>8.6645929007223987</v>
      </c>
      <c r="W52" s="2">
        <v>0.57527386716767415</v>
      </c>
      <c r="X52" s="2">
        <v>99.1</v>
      </c>
      <c r="Y52" s="2">
        <v>-15.18</v>
      </c>
      <c r="Z52" s="4">
        <v>2.2999999999999998</v>
      </c>
      <c r="AA52" s="4">
        <v>10.100000000000001</v>
      </c>
      <c r="AB52" s="2">
        <v>2.5</v>
      </c>
      <c r="AC52" s="2">
        <v>16.100000000000001</v>
      </c>
      <c r="AD52" s="2">
        <v>-0.90000000000000568</v>
      </c>
      <c r="AE52" s="2">
        <v>1</v>
      </c>
    </row>
    <row r="53" spans="1:31" x14ac:dyDescent="0.25">
      <c r="A53" s="2" t="s">
        <v>66</v>
      </c>
      <c r="B53" s="2">
        <v>2020</v>
      </c>
      <c r="C53" s="2" t="s">
        <v>214</v>
      </c>
      <c r="D53" s="2" t="s">
        <v>319</v>
      </c>
      <c r="E53" s="2">
        <v>-8.7380999999999993</v>
      </c>
      <c r="F53" s="2">
        <v>-36.691800000000001</v>
      </c>
      <c r="G53" s="2">
        <v>-77.241100000000003</v>
      </c>
      <c r="H53" s="2">
        <v>0.75619999999999998</v>
      </c>
      <c r="I53" s="2">
        <v>0.61580000000000001</v>
      </c>
      <c r="J53">
        <f>0.0324180171523095*(100)</f>
        <v>3.2418017152309497</v>
      </c>
      <c r="K53">
        <f>-0.1247*(100)</f>
        <v>-12.47</v>
      </c>
      <c r="L53" s="2">
        <v>0.77680000000000005</v>
      </c>
      <c r="M53" s="2">
        <v>0.34129999999999999</v>
      </c>
      <c r="N53" s="2">
        <v>1.3048</v>
      </c>
      <c r="O53" s="2">
        <v>0.1439</v>
      </c>
      <c r="P53" s="2">
        <v>2.0590999999999999</v>
      </c>
      <c r="Q53" s="2">
        <v>-31.9849</v>
      </c>
      <c r="R53" s="2">
        <v>-797.77728896624569</v>
      </c>
      <c r="S53" s="2">
        <v>-15.158799999999999</v>
      </c>
      <c r="T53" s="2">
        <v>-31.8062</v>
      </c>
      <c r="U53" s="2">
        <v>65.444299999999998</v>
      </c>
      <c r="V53" s="2">
        <v>7.4609514365239358</v>
      </c>
      <c r="W53" s="2">
        <v>1.9308318998248584</v>
      </c>
      <c r="X53" s="2">
        <v>98.79</v>
      </c>
      <c r="Y53" s="2">
        <v>-52.05</v>
      </c>
      <c r="Z53" s="4">
        <v>2.2999999999999998</v>
      </c>
      <c r="AA53" s="4">
        <v>10.100000000000001</v>
      </c>
      <c r="AB53" s="2">
        <v>2.5</v>
      </c>
      <c r="AC53" s="2">
        <v>16.100000000000001</v>
      </c>
      <c r="AD53" s="2">
        <v>-0.90000000000000568</v>
      </c>
      <c r="AE53" s="2">
        <v>1</v>
      </c>
    </row>
    <row r="54" spans="1:31" x14ac:dyDescent="0.25">
      <c r="A54" s="2" t="s">
        <v>71</v>
      </c>
      <c r="B54" s="2">
        <v>2020</v>
      </c>
      <c r="C54" s="2" t="s">
        <v>193</v>
      </c>
      <c r="D54" s="2" t="s">
        <v>298</v>
      </c>
      <c r="E54" s="2">
        <v>-12.777900000000001</v>
      </c>
      <c r="F54" s="2">
        <v>-101.3664</v>
      </c>
      <c r="G54" s="2">
        <v>-94.185599999999994</v>
      </c>
      <c r="H54" s="2">
        <v>1.0706</v>
      </c>
      <c r="I54" s="2">
        <v>0.91249999999999998</v>
      </c>
      <c r="J54">
        <f>0.0671441683227428*(100)</f>
        <v>6.7144168322742797</v>
      </c>
      <c r="K54">
        <f>0.0573*(100)</f>
        <v>5.7299999999999995</v>
      </c>
      <c r="L54" s="2">
        <v>1.5599000000000001</v>
      </c>
      <c r="M54" s="2">
        <v>0.25409999999999999</v>
      </c>
      <c r="N54" s="2">
        <v>1.7931999999999999</v>
      </c>
      <c r="O54" s="2">
        <v>0.17050000000000001</v>
      </c>
      <c r="P54" s="2">
        <v>1.9278</v>
      </c>
      <c r="Q54" s="2">
        <v>-33.262599999999999</v>
      </c>
      <c r="R54" s="2">
        <v>-1289.580827781738</v>
      </c>
      <c r="S54" s="2">
        <v>-5.1210000000000004</v>
      </c>
      <c r="T54" s="2">
        <v>-66.312399999999997</v>
      </c>
      <c r="U54" s="2">
        <v>77.147099999999995</v>
      </c>
      <c r="V54" s="2">
        <v>14.254191372818598</v>
      </c>
      <c r="W54" s="2">
        <v>0.80745777107155192</v>
      </c>
      <c r="X54" s="2">
        <v>124.68</v>
      </c>
      <c r="Y54" s="2">
        <v>25.58</v>
      </c>
      <c r="Z54" s="4">
        <v>2.2999999999999998</v>
      </c>
      <c r="AA54" s="4">
        <v>10.100000000000001</v>
      </c>
      <c r="AB54" s="2">
        <v>2.5</v>
      </c>
      <c r="AC54" s="2">
        <v>16.100000000000001</v>
      </c>
      <c r="AD54" s="2">
        <v>2.4000000000000057</v>
      </c>
      <c r="AE54" s="2">
        <v>1</v>
      </c>
    </row>
    <row r="55" spans="1:31" x14ac:dyDescent="0.25">
      <c r="A55" s="2" t="s">
        <v>31</v>
      </c>
      <c r="B55" s="2">
        <v>2020</v>
      </c>
      <c r="C55" s="2" t="s">
        <v>184</v>
      </c>
      <c r="D55" s="2" t="s">
        <v>295</v>
      </c>
      <c r="E55" s="2">
        <v>-79.454400000000007</v>
      </c>
      <c r="F55" s="2">
        <v>-45.003829500000023</v>
      </c>
      <c r="G55" s="2">
        <v>-2970.4598000000001</v>
      </c>
      <c r="H55" s="2">
        <v>0.55720000000000003</v>
      </c>
      <c r="I55" s="2">
        <v>0.19939999999999999</v>
      </c>
      <c r="J55">
        <f>0.00958044504706886*(100)</f>
        <v>0.95804450470688596</v>
      </c>
      <c r="K55">
        <f>0.0159*(100)</f>
        <v>1.59</v>
      </c>
      <c r="L55" s="2">
        <v>4.4600000000000001E-2</v>
      </c>
      <c r="M55" s="2">
        <v>4.87E-2</v>
      </c>
      <c r="N55" s="2">
        <v>2.4001999999999999</v>
      </c>
      <c r="O55" s="2">
        <v>1.9099999999999999E-2</v>
      </c>
      <c r="P55" s="2">
        <v>0.4133</v>
      </c>
      <c r="Q55" s="2">
        <v>-96.314800000000005</v>
      </c>
      <c r="R55" s="2">
        <v>-24.79199635187911</v>
      </c>
      <c r="S55" s="2">
        <v>-44.295000000000002</v>
      </c>
      <c r="T55" s="2">
        <v>-3527.3569000000002</v>
      </c>
      <c r="U55" s="2">
        <v>216.46809999999999</v>
      </c>
      <c r="V55" s="2">
        <v>112.76319234976131</v>
      </c>
      <c r="W55" s="2">
        <v>-110.00190754818344</v>
      </c>
      <c r="X55" s="2">
        <v>242.25</v>
      </c>
      <c r="Y55" s="2">
        <v>129.27000000000001</v>
      </c>
      <c r="Z55" s="4">
        <v>2.2999999999999998</v>
      </c>
      <c r="AA55" s="4">
        <v>10.100000000000001</v>
      </c>
      <c r="AB55" s="2">
        <v>2.5</v>
      </c>
      <c r="AC55" s="2">
        <v>16.100000000000001</v>
      </c>
      <c r="AD55" s="2">
        <v>1.2999999999999972</v>
      </c>
      <c r="AE55" s="2">
        <v>1</v>
      </c>
    </row>
    <row r="56" spans="1:31" x14ac:dyDescent="0.25">
      <c r="A56" s="2" t="s">
        <v>48</v>
      </c>
      <c r="B56" s="2">
        <v>2020</v>
      </c>
      <c r="C56" s="2" t="s">
        <v>200</v>
      </c>
      <c r="D56" s="2" t="s">
        <v>308</v>
      </c>
      <c r="E56" s="2">
        <v>0.99</v>
      </c>
      <c r="F56" s="2">
        <v>-2.2953999999999999</v>
      </c>
      <c r="G56" s="2">
        <v>-4.4279000000000002</v>
      </c>
      <c r="H56" s="2">
        <v>1.0980000000000001</v>
      </c>
      <c r="I56" s="2">
        <v>0.66110000000000002</v>
      </c>
      <c r="J56">
        <f>0.049564046824315*(100)</f>
        <v>4.9564046824314998</v>
      </c>
      <c r="K56">
        <f>-0.2046*(100)</f>
        <v>-20.46</v>
      </c>
      <c r="L56" s="2">
        <v>1.0522</v>
      </c>
      <c r="M56" s="2">
        <v>0.55630000000000002</v>
      </c>
      <c r="N56" s="2">
        <v>1.3449</v>
      </c>
      <c r="O56" s="2">
        <v>0.30809999999999998</v>
      </c>
      <c r="P56" s="2">
        <v>2.1135000000000002</v>
      </c>
      <c r="Q56" s="2">
        <v>-29.148800000000001</v>
      </c>
      <c r="R56" s="2">
        <v>-149.0542548529678</v>
      </c>
      <c r="S56" s="2">
        <v>-9.3428000000000004</v>
      </c>
      <c r="T56" s="2">
        <v>-6.9432999999999998</v>
      </c>
      <c r="U56" s="2">
        <v>51.9649</v>
      </c>
      <c r="V56" s="2">
        <v>1.3925661102451878</v>
      </c>
      <c r="W56" s="2">
        <v>2.0348600124144016</v>
      </c>
      <c r="X56" s="2">
        <v>97.66</v>
      </c>
      <c r="Y56" s="2">
        <v>-32.83</v>
      </c>
      <c r="Z56" s="4">
        <v>2.2999999999999998</v>
      </c>
      <c r="AA56" s="4">
        <v>10.100000000000001</v>
      </c>
      <c r="AB56" s="2">
        <v>2.5</v>
      </c>
      <c r="AC56" s="2">
        <v>16.100000000000001</v>
      </c>
      <c r="AD56" s="2">
        <v>-0.90000000000000568</v>
      </c>
      <c r="AE56" s="2">
        <v>1</v>
      </c>
    </row>
    <row r="57" spans="1:31" x14ac:dyDescent="0.25">
      <c r="A57" s="2" t="s">
        <v>45</v>
      </c>
      <c r="B57" s="2">
        <v>2020</v>
      </c>
      <c r="C57" s="2" t="s">
        <v>197</v>
      </c>
      <c r="D57" s="2" t="s">
        <v>307</v>
      </c>
      <c r="E57" s="2">
        <v>-9.9626000000000001</v>
      </c>
      <c r="F57" s="2">
        <v>-45.003829500000023</v>
      </c>
      <c r="G57" s="2">
        <v>-304.32409999999999</v>
      </c>
      <c r="H57" s="2">
        <v>0.69079999999999997</v>
      </c>
      <c r="I57" s="2">
        <v>0.6734</v>
      </c>
      <c r="J57">
        <f>0.00336133920820137*(100)</f>
        <v>0.33613392082013699</v>
      </c>
      <c r="K57">
        <f>-0.0065*(100)</f>
        <v>-0.65</v>
      </c>
      <c r="L57" s="2">
        <v>1.7563</v>
      </c>
      <c r="M57" s="2">
        <v>8.7099999999999997E-2</v>
      </c>
      <c r="N57" s="2">
        <v>0.26029999999999998</v>
      </c>
      <c r="O57" s="2">
        <v>4.5100000000000001E-2</v>
      </c>
      <c r="P57" s="2">
        <v>1.1366000000000001</v>
      </c>
      <c r="Q57" s="2">
        <v>-76.043800000000005</v>
      </c>
      <c r="R57" s="2">
        <v>36.677262807949297</v>
      </c>
      <c r="S57" s="2">
        <v>-20.55</v>
      </c>
      <c r="T57" s="2">
        <v>-226.51169999999999</v>
      </c>
      <c r="U57" s="2">
        <v>100.703</v>
      </c>
      <c r="V57" s="2">
        <v>12.429343529048971</v>
      </c>
      <c r="W57" s="2">
        <v>-0.48482845099562522</v>
      </c>
      <c r="X57" s="2">
        <v>60.94</v>
      </c>
      <c r="Y57" s="2">
        <v>-12.91</v>
      </c>
      <c r="Z57" s="4">
        <v>2.2999999999999998</v>
      </c>
      <c r="AA57" s="4">
        <v>10.100000000000001</v>
      </c>
      <c r="AB57" s="2">
        <v>2.5</v>
      </c>
      <c r="AC57" s="2">
        <v>16.100000000000001</v>
      </c>
      <c r="AD57" s="2">
        <v>-0.90000000000000568</v>
      </c>
      <c r="AE57" s="2">
        <v>1</v>
      </c>
    </row>
    <row r="58" spans="1:31" x14ac:dyDescent="0.25">
      <c r="A58" s="2" t="s">
        <v>50</v>
      </c>
      <c r="B58" s="2">
        <v>2020</v>
      </c>
      <c r="C58" s="2" t="s">
        <v>201</v>
      </c>
      <c r="D58" s="2" t="s">
        <v>309</v>
      </c>
      <c r="E58" s="2">
        <v>-13.755100000000001</v>
      </c>
      <c r="F58" s="2">
        <v>-64.527299999999997</v>
      </c>
      <c r="G58" s="2">
        <v>-947.08759999999995</v>
      </c>
      <c r="H58" s="2">
        <v>0.2132</v>
      </c>
      <c r="I58" s="2">
        <v>0.18970000000000001</v>
      </c>
      <c r="J58">
        <f>0.0083695229914374*(100)</f>
        <v>0.83695229914374003</v>
      </c>
      <c r="K58">
        <f>-0.0083*(100)</f>
        <v>-0.83</v>
      </c>
      <c r="L58" s="2">
        <v>3.7343000000000002</v>
      </c>
      <c r="M58" s="2">
        <v>0.1227</v>
      </c>
      <c r="N58" s="2">
        <v>0.1147</v>
      </c>
      <c r="O58" s="2">
        <v>1.9E-2</v>
      </c>
      <c r="P58" s="2">
        <v>0.28320000000000001</v>
      </c>
      <c r="Q58" s="2">
        <v>-89.364000000000004</v>
      </c>
      <c r="R58" s="2">
        <v>-119.5427615973868</v>
      </c>
      <c r="S58" s="2">
        <v>-10.43</v>
      </c>
      <c r="T58" s="2">
        <v>-48.786200000000001</v>
      </c>
      <c r="U58" s="2">
        <v>82.116399999999999</v>
      </c>
      <c r="V58" s="2">
        <v>23.25103422976493</v>
      </c>
      <c r="W58" s="2">
        <v>1.0978064716692522</v>
      </c>
      <c r="X58" s="2">
        <v>219.68</v>
      </c>
      <c r="Y58" s="2">
        <v>-33.79</v>
      </c>
      <c r="Z58" s="4">
        <v>2.2999999999999998</v>
      </c>
      <c r="AA58" s="4">
        <v>10.100000000000001</v>
      </c>
      <c r="AB58" s="2">
        <v>2.5</v>
      </c>
      <c r="AC58" s="2">
        <v>16.100000000000001</v>
      </c>
      <c r="AD58" s="2">
        <v>2.7000000000000028</v>
      </c>
      <c r="AE58" s="2">
        <v>1</v>
      </c>
    </row>
    <row r="59" spans="1:31" x14ac:dyDescent="0.25">
      <c r="A59" s="2" t="s">
        <v>62</v>
      </c>
      <c r="B59" s="2">
        <v>2020</v>
      </c>
      <c r="C59" s="2" t="s">
        <v>211</v>
      </c>
      <c r="D59" s="2" t="s">
        <v>317</v>
      </c>
      <c r="E59" s="2">
        <v>-35.553800000000003</v>
      </c>
      <c r="F59" s="2">
        <v>-284.24540000000002</v>
      </c>
      <c r="G59" s="2">
        <v>-58.013500000000001</v>
      </c>
      <c r="H59" s="2">
        <v>0.83</v>
      </c>
      <c r="I59" s="2">
        <v>0.53959999999999997</v>
      </c>
      <c r="J59">
        <f>0.0542944516739437*(100)</f>
        <v>5.4294451673943698</v>
      </c>
      <c r="K59">
        <f>-0.0113*(100)</f>
        <v>-1.1299999999999999</v>
      </c>
      <c r="L59" s="2">
        <v>1.9386000000000001</v>
      </c>
      <c r="M59" s="2">
        <v>0.75600000000000001</v>
      </c>
      <c r="N59" s="2">
        <v>4.7869000000000002</v>
      </c>
      <c r="O59" s="2">
        <v>0.56740000000000002</v>
      </c>
      <c r="P59" s="2">
        <v>373.9649</v>
      </c>
      <c r="Q59" s="2">
        <v>-41.827500000000001</v>
      </c>
      <c r="R59" s="2">
        <v>-3380.0154859222889</v>
      </c>
      <c r="S59" s="2">
        <v>-13.535399999999999</v>
      </c>
      <c r="T59" s="2">
        <v>-117.24169999999999</v>
      </c>
      <c r="U59" s="2">
        <v>106.2912</v>
      </c>
      <c r="V59" s="2">
        <v>17.741972734675659</v>
      </c>
      <c r="W59" s="2">
        <v>-0.49865849032108894</v>
      </c>
      <c r="X59" s="2">
        <v>101.12</v>
      </c>
      <c r="Y59" s="2">
        <v>-1.96</v>
      </c>
      <c r="Z59" s="4">
        <v>2.2999999999999998</v>
      </c>
      <c r="AA59" s="4">
        <v>10.100000000000001</v>
      </c>
      <c r="AB59" s="2">
        <v>2.5</v>
      </c>
      <c r="AC59" s="2">
        <v>16.100000000000001</v>
      </c>
      <c r="AD59" s="2">
        <v>2.4000000000000057</v>
      </c>
      <c r="AE59" s="2">
        <v>1</v>
      </c>
    </row>
    <row r="60" spans="1:31" x14ac:dyDescent="0.25">
      <c r="A60" s="2" t="s">
        <v>64</v>
      </c>
      <c r="B60" s="2">
        <v>2020</v>
      </c>
      <c r="C60" s="2" t="s">
        <v>212</v>
      </c>
      <c r="D60" s="2" t="s">
        <v>311</v>
      </c>
      <c r="E60" s="2">
        <v>-3.2397</v>
      </c>
      <c r="F60" s="2">
        <v>-33.496099999999998</v>
      </c>
      <c r="G60" s="2">
        <v>-68.007599999999996</v>
      </c>
      <c r="H60" s="2">
        <v>1.1827000000000001</v>
      </c>
      <c r="I60" s="2">
        <v>1.071</v>
      </c>
      <c r="J60">
        <f>0.0137657041336821*(100)</f>
        <v>1.37657041336821</v>
      </c>
      <c r="K60">
        <f>-0.115*(100)</f>
        <v>-11.5</v>
      </c>
      <c r="L60" s="2">
        <v>0.89490000000000003</v>
      </c>
      <c r="M60" s="2">
        <v>0.11550000000000001</v>
      </c>
      <c r="N60" s="2">
        <v>7.4653999999999998</v>
      </c>
      <c r="O60" s="2">
        <v>9.0300000000000005E-2</v>
      </c>
      <c r="P60" s="2">
        <v>1.0338000000000001</v>
      </c>
      <c r="Q60" s="2">
        <v>-62.576300000000003</v>
      </c>
      <c r="R60" s="2">
        <v>-5733.657438785106</v>
      </c>
      <c r="S60" s="2">
        <v>12.0785</v>
      </c>
      <c r="T60" s="2">
        <v>-27.785699999999999</v>
      </c>
      <c r="U60" s="2">
        <v>81.645499999999998</v>
      </c>
      <c r="V60" s="2">
        <v>7.5473214645406417</v>
      </c>
      <c r="W60" s="2">
        <v>12.255667672408237</v>
      </c>
      <c r="X60" s="2">
        <v>101.8</v>
      </c>
      <c r="Y60" s="2">
        <v>-109.9</v>
      </c>
      <c r="Z60" s="4">
        <v>2.2999999999999998</v>
      </c>
      <c r="AA60" s="4">
        <v>10.100000000000001</v>
      </c>
      <c r="AB60" s="2">
        <v>2.5</v>
      </c>
      <c r="AC60" s="2">
        <v>16.100000000000001</v>
      </c>
      <c r="AD60" s="2">
        <v>2.7000000000000028</v>
      </c>
      <c r="AE60" s="2">
        <v>1</v>
      </c>
    </row>
    <row r="61" spans="1:31" x14ac:dyDescent="0.25">
      <c r="A61" s="2" t="s">
        <v>76</v>
      </c>
      <c r="B61" s="2">
        <v>2020</v>
      </c>
      <c r="C61" s="2" t="s">
        <v>199</v>
      </c>
      <c r="D61" s="2" t="s">
        <v>295</v>
      </c>
      <c r="E61" s="2">
        <v>0.4007</v>
      </c>
      <c r="F61" s="2">
        <v>2.4447000000000001</v>
      </c>
      <c r="G61" s="2">
        <v>1.5684</v>
      </c>
      <c r="H61" s="2">
        <v>1.2034</v>
      </c>
      <c r="I61" s="2">
        <v>0.19969999999999999</v>
      </c>
      <c r="J61">
        <f>0.0907580247328456*(100)</f>
        <v>9.0758024732845595</v>
      </c>
      <c r="K61">
        <f>0.1239*(100)</f>
        <v>12.389999999999999</v>
      </c>
      <c r="L61" s="2">
        <v>0.1236</v>
      </c>
      <c r="M61" s="2">
        <v>0.1239</v>
      </c>
      <c r="N61" s="2">
        <v>6.5419</v>
      </c>
      <c r="O61" s="2">
        <v>0.1011</v>
      </c>
      <c r="P61" s="2">
        <v>17.782399999999999</v>
      </c>
      <c r="Q61" s="2">
        <v>-23.767399999999999</v>
      </c>
      <c r="R61" s="2">
        <v>-81.383024322324701</v>
      </c>
      <c r="S61" s="2">
        <v>-7.7436999999999996</v>
      </c>
      <c r="T61" s="2">
        <v>6.7256999999999998</v>
      </c>
      <c r="U61" s="2">
        <v>84.951999999999998</v>
      </c>
      <c r="V61" s="2">
        <v>19.671287043475356</v>
      </c>
      <c r="W61" s="2">
        <v>5.5222670072745901</v>
      </c>
      <c r="X61" s="2">
        <v>186.61</v>
      </c>
      <c r="Y61" s="2">
        <v>99.97</v>
      </c>
      <c r="Z61" s="4">
        <v>2.2999999999999998</v>
      </c>
      <c r="AA61" s="4">
        <v>10.100000000000001</v>
      </c>
      <c r="AB61" s="2">
        <v>2.5</v>
      </c>
      <c r="AC61" s="2">
        <v>16.100000000000001</v>
      </c>
      <c r="AD61" s="2">
        <v>1.2999999999999972</v>
      </c>
      <c r="AE61" s="2">
        <v>1</v>
      </c>
    </row>
    <row r="62" spans="1:31" x14ac:dyDescent="0.25">
      <c r="A62" s="2" t="s">
        <v>51</v>
      </c>
      <c r="B62" s="2">
        <v>2020</v>
      </c>
      <c r="C62" s="2" t="s">
        <v>202</v>
      </c>
      <c r="D62" s="2" t="s">
        <v>310</v>
      </c>
      <c r="E62" s="2">
        <v>2.8900999999999999</v>
      </c>
      <c r="F62" s="2">
        <v>0.3584</v>
      </c>
      <c r="G62" s="2">
        <v>0.5252</v>
      </c>
      <c r="H62" s="2">
        <v>1.0038</v>
      </c>
      <c r="I62" s="2">
        <v>0.69620000000000004</v>
      </c>
      <c r="J62">
        <f>0.240095620096724*(100)</f>
        <v>24.009562009672401</v>
      </c>
      <c r="K62">
        <f>-0.0158*(100)</f>
        <v>-1.58</v>
      </c>
      <c r="L62" s="2">
        <v>0.85360000000000003</v>
      </c>
      <c r="M62" s="2">
        <v>0.35520000000000002</v>
      </c>
      <c r="N62" s="2">
        <v>4.3800999999999997</v>
      </c>
      <c r="O62" s="2">
        <v>0.14119999999999999</v>
      </c>
      <c r="P62" s="2">
        <v>2.6718999999999999</v>
      </c>
      <c r="Q62" s="2">
        <v>-28.292000000000002</v>
      </c>
      <c r="R62" s="2">
        <v>-93.973660697732768</v>
      </c>
      <c r="S62" s="2">
        <v>8.9190000000000005</v>
      </c>
      <c r="T62" s="2">
        <v>-0.9617</v>
      </c>
      <c r="U62" s="2">
        <v>60.535200000000003</v>
      </c>
      <c r="V62" s="2">
        <v>24.589434926680553</v>
      </c>
      <c r="W62" s="2">
        <v>11.496914206167476</v>
      </c>
      <c r="X62" s="2">
        <v>97.41</v>
      </c>
      <c r="Y62" s="2">
        <v>-7.06</v>
      </c>
      <c r="Z62" s="4">
        <v>2.2999999999999998</v>
      </c>
      <c r="AA62" s="4">
        <v>10.100000000000001</v>
      </c>
      <c r="AB62" s="2">
        <v>2.5</v>
      </c>
      <c r="AC62" s="2">
        <v>16.100000000000001</v>
      </c>
      <c r="AD62" s="2">
        <v>2.4000000000000057</v>
      </c>
      <c r="AE62" s="2">
        <v>1</v>
      </c>
    </row>
    <row r="63" spans="1:31" x14ac:dyDescent="0.25">
      <c r="A63" s="2" t="s">
        <v>82</v>
      </c>
      <c r="B63" s="2">
        <v>2020</v>
      </c>
      <c r="C63" s="2" t="s">
        <v>208</v>
      </c>
      <c r="D63" s="2" t="s">
        <v>315</v>
      </c>
      <c r="E63" s="2">
        <v>-5.5709</v>
      </c>
      <c r="F63" s="2">
        <v>-22.3248</v>
      </c>
      <c r="G63" s="2">
        <v>-21.579699999999999</v>
      </c>
      <c r="H63" s="2">
        <v>1.1972</v>
      </c>
      <c r="I63" s="2">
        <v>0.97419999999999995</v>
      </c>
      <c r="J63">
        <f>0.0528489979840667*(100)</f>
        <v>5.2848997984066699</v>
      </c>
      <c r="K63">
        <f>0.0261*(100)</f>
        <v>2.6100000000000003</v>
      </c>
      <c r="L63" s="2">
        <v>2.1920999999999999</v>
      </c>
      <c r="M63" s="2">
        <v>0.48139999999999999</v>
      </c>
      <c r="N63" s="2">
        <v>14.214600000000001</v>
      </c>
      <c r="O63" s="2">
        <v>0.31040000000000001</v>
      </c>
      <c r="P63" s="2">
        <v>1.1053999999999999</v>
      </c>
      <c r="Q63" s="2">
        <v>-24.719899999999999</v>
      </c>
      <c r="R63" s="2">
        <v>-360.78257752860009</v>
      </c>
      <c r="S63" s="2">
        <v>-14.5547</v>
      </c>
      <c r="T63" s="2">
        <v>-28.8687</v>
      </c>
      <c r="U63" s="2">
        <v>74.089200000000005</v>
      </c>
      <c r="V63" s="2">
        <v>19.396293266508209</v>
      </c>
      <c r="W63" s="2">
        <v>11.674603577403815</v>
      </c>
      <c r="X63" s="2">
        <v>47.17</v>
      </c>
      <c r="Y63" s="2">
        <v>5.74</v>
      </c>
      <c r="Z63" s="4">
        <v>2.2999999999999998</v>
      </c>
      <c r="AA63" s="4">
        <v>10.100000000000001</v>
      </c>
      <c r="AB63" s="2">
        <v>2.5</v>
      </c>
      <c r="AC63" s="2">
        <v>16.100000000000001</v>
      </c>
      <c r="AD63" s="2">
        <v>2.4000000000000057</v>
      </c>
      <c r="AE63" s="2">
        <v>1</v>
      </c>
    </row>
    <row r="64" spans="1:31" x14ac:dyDescent="0.25">
      <c r="A64" s="2" t="s">
        <v>86</v>
      </c>
      <c r="B64" s="2">
        <v>2020</v>
      </c>
      <c r="C64" s="2" t="s">
        <v>226</v>
      </c>
      <c r="D64" s="2" t="s">
        <v>322</v>
      </c>
      <c r="E64" s="2">
        <v>-17.943300000000001</v>
      </c>
      <c r="F64" s="2">
        <v>-183.2192</v>
      </c>
      <c r="G64" s="2">
        <v>-151.27719999999999</v>
      </c>
      <c r="H64" s="2">
        <v>0.74329999999999996</v>
      </c>
      <c r="I64" s="2">
        <v>0.67390000000000005</v>
      </c>
      <c r="J64">
        <f>0.0332420651060371*(100)</f>
        <v>3.3242065106037098</v>
      </c>
      <c r="K64">
        <f>-0.0353*(100)</f>
        <v>-3.53</v>
      </c>
      <c r="L64" s="2">
        <v>1.4436</v>
      </c>
      <c r="M64" s="2">
        <v>0.28860000000000002</v>
      </c>
      <c r="N64" s="2">
        <v>27.033200000000001</v>
      </c>
      <c r="O64" s="2">
        <v>0.15870000000000001</v>
      </c>
      <c r="P64" s="2">
        <v>1.6346000000000001</v>
      </c>
      <c r="Q64" s="2">
        <v>-59.598399999999998</v>
      </c>
      <c r="R64" s="2">
        <v>-110.36206187310221</v>
      </c>
      <c r="S64" s="2">
        <v>-28.2042</v>
      </c>
      <c r="T64" s="2">
        <v>-95.788300000000007</v>
      </c>
      <c r="U64" s="2">
        <v>99.487300000000005</v>
      </c>
      <c r="V64" s="2">
        <v>19.49988710601874</v>
      </c>
      <c r="W64" s="2">
        <v>1.8533376478888914</v>
      </c>
      <c r="X64" s="2">
        <v>30.39</v>
      </c>
      <c r="Y64" s="2">
        <v>-18.5</v>
      </c>
      <c r="Z64" s="4">
        <v>2.2999999999999998</v>
      </c>
      <c r="AA64" s="4">
        <v>10.100000000000001</v>
      </c>
      <c r="AB64" s="2">
        <v>2.5</v>
      </c>
      <c r="AC64" s="2">
        <v>16.100000000000001</v>
      </c>
      <c r="AD64" s="2">
        <v>-0.90000000000000568</v>
      </c>
      <c r="AE64" s="2">
        <v>1</v>
      </c>
    </row>
    <row r="65" spans="1:31" x14ac:dyDescent="0.25">
      <c r="A65" s="2" t="s">
        <v>89</v>
      </c>
      <c r="B65" s="2">
        <v>2020</v>
      </c>
      <c r="C65" s="2" t="s">
        <v>229</v>
      </c>
      <c r="D65" s="2" t="s">
        <v>327</v>
      </c>
      <c r="E65" s="2">
        <v>-11.33</v>
      </c>
      <c r="F65" s="2">
        <v>-85.741100000000003</v>
      </c>
      <c r="G65" s="2">
        <v>-86.885900000000007</v>
      </c>
      <c r="H65" s="2">
        <v>0.39700000000000002</v>
      </c>
      <c r="I65" s="2">
        <v>0.38629999999999998</v>
      </c>
      <c r="J65">
        <f>0.22587837626105*(100)</f>
        <v>22.587837626104999</v>
      </c>
      <c r="K65">
        <f>0.0844*(100)</f>
        <v>8.44</v>
      </c>
      <c r="L65" s="2">
        <v>18.694299999999998</v>
      </c>
      <c r="M65" s="2">
        <v>0.60780000000000001</v>
      </c>
      <c r="N65" s="2">
        <v>14.6432</v>
      </c>
      <c r="O65" s="2">
        <v>0.1789</v>
      </c>
      <c r="P65" s="2">
        <v>2.8988</v>
      </c>
      <c r="Q65" s="2">
        <v>-48.634</v>
      </c>
      <c r="R65" s="2">
        <v>83.786515767950206</v>
      </c>
      <c r="S65" s="2">
        <v>-25.815300000000001</v>
      </c>
      <c r="T65" s="2">
        <v>-61.512799999999999</v>
      </c>
      <c r="U65" s="2">
        <v>86.703599999999994</v>
      </c>
      <c r="V65" s="2">
        <v>25.289332840975671</v>
      </c>
      <c r="W65" s="2">
        <v>8.8146571583482807</v>
      </c>
      <c r="X65" s="2">
        <v>118.33</v>
      </c>
      <c r="Y65" s="2">
        <v>34.869999999999997</v>
      </c>
      <c r="Z65" s="4">
        <v>2.2999999999999998</v>
      </c>
      <c r="AA65" s="4">
        <v>10.100000000000001</v>
      </c>
      <c r="AB65" s="2">
        <v>2.5</v>
      </c>
      <c r="AC65" s="2">
        <v>16.100000000000001</v>
      </c>
      <c r="AD65" s="2">
        <v>2.4000000000000057</v>
      </c>
      <c r="AE65" s="2">
        <v>1</v>
      </c>
    </row>
    <row r="66" spans="1:31" x14ac:dyDescent="0.25">
      <c r="A66" s="2" t="s">
        <v>75</v>
      </c>
      <c r="B66" s="2">
        <v>2020</v>
      </c>
      <c r="C66" s="2" t="s">
        <v>220</v>
      </c>
      <c r="D66" s="2" t="s">
        <v>311</v>
      </c>
      <c r="E66" s="2">
        <v>-37.7485</v>
      </c>
      <c r="F66" s="2">
        <v>-96.700999999999993</v>
      </c>
      <c r="G66" s="2">
        <v>-280.73349999999999</v>
      </c>
      <c r="H66" s="2">
        <v>1.0935999999999999</v>
      </c>
      <c r="I66" s="2">
        <v>0.376</v>
      </c>
      <c r="J66">
        <f>0.0288098893024868*(100)</f>
        <v>2.8809889302486802</v>
      </c>
      <c r="K66">
        <f>-0.001*(100)</f>
        <v>-0.1</v>
      </c>
      <c r="L66" s="2">
        <v>0.21079999999999999</v>
      </c>
      <c r="M66" s="2">
        <v>0.18129999999999999</v>
      </c>
      <c r="N66" s="2">
        <v>1.2233000000000001</v>
      </c>
      <c r="O66" s="2">
        <v>0.13819999999999999</v>
      </c>
      <c r="P66" s="2">
        <v>0.70169999999999999</v>
      </c>
      <c r="Q66" s="2">
        <v>-50.926299999999998</v>
      </c>
      <c r="R66" s="2">
        <v>-564.63507093085821</v>
      </c>
      <c r="S66" s="2">
        <v>-32.0871</v>
      </c>
      <c r="T66" s="2">
        <v>-65.231800000000007</v>
      </c>
      <c r="U66" s="2">
        <v>72.952100000000002</v>
      </c>
      <c r="V66" s="2">
        <v>2.3640526142266647</v>
      </c>
      <c r="W66" s="2">
        <v>1.8926510955386495</v>
      </c>
      <c r="X66" s="2">
        <v>97.78</v>
      </c>
      <c r="Y66" s="2">
        <v>-0.45</v>
      </c>
      <c r="Z66" s="4">
        <v>2.2999999999999998</v>
      </c>
      <c r="AA66" s="4">
        <v>10.100000000000001</v>
      </c>
      <c r="AB66" s="2">
        <v>2.5</v>
      </c>
      <c r="AC66" s="2">
        <v>16.100000000000001</v>
      </c>
      <c r="AD66" s="2">
        <v>2.7000000000000028</v>
      </c>
      <c r="AE66" s="2">
        <v>1</v>
      </c>
    </row>
    <row r="67" spans="1:31" x14ac:dyDescent="0.25">
      <c r="A67" s="2" t="s">
        <v>74</v>
      </c>
      <c r="B67" s="2">
        <v>2020</v>
      </c>
      <c r="C67" s="2" t="s">
        <v>181</v>
      </c>
      <c r="D67" s="2" t="s">
        <v>298</v>
      </c>
      <c r="E67" s="2">
        <v>4.415</v>
      </c>
      <c r="F67" s="2">
        <v>3.5434999999999999</v>
      </c>
      <c r="G67" s="2">
        <v>4.0174000000000003</v>
      </c>
      <c r="H67" s="2">
        <v>0.88219999999999998</v>
      </c>
      <c r="I67" s="2">
        <v>0.43030000000000002</v>
      </c>
      <c r="J67">
        <f>0.171569400312022*(100)</f>
        <v>17.1569400312022</v>
      </c>
      <c r="K67">
        <f>0.0723*(100)</f>
        <v>7.23</v>
      </c>
      <c r="L67" s="2">
        <v>1.4619</v>
      </c>
      <c r="M67" s="2">
        <v>0.93200000000000005</v>
      </c>
      <c r="N67" s="2">
        <v>3.4163999999999999</v>
      </c>
      <c r="O67" s="2">
        <v>0.39750000000000002</v>
      </c>
      <c r="P67" s="2">
        <v>48.871099999999998</v>
      </c>
      <c r="Q67" s="2">
        <v>5.4066999999999998</v>
      </c>
      <c r="R67" s="2">
        <v>-38.260965285179047</v>
      </c>
      <c r="S67" s="2">
        <v>-3.1751</v>
      </c>
      <c r="T67" s="2">
        <v>-34.955100000000002</v>
      </c>
      <c r="U67" s="2">
        <v>76.402100000000004</v>
      </c>
      <c r="V67" s="2">
        <v>26.711298522609301</v>
      </c>
      <c r="W67" s="2">
        <v>1.0354113380117917</v>
      </c>
      <c r="X67" s="2">
        <v>101.75</v>
      </c>
      <c r="Y67" s="2">
        <v>13.66</v>
      </c>
      <c r="Z67" s="4">
        <v>2.2999999999999998</v>
      </c>
      <c r="AA67" s="4">
        <v>10.100000000000001</v>
      </c>
      <c r="AB67" s="2">
        <v>2.5</v>
      </c>
      <c r="AC67" s="2">
        <v>16.100000000000001</v>
      </c>
      <c r="AD67" s="2">
        <v>2.4000000000000057</v>
      </c>
      <c r="AE67" s="2">
        <v>1</v>
      </c>
    </row>
    <row r="68" spans="1:31" x14ac:dyDescent="0.25">
      <c r="A68" s="2" t="s">
        <v>61</v>
      </c>
      <c r="B68" s="2">
        <v>2020</v>
      </c>
      <c r="C68" s="2" t="s">
        <v>195</v>
      </c>
      <c r="D68" s="2" t="s">
        <v>306</v>
      </c>
      <c r="E68" s="2">
        <v>4.3743999999999996</v>
      </c>
      <c r="F68" s="2">
        <v>4.5557999999999996</v>
      </c>
      <c r="G68" s="2">
        <v>3.1616</v>
      </c>
      <c r="H68" s="2">
        <v>1.3673999999999999</v>
      </c>
      <c r="I68" s="2">
        <v>1.0737000000000001</v>
      </c>
      <c r="J68">
        <f>0.224546431047664*(100)</f>
        <v>22.454643104766401</v>
      </c>
      <c r="K68">
        <f>0.0333*(100)</f>
        <v>3.3300000000000005</v>
      </c>
      <c r="L68" s="2">
        <v>3.4091</v>
      </c>
      <c r="M68" s="2">
        <v>0.99239999999999995</v>
      </c>
      <c r="N68" s="2">
        <v>3.2675000000000001</v>
      </c>
      <c r="O68" s="2">
        <v>0.48039999999999999</v>
      </c>
      <c r="P68" s="2">
        <v>5.9880000000000004</v>
      </c>
      <c r="Q68" s="2">
        <v>1.5089999999999999</v>
      </c>
      <c r="R68" s="2">
        <v>-68.65131236850867</v>
      </c>
      <c r="S68" s="2">
        <v>10.8256</v>
      </c>
      <c r="T68" s="2">
        <v>3.1951999999999998</v>
      </c>
      <c r="U68" s="2">
        <v>59.331299999999999</v>
      </c>
      <c r="V68" s="2">
        <v>25.177983553851679</v>
      </c>
      <c r="W68" s="2">
        <v>1.3405139610666703</v>
      </c>
      <c r="X68" s="2">
        <v>94.85</v>
      </c>
      <c r="Y68" s="2">
        <v>4.32</v>
      </c>
      <c r="Z68" s="4">
        <v>2.2999999999999998</v>
      </c>
      <c r="AA68" s="4">
        <v>10.100000000000001</v>
      </c>
      <c r="AB68" s="2">
        <v>2.5</v>
      </c>
      <c r="AC68" s="2">
        <v>16.100000000000001</v>
      </c>
      <c r="AD68" s="2">
        <v>-0.90000000000000568</v>
      </c>
      <c r="AE68" s="2">
        <v>1</v>
      </c>
    </row>
    <row r="69" spans="1:31" x14ac:dyDescent="0.25">
      <c r="A69" s="2" t="s">
        <v>46</v>
      </c>
      <c r="B69" s="2">
        <v>2020</v>
      </c>
      <c r="C69" s="2" t="s">
        <v>198</v>
      </c>
      <c r="D69" s="2" t="s">
        <v>307</v>
      </c>
      <c r="E69" s="2">
        <v>-6.3220999999999998</v>
      </c>
      <c r="F69" s="2">
        <v>-20.814299999999999</v>
      </c>
      <c r="G69" s="2">
        <v>-138.37110000000001</v>
      </c>
      <c r="H69" s="2">
        <v>1.5053000000000001</v>
      </c>
      <c r="I69" s="2">
        <v>1.3611</v>
      </c>
      <c r="J69">
        <f>0.0165956041974687*(100)</f>
        <v>1.6595604197468701</v>
      </c>
      <c r="K69">
        <f>0.0149*(100)</f>
        <v>1.49</v>
      </c>
      <c r="L69" s="2">
        <v>0.61229999999999996</v>
      </c>
      <c r="M69" s="2">
        <v>8.1199999999999994E-2</v>
      </c>
      <c r="N69" s="2">
        <v>0.23169999999999999</v>
      </c>
      <c r="O69" s="2">
        <v>4.4400000000000002E-2</v>
      </c>
      <c r="P69" s="2">
        <v>2.4967999999999999</v>
      </c>
      <c r="Q69" s="2">
        <v>-84.712699999999998</v>
      </c>
      <c r="R69" s="2">
        <v>6.5501771113949374</v>
      </c>
      <c r="S69" s="2">
        <v>-0.52329999999999999</v>
      </c>
      <c r="T69" s="2">
        <v>-13.8795</v>
      </c>
      <c r="U69" s="2">
        <v>68.262799999999999</v>
      </c>
      <c r="V69" s="2">
        <v>31.039875175069465</v>
      </c>
      <c r="W69" s="2">
        <v>1.6291573015846481</v>
      </c>
      <c r="X69" s="2">
        <v>54.85</v>
      </c>
      <c r="Y69" s="2">
        <v>22.86</v>
      </c>
      <c r="Z69" s="4">
        <v>2.2999999999999998</v>
      </c>
      <c r="AA69" s="4">
        <v>10.100000000000001</v>
      </c>
      <c r="AB69" s="2">
        <v>2.5</v>
      </c>
      <c r="AC69" s="2">
        <v>16.100000000000001</v>
      </c>
      <c r="AD69" s="2">
        <v>-0.90000000000000568</v>
      </c>
      <c r="AE69" s="2">
        <v>1</v>
      </c>
    </row>
    <row r="70" spans="1:31" x14ac:dyDescent="0.25">
      <c r="A70" s="2" t="s">
        <v>65</v>
      </c>
      <c r="B70" s="2">
        <v>2020</v>
      </c>
      <c r="C70" s="2" t="s">
        <v>213</v>
      </c>
      <c r="D70" s="2" t="s">
        <v>318</v>
      </c>
      <c r="E70" s="2">
        <v>4.2257999999999996</v>
      </c>
      <c r="F70" s="2">
        <v>0.58530000000000004</v>
      </c>
      <c r="G70" s="2">
        <v>4.1083999999999996</v>
      </c>
      <c r="H70" s="2">
        <v>0.18099999999999999</v>
      </c>
      <c r="I70" s="2">
        <v>0.16309999999999999</v>
      </c>
      <c r="J70">
        <f>0.0441386538932159*(100)</f>
        <v>4.4138653893215896</v>
      </c>
      <c r="K70">
        <f>0.0664*(100)</f>
        <v>6.64</v>
      </c>
      <c r="L70" s="2">
        <v>20.750699999999998</v>
      </c>
      <c r="M70" s="2">
        <v>2.3214000000000001</v>
      </c>
      <c r="N70" s="2">
        <v>0.79179999999999995</v>
      </c>
      <c r="O70" s="2">
        <v>0.19889999999999999</v>
      </c>
      <c r="P70" s="2">
        <v>9.0385000000000009</v>
      </c>
      <c r="Q70" s="2">
        <v>-5.1073000000000004</v>
      </c>
      <c r="R70" s="2">
        <v>75.129663510569344</v>
      </c>
      <c r="S70" s="2">
        <v>-4.1200000000000001E-2</v>
      </c>
      <c r="T70" s="2">
        <v>-1.3064</v>
      </c>
      <c r="U70" s="2">
        <v>73.070800000000006</v>
      </c>
      <c r="V70" s="2">
        <v>29.849014965254341</v>
      </c>
      <c r="W70" s="2">
        <v>0.89348515770797599</v>
      </c>
      <c r="X70" s="2">
        <v>77.2</v>
      </c>
      <c r="Y70" s="2">
        <v>24.4</v>
      </c>
      <c r="Z70" s="4">
        <v>2.2999999999999998</v>
      </c>
      <c r="AA70" s="4">
        <v>10.100000000000001</v>
      </c>
      <c r="AB70" s="2">
        <v>2.5</v>
      </c>
      <c r="AC70" s="2">
        <v>16.100000000000001</v>
      </c>
      <c r="AD70" s="2">
        <v>2.4000000000000057</v>
      </c>
      <c r="AE70" s="2">
        <v>1</v>
      </c>
    </row>
    <row r="71" spans="1:31" x14ac:dyDescent="0.25">
      <c r="A71" s="2" t="s">
        <v>28</v>
      </c>
      <c r="B71" s="2">
        <v>2020</v>
      </c>
      <c r="C71" s="2" t="s">
        <v>182</v>
      </c>
      <c r="D71" s="2" t="s">
        <v>299</v>
      </c>
      <c r="E71" s="2">
        <v>1.8154999999999999</v>
      </c>
      <c r="F71" s="2">
        <v>0.60970000000000002</v>
      </c>
      <c r="G71" s="2">
        <v>2.1545000000000001</v>
      </c>
      <c r="H71" s="2">
        <v>2.5324</v>
      </c>
      <c r="I71" s="2">
        <v>2.2789000000000001</v>
      </c>
      <c r="J71">
        <f>0.858172008396907*(100)</f>
        <v>85.817200839690699</v>
      </c>
      <c r="K71">
        <f>0.002*(100)</f>
        <v>0.2</v>
      </c>
      <c r="L71" s="2">
        <v>12.709300000000001</v>
      </c>
      <c r="M71" s="2">
        <v>1.3741000000000001</v>
      </c>
      <c r="N71" s="2">
        <v>7.2385000000000002</v>
      </c>
      <c r="O71" s="2">
        <v>0.39950000000000002</v>
      </c>
      <c r="P71" s="2">
        <v>10.0458</v>
      </c>
      <c r="Q71" s="2">
        <v>-23.614999999999998</v>
      </c>
      <c r="R71" s="2">
        <v>-77.456971839041159</v>
      </c>
      <c r="S71" s="2">
        <v>-1.1740999999999999</v>
      </c>
      <c r="T71" s="2">
        <v>0.54549999999999998</v>
      </c>
      <c r="U71" s="2">
        <v>40.113100000000003</v>
      </c>
      <c r="V71" s="2">
        <v>28.830442653599249</v>
      </c>
      <c r="W71" s="2">
        <v>7.9497433930274708</v>
      </c>
      <c r="X71" s="2">
        <v>96.57</v>
      </c>
      <c r="Y71" s="2">
        <v>0.2</v>
      </c>
      <c r="Z71" s="4">
        <v>2.2999999999999998</v>
      </c>
      <c r="AA71" s="4">
        <v>10.100000000000001</v>
      </c>
      <c r="AB71" s="2">
        <v>2.5</v>
      </c>
      <c r="AC71" s="2">
        <v>16.100000000000001</v>
      </c>
      <c r="AD71" s="2">
        <v>2.4000000000000057</v>
      </c>
      <c r="AE71" s="2">
        <v>1</v>
      </c>
    </row>
    <row r="72" spans="1:31" x14ac:dyDescent="0.25">
      <c r="A72" s="2" t="s">
        <v>81</v>
      </c>
      <c r="B72" s="2">
        <v>2020</v>
      </c>
      <c r="C72" s="2" t="s">
        <v>196</v>
      </c>
      <c r="D72" s="2" t="s">
        <v>302</v>
      </c>
      <c r="E72" s="2">
        <v>-3.1187999999999998</v>
      </c>
      <c r="F72" s="2">
        <v>-20.0456</v>
      </c>
      <c r="G72" s="2">
        <v>-33.804099999999998</v>
      </c>
      <c r="H72" s="2">
        <v>1.6897</v>
      </c>
      <c r="I72" s="2">
        <v>0.56089999999999995</v>
      </c>
      <c r="J72">
        <f>0.0188874974101551*(100)</f>
        <v>1.8887497410155101</v>
      </c>
      <c r="K72">
        <f>0.0656*(100)</f>
        <v>6.5600000000000005</v>
      </c>
      <c r="L72" s="2">
        <v>0.30449999999999999</v>
      </c>
      <c r="M72" s="2">
        <v>0.22470000000000001</v>
      </c>
      <c r="N72" s="2">
        <v>1.4097999999999999</v>
      </c>
      <c r="O72" s="2">
        <v>0.16619999999999999</v>
      </c>
      <c r="P72" s="2">
        <v>2.3496999999999999</v>
      </c>
      <c r="Q72" s="2">
        <v>-32.93</v>
      </c>
      <c r="R72" s="2">
        <v>-1358.024141099756</v>
      </c>
      <c r="S72" s="2">
        <v>-11.7005</v>
      </c>
      <c r="T72" s="2">
        <v>-21.051100000000002</v>
      </c>
      <c r="U72" s="2">
        <v>68.025700000000001</v>
      </c>
      <c r="V72" s="2">
        <v>24.946760520043785</v>
      </c>
      <c r="W72" s="2">
        <v>2.6660422584873738</v>
      </c>
      <c r="X72" s="2">
        <v>115.75</v>
      </c>
      <c r="Y72" s="2">
        <v>25.18</v>
      </c>
      <c r="Z72" s="4">
        <v>2.2999999999999998</v>
      </c>
      <c r="AA72" s="4">
        <v>10.100000000000001</v>
      </c>
      <c r="AB72" s="2">
        <v>2.5</v>
      </c>
      <c r="AC72" s="2">
        <v>16.100000000000001</v>
      </c>
      <c r="AD72" s="2">
        <v>-0.90000000000000568</v>
      </c>
      <c r="AE72" s="2">
        <v>1</v>
      </c>
    </row>
    <row r="73" spans="1:31" x14ac:dyDescent="0.25">
      <c r="A73" s="2" t="s">
        <v>83</v>
      </c>
      <c r="B73" s="2">
        <v>2020</v>
      </c>
      <c r="C73" s="2" t="s">
        <v>189</v>
      </c>
      <c r="D73" s="2" t="s">
        <v>297</v>
      </c>
      <c r="E73" s="2">
        <v>-50.181899999999999</v>
      </c>
      <c r="F73" s="2">
        <v>-45.003829500000023</v>
      </c>
      <c r="G73" s="2">
        <v>-468.9615</v>
      </c>
      <c r="H73" s="2">
        <v>0.45729999999999998</v>
      </c>
      <c r="I73" s="2">
        <v>0.41410000000000002</v>
      </c>
      <c r="J73">
        <f>0.196180905773963*(100)</f>
        <v>19.618090577396298</v>
      </c>
      <c r="K73">
        <f>-0.0571*(100)</f>
        <v>-5.71</v>
      </c>
      <c r="L73" s="2">
        <v>2.4761000000000002</v>
      </c>
      <c r="M73" s="2">
        <v>0.26600000000000001</v>
      </c>
      <c r="N73" s="2">
        <v>0.41670000000000001</v>
      </c>
      <c r="O73" s="2">
        <v>0.11600000000000001</v>
      </c>
      <c r="P73" s="2">
        <v>1.1737</v>
      </c>
      <c r="Q73" s="2">
        <v>-45.713700000000003</v>
      </c>
      <c r="R73" s="2">
        <v>-204.63331281606921</v>
      </c>
      <c r="S73" s="2">
        <v>-45.211500000000001</v>
      </c>
      <c r="T73" s="2">
        <v>-718.22280000000001</v>
      </c>
      <c r="U73" s="2">
        <v>168.35079999999999</v>
      </c>
      <c r="V73" s="2">
        <v>68.926236246759444</v>
      </c>
      <c r="W73" s="2">
        <v>-1.8225018915928446</v>
      </c>
      <c r="X73" s="2">
        <v>74.989999999999995</v>
      </c>
      <c r="Y73" s="2">
        <v>-58.709999999999987</v>
      </c>
      <c r="Z73" s="4">
        <v>2.2999999999999998</v>
      </c>
      <c r="AA73" s="4">
        <v>10.100000000000001</v>
      </c>
      <c r="AB73" s="2">
        <v>2.5</v>
      </c>
      <c r="AC73" s="2">
        <v>16.100000000000001</v>
      </c>
      <c r="AD73" s="2">
        <v>2.4000000000000057</v>
      </c>
      <c r="AE73" s="2">
        <v>1</v>
      </c>
    </row>
    <row r="74" spans="1:31" x14ac:dyDescent="0.25">
      <c r="A74" s="2" t="s">
        <v>34</v>
      </c>
      <c r="B74" s="2">
        <v>2020</v>
      </c>
      <c r="C74" s="2" t="s">
        <v>187</v>
      </c>
      <c r="D74" s="2" t="s">
        <v>301</v>
      </c>
      <c r="E74" s="2">
        <v>-0.17810000000000001</v>
      </c>
      <c r="F74" s="2">
        <v>-4.8250999999999999</v>
      </c>
      <c r="G74" s="2">
        <v>-7.1116000000000001</v>
      </c>
      <c r="H74" s="2">
        <v>1.3582000000000001</v>
      </c>
      <c r="I74" s="2">
        <v>1.2326999999999999</v>
      </c>
      <c r="J74">
        <f>0.4037248516488*(100)</f>
        <v>40.372485164880004</v>
      </c>
      <c r="K74">
        <f>-0.0831*(100)</f>
        <v>-8.3099999999999987</v>
      </c>
      <c r="L74" s="2">
        <v>4.0739000000000001</v>
      </c>
      <c r="M74" s="2">
        <v>0.40799999999999997</v>
      </c>
      <c r="N74" s="2">
        <v>1.8307</v>
      </c>
      <c r="O74" s="2">
        <v>0.24979999999999999</v>
      </c>
      <c r="P74" s="2">
        <v>1.35</v>
      </c>
      <c r="Q74" s="2">
        <v>-37.867100000000001</v>
      </c>
      <c r="R74" s="2">
        <v>-168.67512123950249</v>
      </c>
      <c r="S74" s="2">
        <v>-6.6353</v>
      </c>
      <c r="T74" s="2">
        <v>-5.8281999999999998</v>
      </c>
      <c r="U74" s="2">
        <v>53.489699999999999</v>
      </c>
      <c r="V74" s="2">
        <v>9.4984801771403742</v>
      </c>
      <c r="W74" s="2">
        <v>3.2185414585172034</v>
      </c>
      <c r="X74" s="2">
        <v>117.49</v>
      </c>
      <c r="Y74" s="2">
        <v>-17.190000000000001</v>
      </c>
      <c r="Z74" s="4">
        <v>2.2999999999999998</v>
      </c>
      <c r="AA74" s="4">
        <v>10.100000000000001</v>
      </c>
      <c r="AB74" s="2">
        <v>2.5</v>
      </c>
      <c r="AC74" s="2">
        <v>16.100000000000001</v>
      </c>
      <c r="AD74" s="2">
        <v>2.4000000000000057</v>
      </c>
      <c r="AE74" s="2">
        <v>1</v>
      </c>
    </row>
    <row r="75" spans="1:31" x14ac:dyDescent="0.25">
      <c r="A75" s="2" t="s">
        <v>84</v>
      </c>
      <c r="B75" s="2">
        <v>2020</v>
      </c>
      <c r="C75" s="2" t="s">
        <v>599</v>
      </c>
      <c r="D75" s="2" t="s">
        <v>325</v>
      </c>
      <c r="E75" s="2">
        <v>-96.788399999999996</v>
      </c>
      <c r="F75" s="2">
        <v>-45.003829500000023</v>
      </c>
      <c r="G75" s="2">
        <v>-251.31360000000001</v>
      </c>
      <c r="H75" s="2">
        <v>0.3145</v>
      </c>
      <c r="I75" s="2">
        <v>0.23769999999999999</v>
      </c>
      <c r="J75">
        <f>0.0510068756361705*(100)</f>
        <v>5.1006875636170497</v>
      </c>
      <c r="K75">
        <f>0.054*(100)</f>
        <v>5.4</v>
      </c>
      <c r="L75" s="2">
        <v>4.9778000000000002</v>
      </c>
      <c r="M75" s="2">
        <v>1.6852</v>
      </c>
      <c r="N75" s="2">
        <v>0.60450000000000004</v>
      </c>
      <c r="O75" s="2">
        <v>0.36599999999999999</v>
      </c>
      <c r="P75" s="2">
        <v>33.954799999999999</v>
      </c>
      <c r="Q75" s="2">
        <v>-0.22670000000000001</v>
      </c>
      <c r="R75" s="2">
        <v>-1195.974606188581</v>
      </c>
      <c r="S75" s="2">
        <v>-69.956900000000005</v>
      </c>
      <c r="T75" s="2">
        <v>-282.5727</v>
      </c>
      <c r="U75" s="2">
        <v>229.01339999999999</v>
      </c>
      <c r="V75" s="2">
        <v>99.397713021597085</v>
      </c>
      <c r="W75" s="2">
        <v>-4.235169335875983</v>
      </c>
      <c r="X75" s="2">
        <v>84.97</v>
      </c>
      <c r="Y75" s="2">
        <v>15.62</v>
      </c>
      <c r="Z75" s="4">
        <v>2.2999999999999998</v>
      </c>
      <c r="AA75" s="4">
        <v>10.100000000000001</v>
      </c>
      <c r="AB75" s="2">
        <v>2.5</v>
      </c>
      <c r="AC75" s="2">
        <v>16.100000000000001</v>
      </c>
      <c r="AD75" s="2">
        <v>2.4000000000000057</v>
      </c>
      <c r="AE75" s="2">
        <v>1</v>
      </c>
    </row>
    <row r="76" spans="1:31" x14ac:dyDescent="0.25">
      <c r="A76" s="2" t="s">
        <v>77</v>
      </c>
      <c r="B76" s="2">
        <v>2020</v>
      </c>
      <c r="C76" s="2" t="s">
        <v>221</v>
      </c>
      <c r="D76" s="2" t="s">
        <v>324</v>
      </c>
      <c r="E76" s="2">
        <v>-43.978900000000003</v>
      </c>
      <c r="F76" s="2">
        <v>-45.003829500000023</v>
      </c>
      <c r="G76" s="2">
        <v>-426.81650000000002</v>
      </c>
      <c r="H76" s="2">
        <v>0.53310000000000002</v>
      </c>
      <c r="I76" s="2">
        <v>0.44030000000000002</v>
      </c>
      <c r="J76">
        <f>0.0350557043616939*(100)</f>
        <v>3.5055704361693896</v>
      </c>
      <c r="K76">
        <f>-0.0379*(100)</f>
        <v>-3.7900000000000005</v>
      </c>
      <c r="L76" s="2">
        <v>0.33050000000000002</v>
      </c>
      <c r="M76" s="2">
        <v>0.11550000000000001</v>
      </c>
      <c r="N76" s="2">
        <v>0.71260000000000001</v>
      </c>
      <c r="O76" s="2">
        <v>8.7300000000000003E-2</v>
      </c>
      <c r="P76" s="2">
        <v>0.31580000000000003</v>
      </c>
      <c r="Q76" s="2">
        <v>-65.244399999999999</v>
      </c>
      <c r="R76" s="2">
        <v>-433.82726474862648</v>
      </c>
      <c r="S76" s="2">
        <v>-69.981099999999998</v>
      </c>
      <c r="T76" s="2">
        <v>-1137.32</v>
      </c>
      <c r="U76" s="2">
        <v>191.30189999999999</v>
      </c>
      <c r="V76" s="2">
        <v>54.578223993628562</v>
      </c>
      <c r="W76" s="2">
        <v>-7.471253819656412</v>
      </c>
      <c r="X76" s="2">
        <v>144.4</v>
      </c>
      <c r="Y76" s="2">
        <v>-38.380000000000003</v>
      </c>
      <c r="Z76" s="4">
        <v>2.2999999999999998</v>
      </c>
      <c r="AA76" s="4">
        <v>10.100000000000001</v>
      </c>
      <c r="AB76" s="2">
        <v>2.5</v>
      </c>
      <c r="AC76" s="2">
        <v>16.100000000000001</v>
      </c>
      <c r="AD76" s="2">
        <v>2.4000000000000057</v>
      </c>
      <c r="AE76" s="2">
        <v>1</v>
      </c>
    </row>
    <row r="77" spans="1:31" x14ac:dyDescent="0.25">
      <c r="A77" s="2" t="s">
        <v>85</v>
      </c>
      <c r="B77" s="2">
        <v>2020</v>
      </c>
      <c r="C77" s="2" t="s">
        <v>225</v>
      </c>
      <c r="D77" s="2" t="s">
        <v>326</v>
      </c>
      <c r="E77" s="2">
        <v>-12.946099999999999</v>
      </c>
      <c r="F77" s="2">
        <v>-45.003829500000023</v>
      </c>
      <c r="G77" s="2">
        <v>-78.161600000000007</v>
      </c>
      <c r="H77" s="2">
        <v>0.60250000000000004</v>
      </c>
      <c r="I77" s="2">
        <v>0.33050000000000002</v>
      </c>
      <c r="J77">
        <f>0.0649743791969313*(100)</f>
        <v>6.4974379196931302</v>
      </c>
      <c r="K77">
        <f>0.035*(100)</f>
        <v>3.5000000000000004</v>
      </c>
      <c r="L77" s="2">
        <v>0.5907</v>
      </c>
      <c r="M77" s="2">
        <v>0.35199999999999998</v>
      </c>
      <c r="N77" s="2">
        <v>1.1983999999999999</v>
      </c>
      <c r="O77" s="2">
        <v>0.19409999999999999</v>
      </c>
      <c r="P77" s="2">
        <v>6.17</v>
      </c>
      <c r="Q77" s="2">
        <v>-18.315000000000001</v>
      </c>
      <c r="R77" s="2">
        <v>-586.38682127007519</v>
      </c>
      <c r="S77" s="2">
        <v>-9.0371000000000006</v>
      </c>
      <c r="T77" s="2">
        <v>-2837.6078000000002</v>
      </c>
      <c r="U77" s="2">
        <v>103.8888</v>
      </c>
      <c r="V77" s="2">
        <v>16.91749552301496</v>
      </c>
      <c r="W77" s="2">
        <v>-1.0188695188998353</v>
      </c>
      <c r="X77" s="2">
        <v>91.55</v>
      </c>
      <c r="Y77" s="2">
        <v>17.899999999999999</v>
      </c>
      <c r="Z77" s="4">
        <v>2.2999999999999998</v>
      </c>
      <c r="AA77" s="4">
        <v>10.100000000000001</v>
      </c>
      <c r="AB77" s="2">
        <v>2.5</v>
      </c>
      <c r="AC77" s="2">
        <v>16.100000000000001</v>
      </c>
      <c r="AD77" s="2">
        <v>2.4000000000000057</v>
      </c>
      <c r="AE77" s="2">
        <v>1</v>
      </c>
    </row>
    <row r="78" spans="1:31" x14ac:dyDescent="0.25">
      <c r="A78" s="2" t="s">
        <v>88</v>
      </c>
      <c r="B78" s="2">
        <v>2020</v>
      </c>
      <c r="C78" s="2" t="s">
        <v>228</v>
      </c>
      <c r="D78" s="2" t="s">
        <v>298</v>
      </c>
      <c r="E78" s="2">
        <v>-0.53779999999999994</v>
      </c>
      <c r="F78" s="2">
        <v>-5.2782</v>
      </c>
      <c r="G78" s="2">
        <v>-73.640900000000002</v>
      </c>
      <c r="H78" s="2">
        <v>2.9588000000000001</v>
      </c>
      <c r="I78" s="2">
        <v>2.8199000000000001</v>
      </c>
      <c r="J78">
        <f>0.249123915403925*(100)</f>
        <v>24.912391540392502</v>
      </c>
      <c r="K78">
        <f>0.0285*(100)</f>
        <v>2.85</v>
      </c>
      <c r="L78" s="2">
        <v>0.8982</v>
      </c>
      <c r="M78" s="2">
        <v>0.18160000000000001</v>
      </c>
      <c r="N78" s="2">
        <v>14.0177</v>
      </c>
      <c r="O78" s="2">
        <v>4.5600000000000002E-2</v>
      </c>
      <c r="P78" s="2">
        <v>16.519500000000001</v>
      </c>
      <c r="Q78" s="2">
        <v>2.5783999999999998</v>
      </c>
      <c r="R78" s="2">
        <v>-208.31838800156359</v>
      </c>
      <c r="S78" s="2">
        <v>-0.81159999999999999</v>
      </c>
      <c r="T78" s="2">
        <v>-6.5991</v>
      </c>
      <c r="U78" s="2">
        <v>51.145699999999998</v>
      </c>
      <c r="V78" s="2">
        <v>42.995897852667333</v>
      </c>
      <c r="W78" s="2">
        <v>154.12828171032132</v>
      </c>
      <c r="X78" s="2">
        <v>91.24</v>
      </c>
      <c r="Y78" s="2">
        <v>31.68</v>
      </c>
      <c r="Z78" s="4">
        <v>2.2999999999999998</v>
      </c>
      <c r="AA78" s="4">
        <v>10.100000000000001</v>
      </c>
      <c r="AB78" s="2">
        <v>2.5</v>
      </c>
      <c r="AC78" s="2">
        <v>16.100000000000001</v>
      </c>
      <c r="AD78" s="2">
        <v>2.4000000000000057</v>
      </c>
      <c r="AE78" s="2">
        <v>1</v>
      </c>
    </row>
    <row r="79" spans="1:31" x14ac:dyDescent="0.25">
      <c r="A79" s="2" t="s">
        <v>59</v>
      </c>
      <c r="B79" s="2">
        <v>2020</v>
      </c>
      <c r="C79" s="2" t="s">
        <v>209</v>
      </c>
      <c r="D79" s="2" t="s">
        <v>316</v>
      </c>
      <c r="E79" s="2">
        <v>3.8161</v>
      </c>
      <c r="F79" s="2">
        <v>14.4015</v>
      </c>
      <c r="G79" s="2">
        <v>3.7437</v>
      </c>
      <c r="H79" s="2">
        <v>0.96560000000000001</v>
      </c>
      <c r="I79" s="2">
        <v>0.79690000000000005</v>
      </c>
      <c r="J79">
        <f>0.535431156507465*(100)</f>
        <v>53.5431156507465</v>
      </c>
      <c r="K79">
        <f>0.107*(100)</f>
        <v>10.7</v>
      </c>
      <c r="L79" s="2">
        <v>2.98</v>
      </c>
      <c r="M79" s="2">
        <v>0.62639999999999996</v>
      </c>
      <c r="N79" s="2">
        <v>2.9822000000000002</v>
      </c>
      <c r="O79" s="2">
        <v>0.2676</v>
      </c>
      <c r="P79" s="2">
        <v>6.9836999999999998</v>
      </c>
      <c r="Q79" s="2">
        <v>-3.7724000000000002</v>
      </c>
      <c r="R79" s="2">
        <v>214.6424195318277</v>
      </c>
      <c r="S79" s="2">
        <v>7.3856999999999999</v>
      </c>
      <c r="T79" s="2">
        <v>-39.9893</v>
      </c>
      <c r="U79" s="2">
        <v>73.463800000000006</v>
      </c>
      <c r="V79" s="2">
        <v>32.946722889685795</v>
      </c>
      <c r="W79" s="2">
        <v>0.23296953100271581</v>
      </c>
      <c r="X79" s="2">
        <v>127.26</v>
      </c>
      <c r="Y79" s="2">
        <v>30.42</v>
      </c>
      <c r="Z79" s="4">
        <v>2.2999999999999998</v>
      </c>
      <c r="AA79" s="4">
        <v>10.100000000000001</v>
      </c>
      <c r="AB79" s="2">
        <v>2.5</v>
      </c>
      <c r="AC79" s="2">
        <v>16.100000000000001</v>
      </c>
      <c r="AD79" s="2">
        <v>2.4000000000000057</v>
      </c>
      <c r="AE79" s="2">
        <v>1</v>
      </c>
    </row>
    <row r="80" spans="1:31" x14ac:dyDescent="0.25">
      <c r="A80" s="2" t="s">
        <v>63</v>
      </c>
      <c r="B80" s="2">
        <v>2020</v>
      </c>
      <c r="C80" s="2" t="s">
        <v>178</v>
      </c>
      <c r="D80" s="2" t="s">
        <v>297</v>
      </c>
      <c r="E80" s="2">
        <v>4.1201999999999996</v>
      </c>
      <c r="F80" s="2">
        <v>3.8359999999999999</v>
      </c>
      <c r="G80" s="2">
        <v>7.4812000000000003</v>
      </c>
      <c r="H80" s="2">
        <v>1.5414000000000001</v>
      </c>
      <c r="I80" s="2">
        <v>1.2369000000000001</v>
      </c>
      <c r="J80">
        <f>0.383267034023821*(100)</f>
        <v>38.326703402382101</v>
      </c>
      <c r="K80">
        <f>0.0212*(100)</f>
        <v>2.12</v>
      </c>
      <c r="L80" s="2">
        <v>2.0495999999999999</v>
      </c>
      <c r="M80" s="2">
        <v>0.56810000000000005</v>
      </c>
      <c r="N80" s="2">
        <v>0.68110000000000004</v>
      </c>
      <c r="O80" s="2">
        <v>0.2707</v>
      </c>
      <c r="P80" s="2">
        <v>2.4336000000000002</v>
      </c>
      <c r="Q80" s="2">
        <v>-7.5583999999999998</v>
      </c>
      <c r="R80" s="2">
        <v>-5.9701670320642632</v>
      </c>
      <c r="S80" s="2">
        <v>7.8010000000000002</v>
      </c>
      <c r="T80" s="2">
        <v>4.8895999999999997</v>
      </c>
      <c r="U80" s="2">
        <v>66.327799999999996</v>
      </c>
      <c r="V80" s="2">
        <v>34.104286506653224</v>
      </c>
      <c r="W80" s="2">
        <v>0.55500236267481184</v>
      </c>
      <c r="X80" s="2">
        <v>83.21</v>
      </c>
      <c r="Y80" s="2">
        <v>5.38</v>
      </c>
      <c r="Z80" s="4">
        <v>2.2999999999999998</v>
      </c>
      <c r="AA80" s="4">
        <v>10.100000000000001</v>
      </c>
      <c r="AB80" s="2">
        <v>2.5</v>
      </c>
      <c r="AC80" s="2">
        <v>16.100000000000001</v>
      </c>
      <c r="AD80" s="2">
        <v>2.4000000000000057</v>
      </c>
      <c r="AE80" s="2">
        <v>1</v>
      </c>
    </row>
    <row r="81" spans="1:31" x14ac:dyDescent="0.25">
      <c r="A81" s="2" t="s">
        <v>80</v>
      </c>
      <c r="B81" s="2">
        <v>2020</v>
      </c>
      <c r="C81" s="2" t="s">
        <v>207</v>
      </c>
      <c r="D81" s="2" t="s">
        <v>314</v>
      </c>
      <c r="E81" s="2">
        <v>2.9424000000000001</v>
      </c>
      <c r="F81" s="2">
        <v>1.0277000000000001</v>
      </c>
      <c r="G81" s="2">
        <v>1.1449</v>
      </c>
      <c r="H81" s="2">
        <v>0.41770000000000002</v>
      </c>
      <c r="I81" s="2">
        <v>0.4093</v>
      </c>
      <c r="J81">
        <f>0.252511973706475*(100)</f>
        <v>25.2511973706475</v>
      </c>
      <c r="K81">
        <f>0.1022*(100)</f>
        <v>10.220000000000001</v>
      </c>
      <c r="L81" s="2">
        <v>112.8051</v>
      </c>
      <c r="M81" s="2">
        <v>1.3745000000000001</v>
      </c>
      <c r="N81" s="2">
        <v>1.1193</v>
      </c>
      <c r="O81" s="2">
        <v>0.36080000000000001</v>
      </c>
      <c r="P81" s="2">
        <v>18.474799999999998</v>
      </c>
      <c r="Q81" s="2">
        <v>6.8258999999999999</v>
      </c>
      <c r="R81" s="2">
        <v>120.7047628550376</v>
      </c>
      <c r="S81" s="2">
        <v>-4.0053000000000001</v>
      </c>
      <c r="T81" s="2">
        <v>-2.5318000000000001</v>
      </c>
      <c r="U81" s="2">
        <v>68.398899999999998</v>
      </c>
      <c r="V81" s="2">
        <v>6.7967312774506157</v>
      </c>
      <c r="W81" s="2">
        <v>0.88091186984616299</v>
      </c>
      <c r="X81" s="2">
        <v>110.76</v>
      </c>
      <c r="Y81" s="2">
        <v>18.97</v>
      </c>
      <c r="Z81" s="4">
        <v>2.2999999999999998</v>
      </c>
      <c r="AA81" s="4">
        <v>10.100000000000001</v>
      </c>
      <c r="AB81" s="2">
        <v>2.5</v>
      </c>
      <c r="AC81" s="2">
        <v>16.100000000000001</v>
      </c>
      <c r="AD81" s="2">
        <v>0.79999999999999716</v>
      </c>
      <c r="AE81" s="2">
        <v>1</v>
      </c>
    </row>
    <row r="82" spans="1:31" x14ac:dyDescent="0.25">
      <c r="A82" s="2" t="s">
        <v>56</v>
      </c>
      <c r="B82" s="2">
        <v>2020</v>
      </c>
      <c r="C82" s="2" t="s">
        <v>206</v>
      </c>
      <c r="D82" s="2" t="s">
        <v>313</v>
      </c>
      <c r="E82" s="2">
        <v>2.0733000000000001</v>
      </c>
      <c r="F82" s="2">
        <v>-2.0901000000000001</v>
      </c>
      <c r="G82" s="2">
        <v>-19.2135</v>
      </c>
      <c r="H82" s="2">
        <v>0.53610000000000002</v>
      </c>
      <c r="I82" s="2">
        <v>0.53590000000000004</v>
      </c>
      <c r="J82">
        <f>0.0721922186091352*(100)</f>
        <v>7.2192218609135201</v>
      </c>
      <c r="K82">
        <f>0.0814*(100)</f>
        <v>8.14</v>
      </c>
      <c r="L82" s="2">
        <v>321.41430000000003</v>
      </c>
      <c r="M82" s="2">
        <v>0.27239999999999998</v>
      </c>
      <c r="N82" s="2">
        <v>0.44679999999999997</v>
      </c>
      <c r="O82" s="2">
        <v>5.6800000000000003E-2</v>
      </c>
      <c r="P82" s="2">
        <v>3.8180999999999998</v>
      </c>
      <c r="Q82" s="2">
        <v>-0.61770000000000003</v>
      </c>
      <c r="R82" s="2">
        <v>-201.92583628379271</v>
      </c>
      <c r="S82" s="2">
        <v>-16.241099999999999</v>
      </c>
      <c r="T82" s="2">
        <v>-32.373899999999999</v>
      </c>
      <c r="U82" s="2">
        <v>52.896299999999997</v>
      </c>
      <c r="V82" s="2">
        <v>13.541109151686998</v>
      </c>
      <c r="W82" s="2">
        <v>3.4277438079339233</v>
      </c>
      <c r="X82" s="2">
        <v>89.08</v>
      </c>
      <c r="Y82" s="2">
        <v>69.14</v>
      </c>
      <c r="Z82" s="4">
        <v>2.2999999999999998</v>
      </c>
      <c r="AA82" s="4">
        <v>10.100000000000001</v>
      </c>
      <c r="AB82" s="2">
        <v>2.5</v>
      </c>
      <c r="AC82" s="2">
        <v>16.100000000000001</v>
      </c>
      <c r="AD82" s="2">
        <v>0.79999999999999716</v>
      </c>
      <c r="AE82" s="2">
        <v>1</v>
      </c>
    </row>
    <row r="83" spans="1:31" x14ac:dyDescent="0.25">
      <c r="A83" s="2" t="s">
        <v>69</v>
      </c>
      <c r="B83" s="2">
        <v>2020</v>
      </c>
      <c r="C83" s="2" t="s">
        <v>192</v>
      </c>
      <c r="D83" s="2" t="s">
        <v>305</v>
      </c>
      <c r="E83" s="2">
        <v>2.9581</v>
      </c>
      <c r="F83" s="2">
        <v>3.7805</v>
      </c>
      <c r="G83" s="2">
        <v>7.4206000000000003</v>
      </c>
      <c r="H83" s="2">
        <v>0.87450000000000006</v>
      </c>
      <c r="I83" s="2">
        <v>0.82930000000000004</v>
      </c>
      <c r="J83">
        <f>0.0325986158268679*(100)</f>
        <v>3.2598615826867898</v>
      </c>
      <c r="K83">
        <f>0.084*(100)</f>
        <v>8.4</v>
      </c>
      <c r="L83" s="2">
        <v>4.9027000000000003</v>
      </c>
      <c r="M83" s="2">
        <v>0.37269999999999998</v>
      </c>
      <c r="N83" s="2">
        <v>12.258100000000001</v>
      </c>
      <c r="O83" s="2">
        <v>0.13569999999999999</v>
      </c>
      <c r="P83" s="2">
        <v>1.0341</v>
      </c>
      <c r="Q83" s="2">
        <v>-25.669799999999999</v>
      </c>
      <c r="R83" s="2">
        <v>-43.269789074726567</v>
      </c>
      <c r="S83" s="2">
        <v>8.3842999999999996</v>
      </c>
      <c r="T83" s="2">
        <v>12.037599999999999</v>
      </c>
      <c r="U83" s="2">
        <v>76.7</v>
      </c>
      <c r="V83" s="2">
        <v>31.006045104037653</v>
      </c>
      <c r="W83" s="2">
        <v>19.239908629703596</v>
      </c>
      <c r="X83" s="2">
        <v>95.47</v>
      </c>
      <c r="Y83" s="2">
        <v>49.51</v>
      </c>
      <c r="Z83" s="4">
        <v>2.2999999999999998</v>
      </c>
      <c r="AA83" s="4">
        <v>10.100000000000001</v>
      </c>
      <c r="AB83" s="2">
        <v>2.5</v>
      </c>
      <c r="AC83" s="2">
        <v>16.100000000000001</v>
      </c>
      <c r="AD83" s="2">
        <v>2.4000000000000057</v>
      </c>
      <c r="AE83" s="2">
        <v>1</v>
      </c>
    </row>
    <row r="84" spans="1:31" x14ac:dyDescent="0.25">
      <c r="A84" s="2" t="s">
        <v>78</v>
      </c>
      <c r="B84" s="2">
        <v>2020</v>
      </c>
      <c r="C84" s="2" t="s">
        <v>222</v>
      </c>
      <c r="D84" s="2" t="s">
        <v>313</v>
      </c>
      <c r="E84" s="2">
        <v>-0.43730000000000002</v>
      </c>
      <c r="F84" s="2">
        <v>-11.7812</v>
      </c>
      <c r="G84" s="2">
        <v>-16.517600000000002</v>
      </c>
      <c r="H84" s="2">
        <v>0.3715</v>
      </c>
      <c r="I84" s="2">
        <v>0.3659</v>
      </c>
      <c r="J84">
        <f>0.0757662348798543*(100)</f>
        <v>7.5766234879854304</v>
      </c>
      <c r="K84">
        <f>-0.0935*(100)</f>
        <v>-9.35</v>
      </c>
      <c r="L84" s="2">
        <v>24.469000000000001</v>
      </c>
      <c r="M84" s="2">
        <v>0.75590000000000002</v>
      </c>
      <c r="N84" s="2">
        <v>1.0461</v>
      </c>
      <c r="O84" s="2">
        <v>9.3799999999999994E-2</v>
      </c>
      <c r="P84" s="2">
        <v>6.4090999999999996</v>
      </c>
      <c r="Q84" s="2">
        <v>-5.7278000000000002</v>
      </c>
      <c r="R84" s="2">
        <v>-1323.016654278531</v>
      </c>
      <c r="S84" s="2">
        <v>-4.3268000000000004</v>
      </c>
      <c r="T84" s="2">
        <v>-21.799499999999998</v>
      </c>
      <c r="U84" s="2">
        <v>73.460400000000007</v>
      </c>
      <c r="V84" s="2">
        <v>23.272827705570538</v>
      </c>
      <c r="W84" s="2">
        <v>2.3386232432231533</v>
      </c>
      <c r="X84" s="2">
        <v>105.7</v>
      </c>
      <c r="Y84" s="2">
        <v>-71.58</v>
      </c>
      <c r="Z84" s="4">
        <v>2.2999999999999998</v>
      </c>
      <c r="AA84" s="4">
        <v>10.100000000000001</v>
      </c>
      <c r="AB84" s="2">
        <v>2.5</v>
      </c>
      <c r="AC84" s="2">
        <v>16.100000000000001</v>
      </c>
      <c r="AD84" s="2">
        <v>0.79999999999999716</v>
      </c>
      <c r="AE84" s="2">
        <v>1</v>
      </c>
    </row>
    <row r="85" spans="1:31" x14ac:dyDescent="0.25">
      <c r="A85" s="2" t="s">
        <v>107</v>
      </c>
      <c r="B85" s="2">
        <v>2019</v>
      </c>
      <c r="C85" s="2" t="s">
        <v>246</v>
      </c>
      <c r="D85" s="2" t="s">
        <v>334</v>
      </c>
      <c r="E85" s="2">
        <v>-109.2029</v>
      </c>
      <c r="F85" s="2">
        <v>-428.53109999999998</v>
      </c>
      <c r="G85" s="2">
        <v>-87.479100000000003</v>
      </c>
      <c r="H85" s="2">
        <v>0.49990000000000001</v>
      </c>
      <c r="I85" s="2">
        <v>0.33229999999999998</v>
      </c>
      <c r="J85">
        <f>0.17580996375886*(100)</f>
        <v>17.580996375885999</v>
      </c>
      <c r="K85">
        <f>0.0766*(100)</f>
        <v>7.66</v>
      </c>
      <c r="L85" s="2">
        <v>2.3188</v>
      </c>
      <c r="M85" s="2">
        <v>1.5881000000000001</v>
      </c>
      <c r="N85" s="2">
        <v>26.146999999999998</v>
      </c>
      <c r="O85" s="2">
        <v>1.3073999999999999</v>
      </c>
      <c r="P85" s="2">
        <v>11.438000000000001</v>
      </c>
      <c r="Q85" s="2">
        <v>-30.6769</v>
      </c>
      <c r="R85" s="2">
        <v>-2634.445135974061</v>
      </c>
      <c r="S85" s="2">
        <v>-75.053299999999993</v>
      </c>
      <c r="T85" s="2">
        <v>-136.35059999999999</v>
      </c>
      <c r="U85" s="2">
        <v>175.83539999999999</v>
      </c>
      <c r="V85" s="2">
        <v>35.505654374739969</v>
      </c>
      <c r="W85" s="2">
        <v>-6.3410787378439775</v>
      </c>
      <c r="X85" s="2">
        <v>121.98</v>
      </c>
      <c r="Y85" s="2">
        <v>4.1099999999999994</v>
      </c>
      <c r="Z85" s="4">
        <v>6</v>
      </c>
      <c r="AA85" s="4">
        <v>8.6999999999999993</v>
      </c>
      <c r="AB85" s="2">
        <v>2.9</v>
      </c>
      <c r="AC85" s="2">
        <v>15.6</v>
      </c>
      <c r="AD85" s="2">
        <v>5.5999999999999943</v>
      </c>
      <c r="AE85" s="2">
        <v>1</v>
      </c>
    </row>
    <row r="86" spans="1:31" x14ac:dyDescent="0.25">
      <c r="A86" s="2" t="s">
        <v>118</v>
      </c>
      <c r="B86" s="2">
        <v>2019</v>
      </c>
      <c r="C86" s="2" t="s">
        <v>255</v>
      </c>
      <c r="D86" s="2" t="s">
        <v>329</v>
      </c>
      <c r="E86" s="2">
        <v>4.8010999999999999</v>
      </c>
      <c r="F86" s="2">
        <v>4.1261999999999999</v>
      </c>
      <c r="G86" s="2">
        <v>0.55149999999999999</v>
      </c>
      <c r="H86" s="2">
        <v>1.2934000000000001</v>
      </c>
      <c r="I86" s="2">
        <v>0.7954</v>
      </c>
      <c r="J86">
        <f>0.590866884787797*(100)</f>
        <v>59.086688478779706</v>
      </c>
      <c r="K86">
        <f>-0.0413*(100)</f>
        <v>-4.1300000000000008</v>
      </c>
      <c r="L86" s="2">
        <v>9.5381</v>
      </c>
      <c r="M86" s="2">
        <v>3.7559</v>
      </c>
      <c r="N86" s="2">
        <v>494.3974</v>
      </c>
      <c r="O86" s="2">
        <v>2.7305999999999999</v>
      </c>
      <c r="P86" s="2">
        <v>737877.179</v>
      </c>
      <c r="Q86" s="2">
        <v>-9.0615000000000006</v>
      </c>
      <c r="R86" s="2">
        <v>-20.61162495186683</v>
      </c>
      <c r="S86" s="2">
        <v>40.856000000000002</v>
      </c>
      <c r="T86" s="2">
        <v>1.2539</v>
      </c>
      <c r="U86" s="2">
        <v>75.306799999999996</v>
      </c>
      <c r="V86" s="2">
        <v>16.131143000000002</v>
      </c>
      <c r="W86" s="2">
        <v>53.023236320000002</v>
      </c>
      <c r="X86" s="2">
        <v>115.79</v>
      </c>
      <c r="Y86" s="2">
        <v>-1.33</v>
      </c>
      <c r="Z86" s="4">
        <v>6</v>
      </c>
      <c r="AA86" s="4">
        <v>8.6999999999999993</v>
      </c>
      <c r="AB86" s="2">
        <v>2.9</v>
      </c>
      <c r="AC86" s="2">
        <v>15.6</v>
      </c>
      <c r="AD86" s="2">
        <v>4.7999999999999972</v>
      </c>
      <c r="AE86" s="2">
        <v>1</v>
      </c>
    </row>
    <row r="87" spans="1:31" x14ac:dyDescent="0.25">
      <c r="A87" s="2" t="s">
        <v>95</v>
      </c>
      <c r="B87" s="2">
        <v>2019</v>
      </c>
      <c r="C87" s="2" t="s">
        <v>234</v>
      </c>
      <c r="D87" s="2" t="s">
        <v>329</v>
      </c>
      <c r="E87" s="2">
        <v>-0.62539999999999996</v>
      </c>
      <c r="F87" s="2">
        <v>-9.8646999999999991</v>
      </c>
      <c r="G87" s="2">
        <v>-5.6463999999999999</v>
      </c>
      <c r="H87" s="2">
        <v>0.3458</v>
      </c>
      <c r="I87" s="2">
        <v>0.28489999999999999</v>
      </c>
      <c r="J87">
        <f>0.140290275791979*(100)</f>
        <v>14.0290275791979</v>
      </c>
      <c r="K87">
        <f>0.0429*(100)</f>
        <v>4.29</v>
      </c>
      <c r="L87" s="2">
        <v>6.0155000000000003</v>
      </c>
      <c r="M87" s="2">
        <v>1.4366000000000001</v>
      </c>
      <c r="N87" s="2">
        <v>1.1756</v>
      </c>
      <c r="O87" s="2">
        <v>0.26419999999999999</v>
      </c>
      <c r="P87" s="2">
        <v>19.131499999999999</v>
      </c>
      <c r="Q87" s="2">
        <v>8.3765999999999998</v>
      </c>
      <c r="R87" s="2">
        <v>-962.58267080349583</v>
      </c>
      <c r="S87" s="2">
        <v>20.9908</v>
      </c>
      <c r="T87" s="2">
        <v>-10.985799999999999</v>
      </c>
      <c r="U87" s="2">
        <v>82.669300000000007</v>
      </c>
      <c r="V87" s="2">
        <v>28.75526662662876</v>
      </c>
      <c r="W87" s="2">
        <v>0.59050074754079951</v>
      </c>
      <c r="X87" s="2">
        <v>103.31</v>
      </c>
      <c r="Y87" s="2">
        <v>14.71</v>
      </c>
      <c r="Z87" s="4">
        <v>6</v>
      </c>
      <c r="AA87" s="4">
        <v>8.6999999999999993</v>
      </c>
      <c r="AB87" s="2">
        <v>2.9</v>
      </c>
      <c r="AC87" s="2">
        <v>15.6</v>
      </c>
      <c r="AD87" s="2">
        <v>4.7999999999999972</v>
      </c>
      <c r="AE87" s="2">
        <v>1</v>
      </c>
    </row>
    <row r="88" spans="1:31" x14ac:dyDescent="0.25">
      <c r="A88" s="2" t="s">
        <v>94</v>
      </c>
      <c r="B88" s="2">
        <v>2019</v>
      </c>
      <c r="C88" s="2" t="s">
        <v>233</v>
      </c>
      <c r="D88" s="2" t="s">
        <v>328</v>
      </c>
      <c r="E88" s="2">
        <v>3.0146999999999999</v>
      </c>
      <c r="F88" s="2">
        <v>2.0739000000000001</v>
      </c>
      <c r="G88" s="2">
        <v>0.438</v>
      </c>
      <c r="H88" s="2">
        <v>1.4599</v>
      </c>
      <c r="I88" s="2">
        <v>1.2572000000000001</v>
      </c>
      <c r="J88">
        <f>0.502363377347863*(100)</f>
        <v>50.236337734786296</v>
      </c>
      <c r="K88">
        <f>0.0165*(100)</f>
        <v>1.6500000000000001</v>
      </c>
      <c r="L88" s="2">
        <v>15.0245</v>
      </c>
      <c r="M88" s="2">
        <v>2.2490999999999999</v>
      </c>
      <c r="N88" s="2">
        <v>339.3854</v>
      </c>
      <c r="O88" s="2">
        <v>1.8064</v>
      </c>
      <c r="P88" s="2">
        <v>29.617000000000001</v>
      </c>
      <c r="Q88" s="2">
        <v>-0.1283</v>
      </c>
      <c r="R88" s="2">
        <v>-15.11443751730614</v>
      </c>
      <c r="S88" s="2">
        <v>19.455100000000002</v>
      </c>
      <c r="T88" s="2">
        <v>0.72089999999999999</v>
      </c>
      <c r="U88" s="2">
        <v>75.1828</v>
      </c>
      <c r="V88" s="2">
        <v>19.716939237149823</v>
      </c>
      <c r="W88" s="2">
        <v>25.570389134358866</v>
      </c>
      <c r="X88" s="2">
        <v>140.37</v>
      </c>
      <c r="Y88" s="2">
        <v>0.75</v>
      </c>
      <c r="Z88" s="4">
        <v>6</v>
      </c>
      <c r="AA88" s="4">
        <v>8.6999999999999993</v>
      </c>
      <c r="AB88" s="2">
        <v>2.9</v>
      </c>
      <c r="AC88" s="2">
        <v>15.6</v>
      </c>
      <c r="AD88" s="2">
        <v>4.7999999999999972</v>
      </c>
      <c r="AE88" s="2">
        <v>1</v>
      </c>
    </row>
    <row r="89" spans="1:31" x14ac:dyDescent="0.25">
      <c r="A89" s="2" t="s">
        <v>113</v>
      </c>
      <c r="B89" s="2">
        <v>2019</v>
      </c>
      <c r="C89" s="2" t="s">
        <v>250</v>
      </c>
      <c r="D89" s="2" t="s">
        <v>337</v>
      </c>
      <c r="E89" s="2">
        <v>-4.7282999999999999</v>
      </c>
      <c r="F89" s="2">
        <v>-51.818899999999999</v>
      </c>
      <c r="G89" s="2">
        <v>-17.913399999999999</v>
      </c>
      <c r="H89" s="2">
        <v>1.7376</v>
      </c>
      <c r="I89" s="2">
        <v>0.98</v>
      </c>
      <c r="J89">
        <f>0.0626121515414764*(100)</f>
        <v>6.2612151541476395</v>
      </c>
      <c r="K89">
        <f>-0.1525*(100)</f>
        <v>-15.25</v>
      </c>
      <c r="L89" s="2">
        <v>1.2677</v>
      </c>
      <c r="M89" s="2">
        <v>0.61609999999999998</v>
      </c>
      <c r="N89" s="2">
        <v>22.0212</v>
      </c>
      <c r="O89" s="2">
        <v>0.43690000000000001</v>
      </c>
      <c r="P89" s="2">
        <v>3.2982999999999998</v>
      </c>
      <c r="Q89" s="2">
        <v>2.2608000000000001</v>
      </c>
      <c r="R89" s="2">
        <v>-467.69567482864147</v>
      </c>
      <c r="S89" s="2">
        <v>-10.555</v>
      </c>
      <c r="T89" s="2">
        <v>-47.9482</v>
      </c>
      <c r="U89" s="2">
        <v>59.063299999999998</v>
      </c>
      <c r="V89" s="2">
        <v>15.545975236649632</v>
      </c>
      <c r="W89" s="2">
        <v>3.6200511441666947</v>
      </c>
      <c r="X89" s="2">
        <v>110.21</v>
      </c>
      <c r="Y89" s="2">
        <v>-19.46</v>
      </c>
      <c r="Z89" s="4">
        <v>6</v>
      </c>
      <c r="AA89" s="4">
        <v>8.6999999999999993</v>
      </c>
      <c r="AB89" s="2">
        <v>2.9</v>
      </c>
      <c r="AC89" s="2">
        <v>15.6</v>
      </c>
      <c r="AD89" s="2">
        <v>4.7999999999999972</v>
      </c>
      <c r="AE89" s="2">
        <v>1</v>
      </c>
    </row>
    <row r="90" spans="1:31" x14ac:dyDescent="0.25">
      <c r="A90" s="2" t="s">
        <v>103</v>
      </c>
      <c r="B90" s="2">
        <v>2019</v>
      </c>
      <c r="C90" s="2" t="s">
        <v>242</v>
      </c>
      <c r="D90" s="2" t="s">
        <v>315</v>
      </c>
      <c r="E90" s="2">
        <v>-104.3428</v>
      </c>
      <c r="F90" s="2">
        <v>-45.003829500000023</v>
      </c>
      <c r="G90" s="2">
        <v>-1124.6746000000001</v>
      </c>
      <c r="H90" s="2">
        <v>7.9699999999999993E-2</v>
      </c>
      <c r="I90" s="2">
        <v>5.2400000000000002E-2</v>
      </c>
      <c r="J90">
        <f>0.0347963430266884*(100)</f>
        <v>3.4796343026688401</v>
      </c>
      <c r="K90">
        <f>-0.0142*(100)</f>
        <v>-1.4200000000000002</v>
      </c>
      <c r="L90" s="2">
        <v>0.47460000000000002</v>
      </c>
      <c r="M90" s="2">
        <v>0.1605</v>
      </c>
      <c r="N90" s="2">
        <v>0.64890000000000003</v>
      </c>
      <c r="O90" s="2">
        <v>0.1076</v>
      </c>
      <c r="P90" s="2">
        <v>0.54349999999999998</v>
      </c>
      <c r="Q90" s="2">
        <v>-94.853899999999996</v>
      </c>
      <c r="R90" s="2">
        <v>77.275637873251085</v>
      </c>
      <c r="S90" s="2">
        <v>-64.805499999999995</v>
      </c>
      <c r="T90" s="2">
        <v>-50.258600000000001</v>
      </c>
      <c r="U90" s="2">
        <v>800.92470000000003</v>
      </c>
      <c r="V90" s="2">
        <v>4.8489044267786134</v>
      </c>
      <c r="W90" s="2">
        <v>-28.217791734068442</v>
      </c>
      <c r="X90" s="2">
        <v>104.15</v>
      </c>
      <c r="Y90" s="2">
        <v>-55.09</v>
      </c>
      <c r="Z90" s="4">
        <v>6</v>
      </c>
      <c r="AA90" s="4">
        <v>8.6999999999999993</v>
      </c>
      <c r="AB90" s="2">
        <v>2.9</v>
      </c>
      <c r="AC90" s="2">
        <v>15.6</v>
      </c>
      <c r="AD90" s="2">
        <v>4.7999999999999972</v>
      </c>
      <c r="AE90" s="2">
        <v>1</v>
      </c>
    </row>
    <row r="91" spans="1:31" x14ac:dyDescent="0.25">
      <c r="A91" s="2" t="s">
        <v>101</v>
      </c>
      <c r="B91" s="2">
        <v>2019</v>
      </c>
      <c r="C91" s="2" t="s">
        <v>240</v>
      </c>
      <c r="D91" s="2" t="s">
        <v>298</v>
      </c>
      <c r="E91" s="2">
        <v>4.9638999999999998</v>
      </c>
      <c r="F91" s="2">
        <v>3.2584</v>
      </c>
      <c r="G91" s="2">
        <v>5.7164000000000001</v>
      </c>
      <c r="H91" s="2">
        <v>1.2461</v>
      </c>
      <c r="I91" s="2">
        <v>1.0397000000000001</v>
      </c>
      <c r="J91">
        <f>0.442705386304937*(100)</f>
        <v>44.270538630493697</v>
      </c>
      <c r="K91">
        <f>0.0775*(100)</f>
        <v>7.75</v>
      </c>
      <c r="L91" s="2">
        <v>9.6282999999999994</v>
      </c>
      <c r="M91" s="2">
        <v>1.6561999999999999</v>
      </c>
      <c r="N91" s="2">
        <v>3.7259000000000002</v>
      </c>
      <c r="O91" s="2">
        <v>0.5726</v>
      </c>
      <c r="P91" s="2">
        <v>11.5252</v>
      </c>
      <c r="Q91" s="2">
        <v>13.079599999999999</v>
      </c>
      <c r="R91" s="2">
        <v>-37.97917868927339</v>
      </c>
      <c r="S91" s="2">
        <v>14.069900000000001</v>
      </c>
      <c r="T91" s="2">
        <v>-0.65849999999999997</v>
      </c>
      <c r="U91" s="2">
        <v>45.223500000000001</v>
      </c>
      <c r="V91" s="2">
        <v>16.089343172576683</v>
      </c>
      <c r="W91" s="2">
        <v>2.5150600050698499</v>
      </c>
      <c r="X91" s="2">
        <v>116.81</v>
      </c>
      <c r="Y91" s="2">
        <v>6.56</v>
      </c>
      <c r="Z91" s="4">
        <v>6</v>
      </c>
      <c r="AA91" s="4">
        <v>8.6999999999999993</v>
      </c>
      <c r="AB91" s="2">
        <v>2.9</v>
      </c>
      <c r="AC91" s="2">
        <v>15.6</v>
      </c>
      <c r="AD91" s="2">
        <v>4.7999999999999972</v>
      </c>
      <c r="AE91" s="2">
        <v>1</v>
      </c>
    </row>
    <row r="92" spans="1:31" x14ac:dyDescent="0.25">
      <c r="A92" s="2" t="s">
        <v>72</v>
      </c>
      <c r="B92" s="2">
        <v>2019</v>
      </c>
      <c r="C92" s="2" t="s">
        <v>218</v>
      </c>
      <c r="D92" s="2" t="s">
        <v>322</v>
      </c>
      <c r="E92" s="2">
        <v>-7.2465000000000002</v>
      </c>
      <c r="F92" s="2">
        <v>-21.229900000000001</v>
      </c>
      <c r="G92" s="2">
        <v>-10.3484</v>
      </c>
      <c r="H92" s="2">
        <v>1.8574999999999999</v>
      </c>
      <c r="I92" s="2">
        <v>0.90410000000000001</v>
      </c>
      <c r="J92">
        <f>0.0504837228006937*(100)</f>
        <v>5.04837228006937</v>
      </c>
      <c r="K92">
        <f>-0.0324*(100)</f>
        <v>-3.2399999999999998</v>
      </c>
      <c r="L92" s="2">
        <v>1.8269</v>
      </c>
      <c r="M92" s="2">
        <v>1.0779000000000001</v>
      </c>
      <c r="N92" s="2">
        <v>21.502800000000001</v>
      </c>
      <c r="O92" s="2">
        <v>0.9103</v>
      </c>
      <c r="P92" s="2">
        <v>3.8772000000000002</v>
      </c>
      <c r="Q92" s="2">
        <v>34.328299999999999</v>
      </c>
      <c r="R92" s="2">
        <v>-308.82259125283542</v>
      </c>
      <c r="S92" s="2">
        <v>-11.9938</v>
      </c>
      <c r="T92" s="2">
        <v>-20.053799999999999</v>
      </c>
      <c r="U92" s="2">
        <v>56.438400000000001</v>
      </c>
      <c r="V92" s="2">
        <v>8.3824928378220829</v>
      </c>
      <c r="W92" s="2">
        <v>9.7944485363924034</v>
      </c>
      <c r="X92" s="2">
        <v>98.48</v>
      </c>
      <c r="Y92" s="2">
        <v>-1.88</v>
      </c>
      <c r="Z92" s="4">
        <v>6</v>
      </c>
      <c r="AA92" s="4">
        <v>8.6999999999999993</v>
      </c>
      <c r="AB92" s="2">
        <v>2.9</v>
      </c>
      <c r="AC92" s="2">
        <v>15.6</v>
      </c>
      <c r="AD92" s="2">
        <v>5.5999999999999943</v>
      </c>
      <c r="AE92" s="2">
        <v>1</v>
      </c>
    </row>
    <row r="93" spans="1:31" x14ac:dyDescent="0.25">
      <c r="A93" s="2" t="s">
        <v>121</v>
      </c>
      <c r="B93" s="2">
        <v>2019</v>
      </c>
      <c r="C93" s="2" t="s">
        <v>258</v>
      </c>
      <c r="D93" s="2" t="s">
        <v>339</v>
      </c>
      <c r="E93" s="2">
        <v>4.7450000000000001</v>
      </c>
      <c r="F93" s="2">
        <v>1.2539</v>
      </c>
      <c r="G93" s="2">
        <v>3.8713000000000002</v>
      </c>
      <c r="H93" s="2">
        <v>1.2301</v>
      </c>
      <c r="I93" s="2">
        <v>0.97089999999999999</v>
      </c>
      <c r="J93">
        <f>0.0914722035355251*(100)</f>
        <v>9.147220353552509</v>
      </c>
      <c r="K93">
        <f>-0.0658*(100)</f>
        <v>-6.58</v>
      </c>
      <c r="L93" s="2">
        <v>2.7671999999999999</v>
      </c>
      <c r="M93" s="2">
        <v>0.88790000000000002</v>
      </c>
      <c r="N93" s="2">
        <v>3.8454000000000002</v>
      </c>
      <c r="O93" s="2">
        <v>0.36330000000000001</v>
      </c>
      <c r="P93" s="2">
        <v>7.8533999999999997</v>
      </c>
      <c r="Q93" s="2">
        <v>-24.363199999999999</v>
      </c>
      <c r="R93" s="2">
        <v>-81.235087483596786</v>
      </c>
      <c r="S93" s="2">
        <v>4.9127999999999998</v>
      </c>
      <c r="T93" s="2">
        <v>1.2618</v>
      </c>
      <c r="U93" s="2">
        <v>53.584099999999999</v>
      </c>
      <c r="V93" s="2">
        <v>17.81622292121224</v>
      </c>
      <c r="W93" s="2">
        <v>4.9956196043827186</v>
      </c>
      <c r="X93" s="2">
        <v>112.05</v>
      </c>
      <c r="Y93" s="2">
        <v>-9.94</v>
      </c>
      <c r="Z93" s="4">
        <v>6</v>
      </c>
      <c r="AA93" s="4">
        <v>8.6999999999999993</v>
      </c>
      <c r="AB93" s="2">
        <v>2.9</v>
      </c>
      <c r="AC93" s="2">
        <v>15.6</v>
      </c>
      <c r="AD93" s="2">
        <v>5.5999999999999943</v>
      </c>
      <c r="AE93" s="2">
        <v>1</v>
      </c>
    </row>
    <row r="94" spans="1:31" x14ac:dyDescent="0.25">
      <c r="A94" s="2" t="s">
        <v>124</v>
      </c>
      <c r="B94" s="2">
        <v>2019</v>
      </c>
      <c r="C94" s="2" t="s">
        <v>261</v>
      </c>
      <c r="D94" s="2" t="s">
        <v>322</v>
      </c>
      <c r="E94" s="2">
        <v>-12.9506</v>
      </c>
      <c r="F94" s="2">
        <v>-73.181200000000004</v>
      </c>
      <c r="G94" s="2">
        <v>-46.466900000000003</v>
      </c>
      <c r="H94" s="2">
        <v>1.2336</v>
      </c>
      <c r="I94" s="2">
        <v>8.1299999999999997E-2</v>
      </c>
      <c r="J94">
        <f>0.000830349816197122*(100)</f>
        <v>8.3034981619712206E-2</v>
      </c>
      <c r="K94">
        <f>-0.0147*(100)</f>
        <v>-1.47</v>
      </c>
      <c r="L94" s="2">
        <v>0.33750000000000002</v>
      </c>
      <c r="M94" s="2">
        <v>0.29149999999999998</v>
      </c>
      <c r="N94" s="2">
        <v>13.327199999999999</v>
      </c>
      <c r="O94" s="2">
        <v>0.24679999999999999</v>
      </c>
      <c r="P94" s="2">
        <v>8.1181000000000001</v>
      </c>
      <c r="Q94" s="2">
        <v>-68.081299999999999</v>
      </c>
      <c r="R94" s="2">
        <v>-843.62154936724642</v>
      </c>
      <c r="S94" s="2">
        <v>-8.3412000000000006</v>
      </c>
      <c r="T94" s="2">
        <v>-53.576999999999998</v>
      </c>
      <c r="U94" s="2">
        <v>86.8245</v>
      </c>
      <c r="V94" s="2">
        <v>20.200305496251815</v>
      </c>
      <c r="W94" s="2">
        <v>7.5769845873722588</v>
      </c>
      <c r="X94" s="2">
        <v>80.38</v>
      </c>
      <c r="Y94" s="2">
        <v>-4.96</v>
      </c>
      <c r="Z94" s="4">
        <v>6</v>
      </c>
      <c r="AA94" s="4">
        <v>8.6999999999999993</v>
      </c>
      <c r="AB94" s="2">
        <v>2.9</v>
      </c>
      <c r="AC94" s="2">
        <v>15.6</v>
      </c>
      <c r="AD94" s="2">
        <v>5.5999999999999943</v>
      </c>
      <c r="AE94" s="2">
        <v>1</v>
      </c>
    </row>
    <row r="95" spans="1:31" x14ac:dyDescent="0.25">
      <c r="A95" s="2" t="s">
        <v>99</v>
      </c>
      <c r="B95" s="2">
        <v>2019</v>
      </c>
      <c r="C95" s="2" t="s">
        <v>238</v>
      </c>
      <c r="D95" s="2" t="s">
        <v>297</v>
      </c>
      <c r="E95" s="2">
        <v>7.1694000000000004</v>
      </c>
      <c r="F95" s="2">
        <v>7.4852999999999996</v>
      </c>
      <c r="G95" s="2">
        <v>5.2385999999999999</v>
      </c>
      <c r="H95" s="2">
        <v>1.1533</v>
      </c>
      <c r="I95" s="2">
        <v>0.70920000000000005</v>
      </c>
      <c r="J95">
        <f>0.256674609672327*(100)</f>
        <v>25.667460967232703</v>
      </c>
      <c r="K95">
        <f>0.0729*(100)</f>
        <v>7.2900000000000009</v>
      </c>
      <c r="L95" s="2">
        <v>6.0715000000000003</v>
      </c>
      <c r="M95" s="2">
        <v>2.5663999999999998</v>
      </c>
      <c r="N95" s="2">
        <v>3.1629999999999998</v>
      </c>
      <c r="O95" s="2">
        <v>1.0854999999999999</v>
      </c>
      <c r="P95" s="2">
        <v>54.070099999999996</v>
      </c>
      <c r="Q95" s="2">
        <v>0.25590000000000002</v>
      </c>
      <c r="R95" s="2">
        <v>-11.05442502370922</v>
      </c>
      <c r="S95" s="2">
        <v>-0.56279999999999997</v>
      </c>
      <c r="T95" s="2">
        <v>7.8753000000000002</v>
      </c>
      <c r="U95" s="2">
        <v>55.164299999999997</v>
      </c>
      <c r="V95" s="2">
        <v>16.928608517804541</v>
      </c>
      <c r="W95" s="2">
        <v>1.2303363254367141</v>
      </c>
      <c r="X95" s="2">
        <v>113.76</v>
      </c>
      <c r="Y95" s="2">
        <v>3.7</v>
      </c>
      <c r="Z95" s="4">
        <v>6</v>
      </c>
      <c r="AA95" s="4">
        <v>8.6999999999999993</v>
      </c>
      <c r="AB95" s="2">
        <v>2.9</v>
      </c>
      <c r="AC95" s="2">
        <v>15.6</v>
      </c>
      <c r="AD95" s="2">
        <v>4.7999999999999972</v>
      </c>
      <c r="AE95" s="2">
        <v>1</v>
      </c>
    </row>
    <row r="96" spans="1:31" x14ac:dyDescent="0.25">
      <c r="A96" s="2" t="s">
        <v>109</v>
      </c>
      <c r="B96" s="2">
        <v>2019</v>
      </c>
      <c r="C96" s="2" t="s">
        <v>248</v>
      </c>
      <c r="D96" s="2" t="s">
        <v>300</v>
      </c>
      <c r="E96" s="2">
        <v>-24.2714</v>
      </c>
      <c r="F96" s="2">
        <v>-166.22739999999999</v>
      </c>
      <c r="G96" s="2">
        <v>-46.682299999999998</v>
      </c>
      <c r="H96" s="2">
        <v>0.56730000000000003</v>
      </c>
      <c r="I96" s="2">
        <v>0.312</v>
      </c>
      <c r="J96">
        <f>0.1008740350189*(100)</f>
        <v>10.08740350189</v>
      </c>
      <c r="K96">
        <f>0.0087*(100)</f>
        <v>0.86999999999999988</v>
      </c>
      <c r="L96" s="2">
        <v>2.0907</v>
      </c>
      <c r="M96" s="2">
        <v>0.98740000000000006</v>
      </c>
      <c r="N96" s="2">
        <v>8.4374000000000002</v>
      </c>
      <c r="O96" s="2">
        <v>0.48830000000000001</v>
      </c>
      <c r="P96" s="2">
        <v>5.4752000000000001</v>
      </c>
      <c r="Q96" s="2">
        <v>22.138400000000001</v>
      </c>
      <c r="R96" s="2">
        <v>-169.46787853320731</v>
      </c>
      <c r="S96" s="2">
        <v>-39.439900000000002</v>
      </c>
      <c r="T96" s="2">
        <v>-90.101799999999997</v>
      </c>
      <c r="U96" s="2">
        <v>96.168599999999998</v>
      </c>
      <c r="V96" s="2">
        <v>10.678805661807427</v>
      </c>
      <c r="W96" s="2">
        <v>0.51283569437732501</v>
      </c>
      <c r="X96" s="2">
        <v>90.19</v>
      </c>
      <c r="Y96" s="2">
        <v>1.29</v>
      </c>
      <c r="Z96" s="4">
        <v>6</v>
      </c>
      <c r="AA96" s="4">
        <v>8.6999999999999993</v>
      </c>
      <c r="AB96" s="2">
        <v>2.9</v>
      </c>
      <c r="AC96" s="2">
        <v>15.6</v>
      </c>
      <c r="AD96" s="2">
        <v>4.7999999999999972</v>
      </c>
      <c r="AE96" s="2">
        <v>1</v>
      </c>
    </row>
    <row r="97" spans="1:31" x14ac:dyDescent="0.25">
      <c r="A97" s="2" t="s">
        <v>108</v>
      </c>
      <c r="B97" s="2">
        <v>2019</v>
      </c>
      <c r="C97" s="2" t="s">
        <v>247</v>
      </c>
      <c r="D97" s="2" t="s">
        <v>335</v>
      </c>
      <c r="E97" s="2">
        <v>-10.239000000000001</v>
      </c>
      <c r="F97" s="2">
        <v>-46.159700000000001</v>
      </c>
      <c r="G97" s="2">
        <v>-28.130600000000001</v>
      </c>
      <c r="H97" s="2">
        <v>1.1876</v>
      </c>
      <c r="I97" s="2">
        <v>1.1218999999999999</v>
      </c>
      <c r="J97">
        <f>0.153054778111768*(100)</f>
        <v>15.305477811176798</v>
      </c>
      <c r="K97">
        <f>-0.0762*(100)</f>
        <v>-7.62</v>
      </c>
      <c r="L97" s="2">
        <v>6.9203000000000001</v>
      </c>
      <c r="M97" s="2">
        <v>0.82199999999999995</v>
      </c>
      <c r="N97" s="2">
        <v>14.8461</v>
      </c>
      <c r="O97" s="2">
        <v>0.46820000000000001</v>
      </c>
      <c r="P97" s="2">
        <v>7.2343000000000002</v>
      </c>
      <c r="Q97" s="2">
        <v>-43.646099999999997</v>
      </c>
      <c r="R97" s="2">
        <v>-478.80540324869071</v>
      </c>
      <c r="S97" s="2">
        <v>1.839</v>
      </c>
      <c r="T97" s="2">
        <v>-48.556800000000003</v>
      </c>
      <c r="U97" s="2">
        <v>75.062600000000003</v>
      </c>
      <c r="V97" s="2">
        <v>25.785127088737724</v>
      </c>
      <c r="W97" s="2">
        <v>4.9925201913916144</v>
      </c>
      <c r="X97" s="2">
        <v>120.13</v>
      </c>
      <c r="Y97" s="2">
        <v>-12.33</v>
      </c>
      <c r="Z97" s="4">
        <v>6</v>
      </c>
      <c r="AA97" s="4">
        <v>8.6999999999999993</v>
      </c>
      <c r="AB97" s="2">
        <v>2.9</v>
      </c>
      <c r="AC97" s="2">
        <v>15.6</v>
      </c>
      <c r="AD97" s="2">
        <v>5.5999999999999943</v>
      </c>
      <c r="AE97" s="2">
        <v>1</v>
      </c>
    </row>
    <row r="98" spans="1:31" x14ac:dyDescent="0.25">
      <c r="A98" s="2" t="s">
        <v>110</v>
      </c>
      <c r="B98" s="2">
        <v>2019</v>
      </c>
      <c r="C98" s="2" t="s">
        <v>249</v>
      </c>
      <c r="D98" s="2" t="s">
        <v>336</v>
      </c>
      <c r="E98" s="2">
        <v>1.3321000000000001</v>
      </c>
      <c r="F98" s="2">
        <v>-10.8284</v>
      </c>
      <c r="G98" s="2">
        <v>-6.1437999999999997</v>
      </c>
      <c r="H98" s="2">
        <v>0.84209999999999996</v>
      </c>
      <c r="I98" s="2">
        <v>0.54449999999999998</v>
      </c>
      <c r="J98">
        <f>0.256916573977158*(100)</f>
        <v>25.691657397715801</v>
      </c>
      <c r="K98">
        <f>0.0549*(100)</f>
        <v>5.4899999999999993</v>
      </c>
      <c r="L98" s="2">
        <v>2.1320999999999999</v>
      </c>
      <c r="M98" s="2">
        <v>0.84440000000000004</v>
      </c>
      <c r="N98" s="2">
        <v>1.9201999999999999</v>
      </c>
      <c r="O98" s="2">
        <v>0.34960000000000002</v>
      </c>
      <c r="P98" s="2">
        <v>6.7991000000000001</v>
      </c>
      <c r="Q98" s="2">
        <v>1.798</v>
      </c>
      <c r="R98" s="2">
        <v>-243.23560814292679</v>
      </c>
      <c r="S98" s="2">
        <v>7.3853999999999997</v>
      </c>
      <c r="T98" s="2">
        <v>-12.2334</v>
      </c>
      <c r="U98" s="2">
        <v>68.900999999999996</v>
      </c>
      <c r="V98" s="2">
        <v>21.139215760330039</v>
      </c>
      <c r="W98" s="2">
        <v>1.252331465175899</v>
      </c>
      <c r="X98" s="2">
        <v>119.38</v>
      </c>
      <c r="Y98" s="2">
        <v>11.35</v>
      </c>
      <c r="Z98" s="4">
        <v>6</v>
      </c>
      <c r="AA98" s="4">
        <v>8.6999999999999993</v>
      </c>
      <c r="AB98" s="2">
        <v>2.9</v>
      </c>
      <c r="AC98" s="2">
        <v>15.6</v>
      </c>
      <c r="AD98" s="2">
        <v>5.5999999999999943</v>
      </c>
      <c r="AE98" s="2">
        <v>1</v>
      </c>
    </row>
    <row r="99" spans="1:31" x14ac:dyDescent="0.25">
      <c r="A99" s="2" t="s">
        <v>105</v>
      </c>
      <c r="B99" s="2">
        <v>2019</v>
      </c>
      <c r="C99" s="2" t="s">
        <v>244</v>
      </c>
      <c r="D99" s="2" t="s">
        <v>333</v>
      </c>
      <c r="E99" s="2">
        <v>-4.3856999999999999</v>
      </c>
      <c r="F99" s="2">
        <v>-171.6722</v>
      </c>
      <c r="G99" s="2">
        <v>-14.1958</v>
      </c>
      <c r="H99" s="2">
        <v>0.96899999999999997</v>
      </c>
      <c r="I99" s="2">
        <v>0.81259999999999999</v>
      </c>
      <c r="J99">
        <f>0.291640661986438*(100)</f>
        <v>29.164066198643802</v>
      </c>
      <c r="K99">
        <f>-0.1489*(100)</f>
        <v>-14.89</v>
      </c>
      <c r="L99" s="2">
        <v>4.5621999999999998</v>
      </c>
      <c r="M99" s="2">
        <v>0.95220000000000005</v>
      </c>
      <c r="N99" s="2">
        <v>7.5156999999999998</v>
      </c>
      <c r="O99" s="2">
        <v>0.52529999999999999</v>
      </c>
      <c r="P99" s="2">
        <v>8.8219999999999992</v>
      </c>
      <c r="Q99" s="2">
        <v>-22.6584</v>
      </c>
      <c r="R99" s="2">
        <v>-632.64242566387395</v>
      </c>
      <c r="S99" s="2">
        <v>-12.7128</v>
      </c>
      <c r="T99" s="2">
        <v>-225.6103</v>
      </c>
      <c r="U99" s="2">
        <v>73.312600000000003</v>
      </c>
      <c r="V99" s="2">
        <v>14.850805634226868</v>
      </c>
      <c r="W99" s="2">
        <v>-0.59471557550906262</v>
      </c>
      <c r="X99" s="2">
        <v>107.88</v>
      </c>
      <c r="Y99" s="2">
        <v>-19.38</v>
      </c>
      <c r="Z99" s="4">
        <v>6</v>
      </c>
      <c r="AA99" s="4">
        <v>8.6999999999999993</v>
      </c>
      <c r="AB99" s="2">
        <v>2.9</v>
      </c>
      <c r="AC99" s="2">
        <v>15.6</v>
      </c>
      <c r="AD99" s="2">
        <v>5.5999999999999943</v>
      </c>
      <c r="AE99" s="2">
        <v>1</v>
      </c>
    </row>
    <row r="100" spans="1:31" x14ac:dyDescent="0.25">
      <c r="A100" s="2" t="s">
        <v>115</v>
      </c>
      <c r="B100" s="2">
        <v>2019</v>
      </c>
      <c r="C100" s="2" t="s">
        <v>252</v>
      </c>
      <c r="D100" s="2" t="s">
        <v>295</v>
      </c>
      <c r="E100" s="2">
        <v>1.9703999999999999</v>
      </c>
      <c r="F100" s="2">
        <v>-3.5642</v>
      </c>
      <c r="G100" s="2">
        <v>-5.3503999999999996</v>
      </c>
      <c r="H100" s="2">
        <v>2.8148</v>
      </c>
      <c r="I100" s="2">
        <v>1.4962</v>
      </c>
      <c r="J100">
        <f>0.332843691409624*(100)</f>
        <v>33.284369140962397</v>
      </c>
      <c r="K100">
        <f>0.0013*(100)</f>
        <v>0.13</v>
      </c>
      <c r="L100" s="2">
        <v>0.2606</v>
      </c>
      <c r="M100" s="2">
        <v>0.15049999999999999</v>
      </c>
      <c r="N100" s="2">
        <v>1.4486000000000001</v>
      </c>
      <c r="O100" s="2">
        <v>8.4500000000000006E-2</v>
      </c>
      <c r="P100" s="2">
        <v>2.7155</v>
      </c>
      <c r="Q100" s="2">
        <v>-18.789200000000001</v>
      </c>
      <c r="R100" s="2">
        <v>-227.83302767190489</v>
      </c>
      <c r="S100" s="2">
        <v>5.2432999999999996</v>
      </c>
      <c r="T100" s="2">
        <v>-3.6212</v>
      </c>
      <c r="U100" s="2">
        <v>59.549799999999998</v>
      </c>
      <c r="V100" s="2">
        <v>40.104879759268073</v>
      </c>
      <c r="W100" s="2">
        <v>4.8030690465453016</v>
      </c>
      <c r="X100" s="2">
        <v>117.71</v>
      </c>
      <c r="Y100" s="2">
        <v>0.95</v>
      </c>
      <c r="Z100" s="4">
        <v>6</v>
      </c>
      <c r="AA100" s="4">
        <v>8.6999999999999993</v>
      </c>
      <c r="AB100" s="2">
        <v>2.9</v>
      </c>
      <c r="AC100" s="2">
        <v>15.6</v>
      </c>
      <c r="AD100" s="2">
        <v>2.5999999999999943</v>
      </c>
      <c r="AE100" s="2">
        <v>1</v>
      </c>
    </row>
    <row r="101" spans="1:31" x14ac:dyDescent="0.25">
      <c r="A101" s="2" t="s">
        <v>116</v>
      </c>
      <c r="B101" s="2">
        <v>2019</v>
      </c>
      <c r="C101" s="2" t="s">
        <v>253</v>
      </c>
      <c r="D101" s="2" t="s">
        <v>338</v>
      </c>
      <c r="E101" s="2">
        <v>-11.481400000000001</v>
      </c>
      <c r="F101" s="2">
        <v>-62.477699999999999</v>
      </c>
      <c r="G101" s="2">
        <v>-14.4026</v>
      </c>
      <c r="H101" s="2">
        <v>0.71389999999999998</v>
      </c>
      <c r="I101" s="2">
        <v>0.57699999999999996</v>
      </c>
      <c r="J101">
        <f>0.272480225564692*(100)</f>
        <v>27.248022556469198</v>
      </c>
      <c r="K101">
        <f>-0.4635*(100)</f>
        <v>-46.35</v>
      </c>
      <c r="L101" s="2">
        <v>7.1738</v>
      </c>
      <c r="M101" s="2">
        <v>1.3069</v>
      </c>
      <c r="N101" s="2">
        <v>5.2343999999999999</v>
      </c>
      <c r="O101" s="2">
        <v>0.87209999999999999</v>
      </c>
      <c r="P101" s="2">
        <v>34.2224</v>
      </c>
      <c r="Q101" s="2">
        <v>-40.365299999999998</v>
      </c>
      <c r="R101" s="2">
        <v>-3277.0906885678492</v>
      </c>
      <c r="S101" s="2">
        <v>-48.260300000000001</v>
      </c>
      <c r="T101" s="2">
        <v>-51.724600000000002</v>
      </c>
      <c r="U101" s="2">
        <v>80.284300000000002</v>
      </c>
      <c r="V101" s="2">
        <v>4.4031487754623715</v>
      </c>
      <c r="W101" s="2">
        <v>0.82498851762393988</v>
      </c>
      <c r="X101" s="2">
        <v>121.67</v>
      </c>
      <c r="Y101" s="2">
        <v>-29.1</v>
      </c>
      <c r="Z101" s="4">
        <v>6</v>
      </c>
      <c r="AA101" s="4">
        <v>8.6999999999999993</v>
      </c>
      <c r="AB101" s="2">
        <v>2.9</v>
      </c>
      <c r="AC101" s="2">
        <v>15.6</v>
      </c>
      <c r="AD101" s="2">
        <v>5.5999999999999943</v>
      </c>
      <c r="AE101" s="2">
        <v>1</v>
      </c>
    </row>
    <row r="102" spans="1:31" x14ac:dyDescent="0.25">
      <c r="A102" s="2" t="s">
        <v>125</v>
      </c>
      <c r="B102" s="2">
        <v>2019</v>
      </c>
      <c r="C102" s="2" t="s">
        <v>262</v>
      </c>
      <c r="D102" s="2" t="s">
        <v>298</v>
      </c>
      <c r="E102" s="2">
        <v>7.1459000000000001</v>
      </c>
      <c r="F102" s="2">
        <v>6.9002999999999997</v>
      </c>
      <c r="G102" s="2">
        <v>1.8249</v>
      </c>
      <c r="H102" s="2">
        <v>1.4408000000000001</v>
      </c>
      <c r="I102" s="2">
        <v>1.1299999999999999</v>
      </c>
      <c r="J102">
        <f>0.0578934318777602*(100)</f>
        <v>5.7893431877760202</v>
      </c>
      <c r="K102">
        <f>-0.0117*(100)</f>
        <v>-1.17</v>
      </c>
      <c r="L102" s="2">
        <v>4.9325000000000001</v>
      </c>
      <c r="M102" s="2">
        <v>1.6194</v>
      </c>
      <c r="N102" s="2">
        <v>2.7320000000000002</v>
      </c>
      <c r="O102" s="2">
        <v>0.86780000000000002</v>
      </c>
      <c r="P102" s="2">
        <v>21.4054</v>
      </c>
      <c r="Q102" s="2">
        <v>27.742699999999999</v>
      </c>
      <c r="R102" s="2">
        <v>-59.941445638398363</v>
      </c>
      <c r="S102" s="2">
        <v>28.4908</v>
      </c>
      <c r="T102" s="2">
        <v>8.3879000000000001</v>
      </c>
      <c r="U102" s="2">
        <v>80.529600000000002</v>
      </c>
      <c r="V102" s="2">
        <v>38.521143344181375</v>
      </c>
      <c r="W102" s="2">
        <v>0.53862709819301446</v>
      </c>
      <c r="X102" s="2">
        <v>95.59</v>
      </c>
      <c r="Y102" s="2">
        <v>-1.22</v>
      </c>
      <c r="Z102" s="4">
        <v>6</v>
      </c>
      <c r="AA102" s="4">
        <v>8.6999999999999993</v>
      </c>
      <c r="AB102" s="2">
        <v>2.9</v>
      </c>
      <c r="AC102" s="2">
        <v>15.6</v>
      </c>
      <c r="AD102" s="2">
        <v>4.7999999999999972</v>
      </c>
      <c r="AE102" s="2">
        <v>1</v>
      </c>
    </row>
    <row r="103" spans="1:31" x14ac:dyDescent="0.25">
      <c r="A103" s="2" t="s">
        <v>31</v>
      </c>
      <c r="B103" s="2">
        <v>2019</v>
      </c>
      <c r="C103" s="2" t="s">
        <v>184</v>
      </c>
      <c r="D103" s="2" t="s">
        <v>295</v>
      </c>
      <c r="E103" s="2">
        <v>-33.497900000000001</v>
      </c>
      <c r="F103" s="2">
        <v>-183.10509999999999</v>
      </c>
      <c r="G103" s="2">
        <v>-80.145899999999997</v>
      </c>
      <c r="H103" s="2">
        <v>0.61299999999999999</v>
      </c>
      <c r="I103" s="2">
        <v>0.17630000000000001</v>
      </c>
      <c r="J103">
        <f>0.0403162867130535*(100)</f>
        <v>4.0316286713053495</v>
      </c>
      <c r="K103">
        <f>0.0018*(100)</f>
        <v>0.18</v>
      </c>
      <c r="L103" s="2">
        <v>0.66569999999999996</v>
      </c>
      <c r="M103" s="2">
        <v>0.89980000000000004</v>
      </c>
      <c r="N103" s="2">
        <v>34.026899999999998</v>
      </c>
      <c r="O103" s="2">
        <v>0.29620000000000002</v>
      </c>
      <c r="P103" s="2">
        <v>12.388299999999999</v>
      </c>
      <c r="Q103" s="2">
        <v>26.544499999999999</v>
      </c>
      <c r="R103" s="2">
        <v>-749.79019366346483</v>
      </c>
      <c r="S103" s="2">
        <v>-41.782299999999999</v>
      </c>
      <c r="T103" s="2">
        <v>-96.637100000000004</v>
      </c>
      <c r="U103" s="2">
        <v>98.3857</v>
      </c>
      <c r="V103" s="2">
        <v>51.50483306614867</v>
      </c>
      <c r="W103" s="2">
        <v>2.9044509786395207</v>
      </c>
      <c r="X103" s="2">
        <v>44.36</v>
      </c>
      <c r="Y103" s="2">
        <v>0.43</v>
      </c>
      <c r="Z103" s="4">
        <v>6</v>
      </c>
      <c r="AA103" s="4">
        <v>8.6999999999999993</v>
      </c>
      <c r="AB103" s="2">
        <v>2.9</v>
      </c>
      <c r="AC103" s="2">
        <v>15.6</v>
      </c>
      <c r="AD103" s="2">
        <v>2.5999999999999943</v>
      </c>
      <c r="AE103" s="2">
        <v>1</v>
      </c>
    </row>
    <row r="104" spans="1:31" x14ac:dyDescent="0.25">
      <c r="A104" s="2" t="s">
        <v>102</v>
      </c>
      <c r="B104" s="2">
        <v>2019</v>
      </c>
      <c r="C104" s="2" t="s">
        <v>241</v>
      </c>
      <c r="D104" s="2" t="s">
        <v>322</v>
      </c>
      <c r="E104" s="2">
        <v>-6.5330000000000004</v>
      </c>
      <c r="F104" s="2">
        <v>-35.566499999999998</v>
      </c>
      <c r="G104" s="2">
        <v>-22.310099999999998</v>
      </c>
      <c r="H104" s="2">
        <v>0.77159999999999995</v>
      </c>
      <c r="I104" s="2">
        <v>0.6139</v>
      </c>
      <c r="J104">
        <f>0.0478486766982601*(100)</f>
        <v>4.78486766982601</v>
      </c>
      <c r="K104">
        <f>0.1736*(100)</f>
        <v>17.36</v>
      </c>
      <c r="L104" s="2">
        <v>4.0331000000000001</v>
      </c>
      <c r="M104" s="2">
        <v>0.85719999999999996</v>
      </c>
      <c r="N104" s="2">
        <v>4.2096</v>
      </c>
      <c r="O104" s="2">
        <v>0.45600000000000002</v>
      </c>
      <c r="P104" s="2">
        <v>1.7784</v>
      </c>
      <c r="Q104" s="2">
        <v>-13.518000000000001</v>
      </c>
      <c r="R104" s="2">
        <v>-469.39613657375719</v>
      </c>
      <c r="S104" s="2">
        <v>-37.316400000000002</v>
      </c>
      <c r="T104" s="2">
        <v>-34.268599999999999</v>
      </c>
      <c r="U104" s="2">
        <v>67.809899999999999</v>
      </c>
      <c r="V104" s="2">
        <v>0.73548759991592005</v>
      </c>
      <c r="W104" s="2">
        <v>2.8848011219288905</v>
      </c>
      <c r="X104" s="2">
        <v>123.8</v>
      </c>
      <c r="Y104" s="2">
        <v>19.89</v>
      </c>
      <c r="Z104" s="4">
        <v>6</v>
      </c>
      <c r="AA104" s="4">
        <v>8.6999999999999993</v>
      </c>
      <c r="AB104" s="2">
        <v>2.9</v>
      </c>
      <c r="AC104" s="2">
        <v>15.6</v>
      </c>
      <c r="AD104" s="2">
        <v>5.5999999999999943</v>
      </c>
      <c r="AE104" s="2">
        <v>1</v>
      </c>
    </row>
    <row r="105" spans="1:31" x14ac:dyDescent="0.25">
      <c r="A105" s="2" t="s">
        <v>123</v>
      </c>
      <c r="B105" s="2">
        <v>2019</v>
      </c>
      <c r="C105" s="2" t="s">
        <v>260</v>
      </c>
      <c r="D105" s="2" t="s">
        <v>310</v>
      </c>
      <c r="E105" s="2">
        <v>-26.9711</v>
      </c>
      <c r="F105" s="2">
        <v>-179.78579999999999</v>
      </c>
      <c r="G105" s="2">
        <v>-440.15129999999999</v>
      </c>
      <c r="H105" s="2">
        <v>0.8871</v>
      </c>
      <c r="I105" s="2">
        <v>0.79900000000000004</v>
      </c>
      <c r="J105">
        <f>0.0564179321956467*(100)</f>
        <v>5.6417932195646694</v>
      </c>
      <c r="K105">
        <f>0.0035*(100)</f>
        <v>0.35000000000000003</v>
      </c>
      <c r="L105" s="2">
        <v>0.95099999999999996</v>
      </c>
      <c r="M105" s="2">
        <v>0.1075</v>
      </c>
      <c r="N105" s="2">
        <v>0.58279999999999998</v>
      </c>
      <c r="O105" s="2">
        <v>6.8000000000000005E-2</v>
      </c>
      <c r="P105" s="2">
        <v>0.78300000000000003</v>
      </c>
      <c r="Q105" s="2">
        <v>-62.677199999999999</v>
      </c>
      <c r="R105" s="2">
        <v>-2599.5041079122329</v>
      </c>
      <c r="S105" s="2">
        <v>-2.1486999999999998</v>
      </c>
      <c r="T105" s="2">
        <v>-92.7102</v>
      </c>
      <c r="U105" s="2">
        <v>96.661900000000003</v>
      </c>
      <c r="V105" s="2">
        <v>19.340243417931742</v>
      </c>
      <c r="W105" s="2">
        <v>0.17477451850460618</v>
      </c>
      <c r="X105" s="2">
        <v>157.08000000000001</v>
      </c>
      <c r="Y105" s="2">
        <v>4.9400000000000004</v>
      </c>
      <c r="Z105" s="4">
        <v>6</v>
      </c>
      <c r="AA105" s="4">
        <v>8.6999999999999993</v>
      </c>
      <c r="AB105" s="2">
        <v>2.9</v>
      </c>
      <c r="AC105" s="2">
        <v>15.6</v>
      </c>
      <c r="AD105" s="2">
        <v>4.7999999999999972</v>
      </c>
      <c r="AE105" s="2">
        <v>1</v>
      </c>
    </row>
    <row r="106" spans="1:31" x14ac:dyDescent="0.25">
      <c r="A106" s="2" t="s">
        <v>45</v>
      </c>
      <c r="B106" s="2">
        <v>2019</v>
      </c>
      <c r="C106" s="2" t="s">
        <v>197</v>
      </c>
      <c r="D106" s="2" t="s">
        <v>307</v>
      </c>
      <c r="E106" s="2">
        <v>-14.7849</v>
      </c>
      <c r="F106" s="2">
        <v>-128.0121</v>
      </c>
      <c r="G106" s="2">
        <v>-113.8254</v>
      </c>
      <c r="H106" s="2">
        <v>0.62180000000000002</v>
      </c>
      <c r="I106" s="2">
        <v>0.55710000000000004</v>
      </c>
      <c r="J106">
        <f>0.0293875481336888*(100)</f>
        <v>2.9387548133688801</v>
      </c>
      <c r="K106">
        <f>-0.045*(100)</f>
        <v>-4.5</v>
      </c>
      <c r="L106" s="2">
        <v>3.1993</v>
      </c>
      <c r="M106" s="2">
        <v>0.33189999999999997</v>
      </c>
      <c r="N106" s="2">
        <v>0.96599999999999997</v>
      </c>
      <c r="O106" s="2">
        <v>0.16189999999999999</v>
      </c>
      <c r="P106" s="2">
        <v>6.5629999999999997</v>
      </c>
      <c r="Q106" s="2">
        <v>-37.5974</v>
      </c>
      <c r="R106" s="2">
        <v>-3940.0099946970122</v>
      </c>
      <c r="S106" s="2">
        <v>-7.8409000000000004</v>
      </c>
      <c r="T106" s="2">
        <v>-78.379900000000006</v>
      </c>
      <c r="U106" s="2">
        <v>87.885400000000004</v>
      </c>
      <c r="V106" s="2">
        <v>16.539326412037646</v>
      </c>
      <c r="W106" s="2">
        <v>0.28664339253754229</v>
      </c>
      <c r="X106" s="2">
        <v>102.88</v>
      </c>
      <c r="Y106" s="2">
        <v>-23.44</v>
      </c>
      <c r="Z106" s="4">
        <v>6</v>
      </c>
      <c r="AA106" s="4">
        <v>8.6999999999999993</v>
      </c>
      <c r="AB106" s="2">
        <v>2.9</v>
      </c>
      <c r="AC106" s="2">
        <v>15.6</v>
      </c>
      <c r="AD106" s="2">
        <v>5.5</v>
      </c>
      <c r="AE106" s="2">
        <v>1</v>
      </c>
    </row>
    <row r="107" spans="1:31" x14ac:dyDescent="0.25">
      <c r="A107" s="2" t="s">
        <v>100</v>
      </c>
      <c r="B107" s="2">
        <v>2019</v>
      </c>
      <c r="C107" s="2" t="s">
        <v>239</v>
      </c>
      <c r="D107" s="2" t="s">
        <v>331</v>
      </c>
      <c r="E107" s="2">
        <v>-1.3199000000000001</v>
      </c>
      <c r="F107" s="2">
        <v>-12.681900000000001</v>
      </c>
      <c r="G107" s="2">
        <v>-42.541899999999998</v>
      </c>
      <c r="H107" s="2">
        <v>0.89419999999999999</v>
      </c>
      <c r="I107" s="2">
        <v>0.86709999999999998</v>
      </c>
      <c r="J107">
        <f>0.091655881898212*(100)</f>
        <v>9.1655881898212002</v>
      </c>
      <c r="K107">
        <f>0.0704*(100)</f>
        <v>7.04</v>
      </c>
      <c r="L107" s="2">
        <v>9.1267999999999994</v>
      </c>
      <c r="M107" s="2">
        <v>0.35549999999999998</v>
      </c>
      <c r="N107" s="2">
        <v>1.0042</v>
      </c>
      <c r="O107" s="2">
        <v>0.13600000000000001</v>
      </c>
      <c r="P107" s="2">
        <v>2.0402</v>
      </c>
      <c r="Q107" s="2">
        <v>-36.580100000000002</v>
      </c>
      <c r="R107" s="2">
        <v>-374.26434963814671</v>
      </c>
      <c r="S107" s="2">
        <v>17.210799999999999</v>
      </c>
      <c r="T107" s="2">
        <v>-11.7865</v>
      </c>
      <c r="U107" s="2">
        <v>69.239400000000003</v>
      </c>
      <c r="V107" s="2">
        <v>24.990314255832445</v>
      </c>
      <c r="W107" s="2">
        <v>1.6768892141845626</v>
      </c>
      <c r="X107" s="2">
        <v>114.55</v>
      </c>
      <c r="Y107" s="2">
        <v>38.65</v>
      </c>
      <c r="Z107" s="4">
        <v>6</v>
      </c>
      <c r="AA107" s="4">
        <v>8.6999999999999993</v>
      </c>
      <c r="AB107" s="2">
        <v>2.9</v>
      </c>
      <c r="AC107" s="2">
        <v>15.6</v>
      </c>
      <c r="AD107" s="2">
        <v>4.7999999999999972</v>
      </c>
      <c r="AE107" s="2">
        <v>1</v>
      </c>
    </row>
    <row r="108" spans="1:31" x14ac:dyDescent="0.25">
      <c r="A108" s="2" t="s">
        <v>98</v>
      </c>
      <c r="B108" s="2">
        <v>2019</v>
      </c>
      <c r="C108" s="2" t="s">
        <v>237</v>
      </c>
      <c r="D108" s="2" t="s">
        <v>310</v>
      </c>
      <c r="E108" s="2">
        <v>-11.5692</v>
      </c>
      <c r="F108" s="2">
        <v>-45.003829500000023</v>
      </c>
      <c r="G108" s="2">
        <v>-2803.8413</v>
      </c>
      <c r="H108" s="2">
        <v>0.89100000000000001</v>
      </c>
      <c r="I108" s="2">
        <v>0.65810000000000002</v>
      </c>
      <c r="J108">
        <f>0.00759552742655651*(100)</f>
        <v>0.75955274265565098</v>
      </c>
      <c r="K108">
        <f>-0.0269*(100)</f>
        <v>-2.69</v>
      </c>
      <c r="L108" s="2">
        <v>1.34E-2</v>
      </c>
      <c r="M108" s="2">
        <v>6.3E-3</v>
      </c>
      <c r="N108" s="2">
        <v>0.2147</v>
      </c>
      <c r="O108" s="2">
        <v>5.4999999999999997E-3</v>
      </c>
      <c r="P108" s="2">
        <v>3707.2373380000008</v>
      </c>
      <c r="Q108" s="2">
        <v>-97.410799999999995</v>
      </c>
      <c r="R108" s="2">
        <v>-174.729961788959</v>
      </c>
      <c r="S108" s="2">
        <v>-15.560499999999999</v>
      </c>
      <c r="T108" s="2">
        <v>-487.75560000000002</v>
      </c>
      <c r="U108" s="2">
        <v>103.87560000000001</v>
      </c>
      <c r="V108" s="2">
        <v>3.9018749636671353</v>
      </c>
      <c r="W108" s="2">
        <v>-3.2594269554365543</v>
      </c>
      <c r="X108" s="2">
        <v>819.2299999999999</v>
      </c>
      <c r="Y108" s="2">
        <v>-465.59</v>
      </c>
      <c r="Z108" s="4">
        <v>6</v>
      </c>
      <c r="AA108" s="4">
        <v>8.6999999999999993</v>
      </c>
      <c r="AB108" s="2">
        <v>2.9</v>
      </c>
      <c r="AC108" s="2">
        <v>15.6</v>
      </c>
      <c r="AD108" s="2">
        <v>4.7999999999999972</v>
      </c>
      <c r="AE108" s="2">
        <v>1</v>
      </c>
    </row>
    <row r="109" spans="1:31" x14ac:dyDescent="0.25">
      <c r="A109" s="2" t="s">
        <v>111</v>
      </c>
      <c r="B109" s="2">
        <v>2019</v>
      </c>
      <c r="C109" s="2" t="s">
        <v>201</v>
      </c>
      <c r="D109" s="2" t="s">
        <v>309</v>
      </c>
      <c r="E109" s="2">
        <v>-5.1215000000000002</v>
      </c>
      <c r="F109" s="2">
        <v>-20.0029</v>
      </c>
      <c r="G109" s="2">
        <v>-39.527900000000002</v>
      </c>
      <c r="H109" s="2">
        <v>0.47720000000000001</v>
      </c>
      <c r="I109" s="2">
        <v>0.42809999999999998</v>
      </c>
      <c r="J109">
        <f>0.0498660359026324*(100)</f>
        <v>4.9866035902632406</v>
      </c>
      <c r="K109">
        <f>0.0736*(100)</f>
        <v>7.3599999999999994</v>
      </c>
      <c r="L109" s="2">
        <v>8.2123000000000008</v>
      </c>
      <c r="M109" s="2">
        <v>1.0239</v>
      </c>
      <c r="N109" s="2">
        <v>0.93520000000000003</v>
      </c>
      <c r="O109" s="2">
        <v>0.189</v>
      </c>
      <c r="P109" s="2">
        <v>2.3054000000000001</v>
      </c>
      <c r="Q109" s="2">
        <v>28.657299999999999</v>
      </c>
      <c r="R109" s="2">
        <v>-610.07481926978778</v>
      </c>
      <c r="S109" s="2">
        <v>26.384399999999999</v>
      </c>
      <c r="T109" s="2">
        <v>-18.159600000000001</v>
      </c>
      <c r="U109" s="2">
        <v>68.7226</v>
      </c>
      <c r="V109" s="2">
        <v>30.767171754953704</v>
      </c>
      <c r="W109" s="2">
        <v>1.8603548594104686</v>
      </c>
      <c r="X109" s="2">
        <v>87.47</v>
      </c>
      <c r="Y109" s="2">
        <v>29.88</v>
      </c>
      <c r="Z109" s="4">
        <v>6</v>
      </c>
      <c r="AA109" s="4">
        <v>8.6999999999999993</v>
      </c>
      <c r="AB109" s="2">
        <v>2.9</v>
      </c>
      <c r="AC109" s="2">
        <v>15.6</v>
      </c>
      <c r="AD109" s="2">
        <v>5.2000000000000028</v>
      </c>
      <c r="AE109" s="2">
        <v>1</v>
      </c>
    </row>
    <row r="110" spans="1:31" x14ac:dyDescent="0.25">
      <c r="A110" s="2" t="s">
        <v>62</v>
      </c>
      <c r="B110" s="2">
        <v>2019</v>
      </c>
      <c r="C110" s="2" t="s">
        <v>211</v>
      </c>
      <c r="D110" s="2" t="s">
        <v>317</v>
      </c>
      <c r="E110" s="2">
        <v>4.1024000000000003</v>
      </c>
      <c r="F110" s="2">
        <v>3.2744</v>
      </c>
      <c r="G110" s="2">
        <v>1.6679999999999999</v>
      </c>
      <c r="H110" s="2">
        <v>1.3309</v>
      </c>
      <c r="I110" s="2">
        <v>0.66149999999999998</v>
      </c>
      <c r="J110">
        <f>0.25217922080507*(100)</f>
        <v>25.217922080506998</v>
      </c>
      <c r="K110">
        <f>-0.0068*(100)</f>
        <v>-0.67999999999999994</v>
      </c>
      <c r="L110" s="2">
        <v>2.3397999999999999</v>
      </c>
      <c r="M110" s="2">
        <v>1.3499000000000001</v>
      </c>
      <c r="N110" s="2">
        <v>7.9665999999999997</v>
      </c>
      <c r="O110" s="2">
        <v>1.0007999999999999</v>
      </c>
      <c r="P110" s="2">
        <v>1407.3228999999999</v>
      </c>
      <c r="Q110" s="2">
        <v>-5.7087000000000003</v>
      </c>
      <c r="R110" s="2">
        <v>-48.52212867215033</v>
      </c>
      <c r="S110" s="2">
        <v>22.3855</v>
      </c>
      <c r="T110" s="2">
        <v>4.5537999999999998</v>
      </c>
      <c r="U110" s="2">
        <v>68.450599999999994</v>
      </c>
      <c r="V110" s="2">
        <v>11.055923560438046</v>
      </c>
      <c r="W110" s="2">
        <v>2.8189671200413509</v>
      </c>
      <c r="X110" s="2">
        <v>117.96</v>
      </c>
      <c r="Y110" s="2">
        <v>-0.51</v>
      </c>
      <c r="Z110" s="4">
        <v>6</v>
      </c>
      <c r="AA110" s="4">
        <v>8.6999999999999993</v>
      </c>
      <c r="AB110" s="2">
        <v>2.9</v>
      </c>
      <c r="AC110" s="2">
        <v>15.6</v>
      </c>
      <c r="AD110" s="2">
        <v>4.7999999999999972</v>
      </c>
      <c r="AE110" s="2">
        <v>1</v>
      </c>
    </row>
    <row r="111" spans="1:31" x14ac:dyDescent="0.25">
      <c r="A111" s="2" t="s">
        <v>64</v>
      </c>
      <c r="B111" s="2">
        <v>2019</v>
      </c>
      <c r="C111" s="2" t="s">
        <v>212</v>
      </c>
      <c r="D111" s="2" t="s">
        <v>311</v>
      </c>
      <c r="E111" s="2">
        <v>0.6905</v>
      </c>
      <c r="F111" s="2">
        <v>5.0200000000000002E-2</v>
      </c>
      <c r="G111" s="2">
        <v>0.83140000000000003</v>
      </c>
      <c r="H111" s="2">
        <v>1.3724000000000001</v>
      </c>
      <c r="I111" s="2">
        <v>1.1326000000000001</v>
      </c>
      <c r="J111">
        <f>0.052193952155693*(100)</f>
        <v>5.2193952155692998</v>
      </c>
      <c r="K111">
        <f>0.0318*(100)</f>
        <v>3.18</v>
      </c>
      <c r="L111" s="2">
        <v>2.2850999999999999</v>
      </c>
      <c r="M111" s="2">
        <v>0.44950000000000001</v>
      </c>
      <c r="N111" s="2">
        <v>19.5487</v>
      </c>
      <c r="O111" s="2">
        <v>0.27600000000000002</v>
      </c>
      <c r="P111" s="2">
        <v>1.8381000000000001</v>
      </c>
      <c r="Q111" s="2">
        <v>13.6479</v>
      </c>
      <c r="R111" s="2">
        <v>-110.1366248662966</v>
      </c>
      <c r="S111" s="2">
        <v>17.025500000000001</v>
      </c>
      <c r="T111" s="2">
        <v>-0.30249999999999999</v>
      </c>
      <c r="U111" s="2">
        <v>71.373099999999994</v>
      </c>
      <c r="V111" s="2">
        <v>22.128362277217818</v>
      </c>
      <c r="W111" s="2">
        <v>13.94767097440597</v>
      </c>
      <c r="X111" s="2">
        <v>97.61</v>
      </c>
      <c r="Y111" s="2">
        <v>8.870000000000001</v>
      </c>
      <c r="Z111" s="4">
        <v>6</v>
      </c>
      <c r="AA111" s="4">
        <v>8.6999999999999993</v>
      </c>
      <c r="AB111" s="2">
        <v>2.9</v>
      </c>
      <c r="AC111" s="2">
        <v>15.6</v>
      </c>
      <c r="AD111" s="2">
        <v>5.2000000000000028</v>
      </c>
      <c r="AE111" s="2">
        <v>1</v>
      </c>
    </row>
    <row r="112" spans="1:31" x14ac:dyDescent="0.25">
      <c r="A112" s="2" t="s">
        <v>122</v>
      </c>
      <c r="B112" s="2">
        <v>2019</v>
      </c>
      <c r="C112" s="2" t="s">
        <v>259</v>
      </c>
      <c r="D112" s="2" t="s">
        <v>307</v>
      </c>
      <c r="E112" s="2">
        <v>-0.53059999999999996</v>
      </c>
      <c r="F112" s="2">
        <v>-6.1917</v>
      </c>
      <c r="G112" s="2">
        <v>-15.3934</v>
      </c>
      <c r="H112" s="2">
        <v>1.2215</v>
      </c>
      <c r="I112" s="2">
        <v>1.1626000000000001</v>
      </c>
      <c r="J112">
        <f>0.0583817468666215*(100)</f>
        <v>5.8381746866621498</v>
      </c>
      <c r="K112">
        <f>0.0423*(100)</f>
        <v>4.2299999999999995</v>
      </c>
      <c r="L112" s="2">
        <v>4.7595000000000001</v>
      </c>
      <c r="M112" s="2">
        <v>0.3871</v>
      </c>
      <c r="N112" s="2">
        <v>0.46870000000000001</v>
      </c>
      <c r="O112" s="2">
        <v>0.20580000000000001</v>
      </c>
      <c r="P112" s="2">
        <v>0.80089999999999995</v>
      </c>
      <c r="Q112" s="2">
        <v>-29.0943</v>
      </c>
      <c r="R112" s="2">
        <v>-223.48660388444469</v>
      </c>
      <c r="S112" s="2">
        <v>-3.0625</v>
      </c>
      <c r="T112" s="2">
        <v>-6.3117999999999999</v>
      </c>
      <c r="U112" s="2">
        <v>48.0486</v>
      </c>
      <c r="V112" s="2">
        <v>3.5803810813689969</v>
      </c>
      <c r="W112" s="2">
        <v>1.217179291640905</v>
      </c>
      <c r="X112" s="2">
        <v>86.25</v>
      </c>
      <c r="Y112" s="2">
        <v>9.73</v>
      </c>
      <c r="Z112" s="4">
        <v>6</v>
      </c>
      <c r="AA112" s="4">
        <v>8.6999999999999993</v>
      </c>
      <c r="AB112" s="2">
        <v>2.9</v>
      </c>
      <c r="AC112" s="2">
        <v>15.6</v>
      </c>
      <c r="AD112" s="2">
        <v>5.5</v>
      </c>
      <c r="AE112" s="2">
        <v>1</v>
      </c>
    </row>
    <row r="113" spans="1:31" x14ac:dyDescent="0.25">
      <c r="A113" s="2" t="s">
        <v>92</v>
      </c>
      <c r="B113" s="2">
        <v>2019</v>
      </c>
      <c r="C113" s="2" t="s">
        <v>193</v>
      </c>
      <c r="D113" s="2" t="s">
        <v>298</v>
      </c>
      <c r="E113" s="2">
        <v>4.1464999999999996</v>
      </c>
      <c r="F113" s="2">
        <v>0.31169999999999998</v>
      </c>
      <c r="G113" s="2">
        <v>6.3616000000000001</v>
      </c>
      <c r="H113" s="2">
        <v>1.9273</v>
      </c>
      <c r="I113" s="2">
        <v>1.5909</v>
      </c>
      <c r="J113">
        <f>0.797089392170333*(100)</f>
        <v>79.708939217033304</v>
      </c>
      <c r="K113">
        <f>0.0597*(100)</f>
        <v>5.9700000000000006</v>
      </c>
      <c r="L113" s="2">
        <v>2.0082</v>
      </c>
      <c r="M113" s="2">
        <v>0.3619</v>
      </c>
      <c r="N113" s="2">
        <v>2.883</v>
      </c>
      <c r="O113" s="2">
        <v>0.25569999999999998</v>
      </c>
      <c r="P113" s="2">
        <v>3.0598999999999998</v>
      </c>
      <c r="Q113" s="2">
        <v>35.680399999999999</v>
      </c>
      <c r="R113" s="2">
        <v>-21.452566796880031</v>
      </c>
      <c r="S113" s="2">
        <v>4.4050000000000002</v>
      </c>
      <c r="T113" s="2">
        <v>43.268799999999999</v>
      </c>
      <c r="U113" s="2">
        <v>62.7044</v>
      </c>
      <c r="V113" s="2">
        <v>27.978340185255135</v>
      </c>
      <c r="W113" s="2">
        <v>2.3795067625496444</v>
      </c>
      <c r="X113" s="2">
        <v>97.8</v>
      </c>
      <c r="Y113" s="2">
        <v>15.22</v>
      </c>
      <c r="Z113" s="4">
        <v>6</v>
      </c>
      <c r="AA113" s="4">
        <v>8.6999999999999993</v>
      </c>
      <c r="AB113" s="2">
        <v>2.9</v>
      </c>
      <c r="AC113" s="2">
        <v>15.6</v>
      </c>
      <c r="AD113" s="2">
        <v>4.7999999999999972</v>
      </c>
      <c r="AE113" s="2">
        <v>1</v>
      </c>
    </row>
    <row r="114" spans="1:31" x14ac:dyDescent="0.25">
      <c r="A114" s="2" t="s">
        <v>86</v>
      </c>
      <c r="B114" s="2">
        <v>2019</v>
      </c>
      <c r="C114" s="2" t="s">
        <v>226</v>
      </c>
      <c r="D114" s="2" t="s">
        <v>322</v>
      </c>
      <c r="E114" s="2">
        <v>-5.8247</v>
      </c>
      <c r="F114" s="2">
        <v>-35.6</v>
      </c>
      <c r="G114" s="2">
        <v>-29.677199999999999</v>
      </c>
      <c r="H114" s="2">
        <v>0.79490000000000005</v>
      </c>
      <c r="I114" s="2">
        <v>0.58760000000000001</v>
      </c>
      <c r="J114">
        <f>0.0854368418218008*(100)</f>
        <v>8.5436841821800797</v>
      </c>
      <c r="K114">
        <f>-0.1244*(100)</f>
        <v>-12.44</v>
      </c>
      <c r="L114" s="2">
        <v>3.1583999999999999</v>
      </c>
      <c r="M114" s="2">
        <v>0.64700000000000002</v>
      </c>
      <c r="N114" s="2">
        <v>94.969399999999993</v>
      </c>
      <c r="O114" s="2">
        <v>0.31219999999999998</v>
      </c>
      <c r="P114" s="2">
        <v>5.2336999999999998</v>
      </c>
      <c r="Q114" s="2">
        <v>-10.4124</v>
      </c>
      <c r="R114" s="2">
        <v>-376.84667190651999</v>
      </c>
      <c r="S114" s="2">
        <v>-13.9116</v>
      </c>
      <c r="T114" s="2">
        <v>-30.202999999999999</v>
      </c>
      <c r="U114" s="2">
        <v>78.634</v>
      </c>
      <c r="V114" s="2">
        <v>13.501295774752903</v>
      </c>
      <c r="W114" s="2">
        <v>40.133368637086519</v>
      </c>
      <c r="X114" s="2">
        <v>124.77</v>
      </c>
      <c r="Y114" s="2">
        <v>-28.99</v>
      </c>
      <c r="Z114" s="4">
        <v>6</v>
      </c>
      <c r="AA114" s="4">
        <v>8.6999999999999993</v>
      </c>
      <c r="AB114" s="2">
        <v>2.9</v>
      </c>
      <c r="AC114" s="2">
        <v>15.6</v>
      </c>
      <c r="AD114" s="2">
        <v>5.5999999999999943</v>
      </c>
      <c r="AE114" s="2">
        <v>1</v>
      </c>
    </row>
    <row r="115" spans="1:31" x14ac:dyDescent="0.25">
      <c r="A115" s="2" t="s">
        <v>97</v>
      </c>
      <c r="B115" s="2">
        <v>2019</v>
      </c>
      <c r="C115" s="2" t="s">
        <v>236</v>
      </c>
      <c r="D115" s="2" t="s">
        <v>330</v>
      </c>
      <c r="E115" s="2">
        <v>-9.2052999999999994</v>
      </c>
      <c r="F115" s="2">
        <v>-96.082800000000006</v>
      </c>
      <c r="G115" s="2">
        <v>-190.2345</v>
      </c>
      <c r="H115" s="2">
        <v>0.2417</v>
      </c>
      <c r="I115" s="2">
        <v>0.17780000000000001</v>
      </c>
      <c r="J115">
        <f>0.0270501352853986*(100)</f>
        <v>2.70501352853986</v>
      </c>
      <c r="K115">
        <f>-0.0108*(100)</f>
        <v>-1.08</v>
      </c>
      <c r="L115" s="2">
        <v>1.5567</v>
      </c>
      <c r="M115" s="2">
        <v>0.2631</v>
      </c>
      <c r="N115" s="2">
        <v>0.16170000000000001</v>
      </c>
      <c r="O115" s="2">
        <v>6.8699999999999997E-2</v>
      </c>
      <c r="P115" s="2">
        <v>1.1112</v>
      </c>
      <c r="Q115" s="2">
        <v>-56.084099999999999</v>
      </c>
      <c r="R115" s="2">
        <v>22.41103885191707</v>
      </c>
      <c r="S115" s="2">
        <v>-10.8819</v>
      </c>
      <c r="T115" s="2">
        <v>-80.9696</v>
      </c>
      <c r="U115" s="2">
        <v>96.965199999999996</v>
      </c>
      <c r="V115" s="2">
        <v>18.055416631673797</v>
      </c>
      <c r="W115" s="2">
        <v>0.13840186105304023</v>
      </c>
      <c r="X115" s="2">
        <v>82.42</v>
      </c>
      <c r="Y115" s="2">
        <v>-13.7</v>
      </c>
      <c r="Z115" s="4">
        <v>6</v>
      </c>
      <c r="AA115" s="4">
        <v>8.6999999999999993</v>
      </c>
      <c r="AB115" s="2">
        <v>2.9</v>
      </c>
      <c r="AC115" s="2">
        <v>15.6</v>
      </c>
      <c r="AD115" s="2">
        <v>4.7999999999999972</v>
      </c>
      <c r="AE115" s="2">
        <v>1</v>
      </c>
    </row>
    <row r="116" spans="1:31" x14ac:dyDescent="0.25">
      <c r="A116" s="2" t="s">
        <v>75</v>
      </c>
      <c r="B116" s="2">
        <v>2019</v>
      </c>
      <c r="C116" s="2" t="s">
        <v>220</v>
      </c>
      <c r="D116" s="2" t="s">
        <v>311</v>
      </c>
      <c r="E116" s="2">
        <v>-3.7890000000000001</v>
      </c>
      <c r="F116" s="2">
        <v>-9.4352999999999998</v>
      </c>
      <c r="G116" s="2">
        <v>-19.828499999999998</v>
      </c>
      <c r="H116" s="2">
        <v>2.1907000000000001</v>
      </c>
      <c r="I116" s="2">
        <v>0.69899999999999995</v>
      </c>
      <c r="J116">
        <f>0.0563810361335783*(100)</f>
        <v>5.6381036133578295</v>
      </c>
      <c r="K116">
        <f>-0.037*(100)</f>
        <v>-3.6999999999999997</v>
      </c>
      <c r="L116" s="2">
        <v>0.37059999999999998</v>
      </c>
      <c r="M116" s="2">
        <v>0.33329999999999999</v>
      </c>
      <c r="N116" s="2">
        <v>2.4462999999999999</v>
      </c>
      <c r="O116" s="2">
        <v>0.2394</v>
      </c>
      <c r="P116" s="2">
        <v>1.2927</v>
      </c>
      <c r="Q116" s="2">
        <v>-37.686199999999999</v>
      </c>
      <c r="R116" s="2">
        <v>-175.58190457043881</v>
      </c>
      <c r="S116" s="2">
        <v>2.5228999999999999</v>
      </c>
      <c r="T116" s="2">
        <v>-9.4624000000000006</v>
      </c>
      <c r="U116" s="2">
        <v>48.529899999999998</v>
      </c>
      <c r="V116" s="2">
        <v>14.030743250461533</v>
      </c>
      <c r="W116" s="2">
        <v>5.2892259471197427</v>
      </c>
      <c r="X116" s="2">
        <v>61.83</v>
      </c>
      <c r="Y116" s="2">
        <v>-7.59</v>
      </c>
      <c r="Z116" s="4">
        <v>6</v>
      </c>
      <c r="AA116" s="4">
        <v>8.6999999999999993</v>
      </c>
      <c r="AB116" s="2">
        <v>2.9</v>
      </c>
      <c r="AC116" s="2">
        <v>15.6</v>
      </c>
      <c r="AD116" s="2">
        <v>5.2000000000000028</v>
      </c>
      <c r="AE116" s="2">
        <v>1</v>
      </c>
    </row>
    <row r="117" spans="1:31" x14ac:dyDescent="0.25">
      <c r="A117" s="2" t="s">
        <v>117</v>
      </c>
      <c r="B117" s="2">
        <v>2019</v>
      </c>
      <c r="C117" s="2" t="s">
        <v>254</v>
      </c>
      <c r="D117" s="2" t="s">
        <v>336</v>
      </c>
      <c r="E117" s="2">
        <v>0.9869</v>
      </c>
      <c r="F117" s="2">
        <v>-3.5206</v>
      </c>
      <c r="G117" s="2">
        <v>-3.7210000000000001</v>
      </c>
      <c r="H117" s="2">
        <v>0.92349999999999999</v>
      </c>
      <c r="I117" s="2">
        <v>0.4037</v>
      </c>
      <c r="J117">
        <f>0.0501611885842634*(100)</f>
        <v>5.0161188584263394</v>
      </c>
      <c r="K117">
        <f>0.0057*(100)</f>
        <v>0.57000000000000006</v>
      </c>
      <c r="L117" s="2">
        <v>0.54590000000000005</v>
      </c>
      <c r="M117" s="2">
        <v>0.4047</v>
      </c>
      <c r="N117" s="2">
        <v>2.6326999999999998</v>
      </c>
      <c r="O117" s="2">
        <v>0.22220000000000001</v>
      </c>
      <c r="P117" s="2">
        <v>4.4339000000000004</v>
      </c>
      <c r="Q117" s="2">
        <v>-29.3872</v>
      </c>
      <c r="R117" s="2">
        <v>-128.4806580873578</v>
      </c>
      <c r="S117" s="2">
        <v>-16.292300000000001</v>
      </c>
      <c r="T117" s="2">
        <v>-18.527200000000001</v>
      </c>
      <c r="U117" s="2">
        <v>59.039299999999997</v>
      </c>
      <c r="V117" s="2">
        <v>7.2819383931472483</v>
      </c>
      <c r="W117" s="2">
        <v>3.8953583617036194</v>
      </c>
      <c r="X117" s="2">
        <v>152.31</v>
      </c>
      <c r="Y117" s="2">
        <v>1.38</v>
      </c>
      <c r="Z117" s="4">
        <v>6</v>
      </c>
      <c r="AA117" s="4">
        <v>8.6999999999999993</v>
      </c>
      <c r="AB117" s="2">
        <v>2.9</v>
      </c>
      <c r="AC117" s="2">
        <v>15.6</v>
      </c>
      <c r="AD117" s="2">
        <v>5.5999999999999943</v>
      </c>
      <c r="AE117" s="2">
        <v>1</v>
      </c>
    </row>
    <row r="118" spans="1:31" x14ac:dyDescent="0.25">
      <c r="A118" s="2" t="s">
        <v>119</v>
      </c>
      <c r="B118" s="2">
        <v>2019</v>
      </c>
      <c r="C118" s="2" t="s">
        <v>256</v>
      </c>
      <c r="D118" s="2" t="s">
        <v>295</v>
      </c>
      <c r="E118" s="2">
        <v>6.2E-2</v>
      </c>
      <c r="F118" s="2">
        <v>-64.992199999999997</v>
      </c>
      <c r="G118" s="2">
        <v>-31.806699999999999</v>
      </c>
      <c r="H118" s="2">
        <v>0.82130000000000003</v>
      </c>
      <c r="I118" s="2">
        <v>0.32800000000000001</v>
      </c>
      <c r="J118">
        <f>0.077506682847723*(100)</f>
        <v>7.7506682847722992</v>
      </c>
      <c r="K118">
        <f>-0.0005*(100)</f>
        <v>-0.05</v>
      </c>
      <c r="L118" s="2">
        <v>0.4264</v>
      </c>
      <c r="M118" s="2">
        <v>0.32840000000000003</v>
      </c>
      <c r="N118" s="2">
        <v>4.2698</v>
      </c>
      <c r="O118" s="2">
        <v>0.15859999999999999</v>
      </c>
      <c r="P118" s="2">
        <v>36.07</v>
      </c>
      <c r="Q118" s="2">
        <v>-16.406600000000001</v>
      </c>
      <c r="R118" s="2">
        <v>-610.29623925653823</v>
      </c>
      <c r="S118" s="2">
        <v>-2.7267999999999999</v>
      </c>
      <c r="T118" s="2">
        <v>-55.734400000000001</v>
      </c>
      <c r="U118" s="2">
        <v>81.217100000000002</v>
      </c>
      <c r="V118" s="2">
        <v>20.057455730996228</v>
      </c>
      <c r="W118" s="2">
        <v>1.5269140061387867</v>
      </c>
      <c r="X118" s="2">
        <v>100.02</v>
      </c>
      <c r="Y118" s="2">
        <v>-0.25</v>
      </c>
      <c r="Z118" s="4">
        <v>6</v>
      </c>
      <c r="AA118" s="4">
        <v>8.6999999999999993</v>
      </c>
      <c r="AB118" s="2">
        <v>2.9</v>
      </c>
      <c r="AC118" s="2">
        <v>15.6</v>
      </c>
      <c r="AD118" s="2">
        <v>2.5999999999999943</v>
      </c>
      <c r="AE118" s="2">
        <v>1</v>
      </c>
    </row>
    <row r="119" spans="1:31" x14ac:dyDescent="0.25">
      <c r="A119" s="2" t="s">
        <v>52</v>
      </c>
      <c r="B119" s="2">
        <v>2019</v>
      </c>
      <c r="C119" s="2" t="s">
        <v>203</v>
      </c>
      <c r="D119" s="2" t="s">
        <v>311</v>
      </c>
      <c r="E119" s="2">
        <v>-19.669899999999998</v>
      </c>
      <c r="F119" s="2">
        <v>-45.003829500000023</v>
      </c>
      <c r="G119" s="2">
        <v>-343.85219999999998</v>
      </c>
      <c r="H119" s="2">
        <v>0.33229999999999998</v>
      </c>
      <c r="I119" s="2">
        <v>0.28770000000000001</v>
      </c>
      <c r="J119">
        <f>0.0289778426333973*(100)</f>
        <v>2.8977842633397302</v>
      </c>
      <c r="K119">
        <f>-0.0216*(100)</f>
        <v>-2.16</v>
      </c>
      <c r="L119" s="2">
        <v>2.4994999999999998</v>
      </c>
      <c r="M119" s="2">
        <v>0.2041</v>
      </c>
      <c r="N119" s="2">
        <v>0.2215</v>
      </c>
      <c r="O119" s="2">
        <v>7.2499999999999995E-2</v>
      </c>
      <c r="P119" s="2">
        <v>1.0953999999999999</v>
      </c>
      <c r="Q119" s="2">
        <v>-43.472099999999998</v>
      </c>
      <c r="R119" s="2">
        <v>-29.53333037451246</v>
      </c>
      <c r="S119" s="2">
        <v>-12.357200000000001</v>
      </c>
      <c r="T119" s="2">
        <v>-56.535899999999998</v>
      </c>
      <c r="U119" s="2">
        <v>111.67829999999999</v>
      </c>
      <c r="V119" s="2">
        <v>22.733179000765873</v>
      </c>
      <c r="W119" s="2">
        <v>-0.48283016988584182</v>
      </c>
      <c r="X119" s="2">
        <v>128.04</v>
      </c>
      <c r="Y119" s="2">
        <v>-30.23</v>
      </c>
      <c r="Z119" s="4">
        <v>6</v>
      </c>
      <c r="AA119" s="4">
        <v>8.6999999999999993</v>
      </c>
      <c r="AB119" s="2">
        <v>2.9</v>
      </c>
      <c r="AC119" s="2">
        <v>15.6</v>
      </c>
      <c r="AD119" s="2">
        <v>5.2000000000000028</v>
      </c>
      <c r="AE119" s="2">
        <v>1</v>
      </c>
    </row>
    <row r="120" spans="1:31" x14ac:dyDescent="0.25">
      <c r="A120" s="2" t="s">
        <v>114</v>
      </c>
      <c r="B120" s="2">
        <v>2019</v>
      </c>
      <c r="C120" s="2" t="s">
        <v>251</v>
      </c>
      <c r="D120" s="2" t="s">
        <v>323</v>
      </c>
      <c r="E120" s="2">
        <v>-24.276700000000002</v>
      </c>
      <c r="F120" s="2">
        <v>-67.527299999999997</v>
      </c>
      <c r="G120" s="2">
        <v>-815.58349999999996</v>
      </c>
      <c r="H120" s="2">
        <v>0.12330000000000001</v>
      </c>
      <c r="I120" s="2">
        <v>9.8799999999999999E-2</v>
      </c>
      <c r="J120">
        <f>0.0258806517469506*(100)</f>
        <v>2.58806517469506</v>
      </c>
      <c r="K120">
        <f>-0.0296*(100)</f>
        <v>-2.96</v>
      </c>
      <c r="L120" s="2">
        <v>3.8883000000000001</v>
      </c>
      <c r="M120" s="2">
        <v>0.54800000000000004</v>
      </c>
      <c r="N120" s="2">
        <v>5.0799999999999998E-2</v>
      </c>
      <c r="O120" s="2">
        <v>3.4700000000000002E-2</v>
      </c>
      <c r="P120" s="2">
        <v>4.0134999999999996</v>
      </c>
      <c r="Q120" s="2">
        <v>-84.236000000000004</v>
      </c>
      <c r="R120" s="2">
        <v>-872.18439288760032</v>
      </c>
      <c r="S120" s="2">
        <v>-19.260200000000001</v>
      </c>
      <c r="T120" s="2">
        <v>-50.332599999999999</v>
      </c>
      <c r="U120" s="2">
        <v>67.701599999999999</v>
      </c>
      <c r="V120" s="2">
        <v>14.422140055262631</v>
      </c>
      <c r="W120" s="2">
        <v>0.37022139687626787</v>
      </c>
      <c r="X120" s="2">
        <v>138.51</v>
      </c>
      <c r="Y120" s="2">
        <v>-51.5</v>
      </c>
      <c r="Z120" s="4">
        <v>6</v>
      </c>
      <c r="AA120" s="4">
        <v>8.6999999999999993</v>
      </c>
      <c r="AB120" s="2">
        <v>2.9</v>
      </c>
      <c r="AC120" s="2">
        <v>15.6</v>
      </c>
      <c r="AD120" s="2">
        <v>4.7999999999999972</v>
      </c>
      <c r="AE120" s="2">
        <v>1</v>
      </c>
    </row>
    <row r="121" spans="1:31" x14ac:dyDescent="0.25">
      <c r="A121" s="2" t="s">
        <v>112</v>
      </c>
      <c r="B121" s="2">
        <v>2019</v>
      </c>
      <c r="C121" s="2" t="s">
        <v>224</v>
      </c>
      <c r="D121" s="2" t="s">
        <v>325</v>
      </c>
      <c r="E121" s="2">
        <v>-1.6637</v>
      </c>
      <c r="F121" s="2">
        <v>-18.654</v>
      </c>
      <c r="G121" s="2">
        <v>-18.5304</v>
      </c>
      <c r="H121" s="2">
        <v>0.36480000000000001</v>
      </c>
      <c r="I121" s="2">
        <v>0.2727</v>
      </c>
      <c r="J121">
        <f>0.121052570188951*(100)</f>
        <v>12.105257018895101</v>
      </c>
      <c r="K121">
        <f>0.1272*(100)</f>
        <v>12.72</v>
      </c>
      <c r="L121" s="2">
        <v>4.1694000000000004</v>
      </c>
      <c r="M121" s="2">
        <v>1.2593000000000001</v>
      </c>
      <c r="N121" s="2">
        <v>0.34239999999999998</v>
      </c>
      <c r="O121" s="2">
        <v>0.2273</v>
      </c>
      <c r="P121" s="2">
        <v>43.773400000000002</v>
      </c>
      <c r="Q121" s="2">
        <v>52.911499999999997</v>
      </c>
      <c r="R121" s="2">
        <v>16.039791825332621</v>
      </c>
      <c r="S121" s="2">
        <v>-9.0043000000000006</v>
      </c>
      <c r="T121" s="2">
        <v>-17.3933</v>
      </c>
      <c r="U121" s="2">
        <v>74.948899999999995</v>
      </c>
      <c r="V121" s="2">
        <v>31.090782273214501</v>
      </c>
      <c r="W121" s="2">
        <v>0.32242121684476671</v>
      </c>
      <c r="X121" s="2">
        <v>111.91</v>
      </c>
      <c r="Y121" s="2">
        <v>39.950000000000003</v>
      </c>
      <c r="Z121" s="4">
        <v>6</v>
      </c>
      <c r="AA121" s="4">
        <v>8.6999999999999993</v>
      </c>
      <c r="AB121" s="2">
        <v>2.9</v>
      </c>
      <c r="AC121" s="2">
        <v>15.6</v>
      </c>
      <c r="AD121" s="2">
        <v>4.7999999999999972</v>
      </c>
      <c r="AE121" s="2">
        <v>1</v>
      </c>
    </row>
    <row r="122" spans="1:31" x14ac:dyDescent="0.25">
      <c r="A122" s="2" t="s">
        <v>93</v>
      </c>
      <c r="B122" s="2">
        <v>2019</v>
      </c>
      <c r="C122" s="2" t="s">
        <v>232</v>
      </c>
      <c r="D122" s="2" t="s">
        <v>311</v>
      </c>
      <c r="E122" s="2">
        <v>8.9827999999999992</v>
      </c>
      <c r="F122" s="2">
        <v>7.5940000000000003</v>
      </c>
      <c r="G122" s="2">
        <v>27.5061</v>
      </c>
      <c r="H122" s="2">
        <v>1.6504000000000001</v>
      </c>
      <c r="I122" s="2">
        <v>0.57950000000000002</v>
      </c>
      <c r="J122">
        <f>0.211248888585318*(100)</f>
        <v>21.124888858531801</v>
      </c>
      <c r="K122">
        <f>0.1901*(100)</f>
        <v>19.009999999999998</v>
      </c>
      <c r="L122" s="2">
        <v>0.79430000000000001</v>
      </c>
      <c r="M122" s="2">
        <v>0.97819999999999996</v>
      </c>
      <c r="N122" s="2">
        <v>0.83199999999999996</v>
      </c>
      <c r="O122" s="2">
        <v>0.2475</v>
      </c>
      <c r="P122" s="2">
        <v>14.392099999999999</v>
      </c>
      <c r="Q122" s="2">
        <v>2.4647999999999999</v>
      </c>
      <c r="R122" s="2">
        <v>-5.2861668113395943</v>
      </c>
      <c r="S122" s="2">
        <v>5.4611000000000001</v>
      </c>
      <c r="T122" s="2">
        <v>9.0645000000000007</v>
      </c>
      <c r="U122" s="2">
        <v>37.418500000000002</v>
      </c>
      <c r="V122" s="2">
        <v>23.330669089543822</v>
      </c>
      <c r="W122" s="2">
        <v>1.9528724621751106</v>
      </c>
      <c r="X122" s="2">
        <v>102.13</v>
      </c>
      <c r="Y122" s="2">
        <v>29.51</v>
      </c>
      <c r="Z122" s="4">
        <v>6</v>
      </c>
      <c r="AA122" s="4">
        <v>8.6999999999999993</v>
      </c>
      <c r="AB122" s="2">
        <v>2.9</v>
      </c>
      <c r="AC122" s="2">
        <v>15.6</v>
      </c>
      <c r="AD122" s="2">
        <v>5.2000000000000028</v>
      </c>
      <c r="AE122" s="2">
        <v>1</v>
      </c>
    </row>
    <row r="123" spans="1:31" x14ac:dyDescent="0.25">
      <c r="A123" s="2" t="s">
        <v>46</v>
      </c>
      <c r="B123" s="2">
        <v>2019</v>
      </c>
      <c r="C123" s="2" t="s">
        <v>198</v>
      </c>
      <c r="D123" s="2" t="s">
        <v>307</v>
      </c>
      <c r="E123" s="2">
        <v>-3.8512</v>
      </c>
      <c r="F123" s="2">
        <v>-17.374199999999998</v>
      </c>
      <c r="G123" s="2">
        <v>-25.861000000000001</v>
      </c>
      <c r="H123" s="2">
        <v>1.7876000000000001</v>
      </c>
      <c r="I123" s="2">
        <v>1.5998000000000001</v>
      </c>
      <c r="J123">
        <f>0.0903284015795264*(100)</f>
        <v>9.0328401579526396</v>
      </c>
      <c r="K123">
        <f>0.0169*(100)</f>
        <v>1.69</v>
      </c>
      <c r="L123" s="2">
        <v>3.5634999999999999</v>
      </c>
      <c r="M123" s="2">
        <v>0.52129999999999999</v>
      </c>
      <c r="N123" s="2">
        <v>1.5873999999999999</v>
      </c>
      <c r="O123" s="2">
        <v>0.28160000000000002</v>
      </c>
      <c r="P123" s="2">
        <v>9.3491999999999997</v>
      </c>
      <c r="Q123" s="2">
        <v>-30.6</v>
      </c>
      <c r="R123" s="2">
        <v>-384.50417711980089</v>
      </c>
      <c r="S123" s="2">
        <v>-5.6120000000000001</v>
      </c>
      <c r="T123" s="2">
        <v>-23.148800000000001</v>
      </c>
      <c r="U123" s="2">
        <v>60.631900000000002</v>
      </c>
      <c r="V123" s="2">
        <v>30.769033537965718</v>
      </c>
      <c r="W123" s="2">
        <v>2.0243005102220133</v>
      </c>
      <c r="X123" s="2">
        <v>114.61</v>
      </c>
      <c r="Y123" s="2">
        <v>3.34</v>
      </c>
      <c r="Z123" s="4">
        <v>6</v>
      </c>
      <c r="AA123" s="4">
        <v>8.6999999999999993</v>
      </c>
      <c r="AB123" s="2">
        <v>2.9</v>
      </c>
      <c r="AC123" s="2">
        <v>15.6</v>
      </c>
      <c r="AD123" s="2">
        <v>5.5</v>
      </c>
      <c r="AE123" s="2">
        <v>1</v>
      </c>
    </row>
    <row r="124" spans="1:31" x14ac:dyDescent="0.25">
      <c r="A124" s="2" t="s">
        <v>106</v>
      </c>
      <c r="B124" s="2">
        <v>2019</v>
      </c>
      <c r="C124" s="2" t="s">
        <v>245</v>
      </c>
      <c r="D124" s="2" t="s">
        <v>298</v>
      </c>
      <c r="E124" s="2">
        <v>-1.2978000000000001</v>
      </c>
      <c r="F124" s="2">
        <v>-36.657299999999999</v>
      </c>
      <c r="G124" s="2">
        <v>-8.8293999999999997</v>
      </c>
      <c r="H124" s="2">
        <v>1.0303</v>
      </c>
      <c r="I124" s="2">
        <v>0.74009999999999998</v>
      </c>
      <c r="J124">
        <f>0.183950553506805*(100)</f>
        <v>18.395055350680501</v>
      </c>
      <c r="K124">
        <f>0.0395*(100)</f>
        <v>3.95</v>
      </c>
      <c r="L124" s="2">
        <v>2.5152999999999999</v>
      </c>
      <c r="M124" s="2">
        <v>0.75080000000000002</v>
      </c>
      <c r="N124" s="2">
        <v>5.4066000000000001</v>
      </c>
      <c r="O124" s="2">
        <v>0.43390000000000001</v>
      </c>
      <c r="P124" s="2">
        <v>5.7207999999999997</v>
      </c>
      <c r="Q124" s="2">
        <v>-4.6844000000000001</v>
      </c>
      <c r="R124" s="2">
        <v>-373.18392420757573</v>
      </c>
      <c r="S124" s="2">
        <v>-5.5294999999999996</v>
      </c>
      <c r="T124" s="2">
        <v>-45.548400000000001</v>
      </c>
      <c r="U124" s="2">
        <v>72.824200000000005</v>
      </c>
      <c r="V124" s="2">
        <v>17.050943548468073</v>
      </c>
      <c r="W124" s="2">
        <v>0.79459486651062616</v>
      </c>
      <c r="X124" s="2">
        <v>106.86</v>
      </c>
      <c r="Y124" s="2">
        <v>6.45</v>
      </c>
      <c r="Z124" s="4">
        <v>6</v>
      </c>
      <c r="AA124" s="4">
        <v>8.6999999999999993</v>
      </c>
      <c r="AB124" s="2">
        <v>2.9</v>
      </c>
      <c r="AC124" s="2">
        <v>15.6</v>
      </c>
      <c r="AD124" s="2">
        <v>4.7999999999999972</v>
      </c>
      <c r="AE124" s="2">
        <v>1</v>
      </c>
    </row>
    <row r="125" spans="1:31" x14ac:dyDescent="0.25">
      <c r="A125" s="2" t="s">
        <v>65</v>
      </c>
      <c r="B125" s="2">
        <v>2019</v>
      </c>
      <c r="C125" s="2" t="s">
        <v>213</v>
      </c>
      <c r="D125" s="2" t="s">
        <v>318</v>
      </c>
      <c r="E125" s="2">
        <v>4.5000999999999998</v>
      </c>
      <c r="F125" s="2">
        <v>0.27210000000000001</v>
      </c>
      <c r="G125" s="2">
        <v>2.9039999999999999</v>
      </c>
      <c r="H125" s="2">
        <v>0.21479999999999999</v>
      </c>
      <c r="I125" s="2">
        <v>0.20150000000000001</v>
      </c>
      <c r="J125">
        <f>0.0691320442489399*(100)</f>
        <v>6.9132044248939897</v>
      </c>
      <c r="K125">
        <f>0.062*(100)</f>
        <v>6.2</v>
      </c>
      <c r="L125" s="2">
        <v>27.647200000000002</v>
      </c>
      <c r="M125" s="2">
        <v>1.492</v>
      </c>
      <c r="N125" s="2">
        <v>0.84079999999999999</v>
      </c>
      <c r="O125" s="2">
        <v>0.20899999999999999</v>
      </c>
      <c r="P125" s="2">
        <v>6.9579000000000004</v>
      </c>
      <c r="Q125" s="2">
        <v>-0.27229999999999999</v>
      </c>
      <c r="R125" s="2">
        <v>-81.636859478895317</v>
      </c>
      <c r="S125" s="2">
        <v>-0.60060000000000002</v>
      </c>
      <c r="T125" s="2">
        <v>-0.96030000000000004</v>
      </c>
      <c r="U125" s="2">
        <v>73.293700000000001</v>
      </c>
      <c r="V125" s="2">
        <v>29.928861434087288</v>
      </c>
      <c r="W125" s="2">
        <v>0.89628645237041271</v>
      </c>
      <c r="X125" s="2">
        <v>89.28</v>
      </c>
      <c r="Y125" s="2">
        <v>21.67</v>
      </c>
      <c r="Z125" s="4">
        <v>6</v>
      </c>
      <c r="AA125" s="4">
        <v>8.6999999999999993</v>
      </c>
      <c r="AB125" s="2">
        <v>2.9</v>
      </c>
      <c r="AC125" s="2">
        <v>15.6</v>
      </c>
      <c r="AD125" s="2">
        <v>4.7999999999999972</v>
      </c>
      <c r="AE125" s="2">
        <v>1</v>
      </c>
    </row>
    <row r="126" spans="1:31" x14ac:dyDescent="0.25">
      <c r="A126" s="2" t="s">
        <v>126</v>
      </c>
      <c r="B126" s="2">
        <v>2019</v>
      </c>
      <c r="C126" s="2" t="s">
        <v>263</v>
      </c>
      <c r="D126" s="2" t="s">
        <v>340</v>
      </c>
      <c r="E126" s="2">
        <v>-45.7883</v>
      </c>
      <c r="F126" s="2">
        <v>-86.875299999999996</v>
      </c>
      <c r="G126" s="2">
        <v>-488.8467</v>
      </c>
      <c r="H126" s="2">
        <v>2.4708999999999999</v>
      </c>
      <c r="I126" s="2">
        <v>2.1640999999999999</v>
      </c>
      <c r="J126">
        <f>0.118455123337103*(100)</f>
        <v>11.8455123337103</v>
      </c>
      <c r="K126">
        <f>-0.2919*(100)</f>
        <v>-29.189999999999998</v>
      </c>
      <c r="L126" s="2">
        <v>0.58740000000000003</v>
      </c>
      <c r="M126" s="2">
        <v>0.1069</v>
      </c>
      <c r="N126" s="2">
        <v>41.849299999999999</v>
      </c>
      <c r="O126" s="2">
        <v>9.7199999999999995E-2</v>
      </c>
      <c r="P126" s="2">
        <v>0.22650000000000001</v>
      </c>
      <c r="Q126" s="2">
        <v>-83.4405</v>
      </c>
      <c r="R126" s="2">
        <v>-337.70479181584318</v>
      </c>
      <c r="S126" s="2">
        <v>-39.222499999999997</v>
      </c>
      <c r="T126" s="2">
        <v>-58.870199999999997</v>
      </c>
      <c r="U126" s="2">
        <v>51.455100000000002</v>
      </c>
      <c r="V126" s="2">
        <v>14.149422537623641</v>
      </c>
      <c r="W126" s="2">
        <v>721.20222288310913</v>
      </c>
      <c r="X126" s="2">
        <v>149.96</v>
      </c>
      <c r="Y126" s="2">
        <v>-116.82</v>
      </c>
      <c r="Z126" s="4">
        <v>6</v>
      </c>
      <c r="AA126" s="4">
        <v>8.6999999999999993</v>
      </c>
      <c r="AB126" s="2">
        <v>2.9</v>
      </c>
      <c r="AC126" s="2">
        <v>15.6</v>
      </c>
      <c r="AD126" s="2">
        <v>5.5999999999999943</v>
      </c>
      <c r="AE126" s="2">
        <v>1</v>
      </c>
    </row>
    <row r="127" spans="1:31" x14ac:dyDescent="0.25">
      <c r="A127" s="2" t="s">
        <v>120</v>
      </c>
      <c r="B127" s="2">
        <v>2019</v>
      </c>
      <c r="C127" s="2" t="s">
        <v>257</v>
      </c>
      <c r="D127" s="2" t="s">
        <v>333</v>
      </c>
      <c r="E127" s="2">
        <v>-9.7576000000000001</v>
      </c>
      <c r="F127" s="2">
        <v>-27.9209</v>
      </c>
      <c r="G127" s="2">
        <v>-15.0768</v>
      </c>
      <c r="H127" s="2">
        <v>1.5014000000000001</v>
      </c>
      <c r="I127" s="2">
        <v>1.1100000000000001</v>
      </c>
      <c r="J127">
        <f>0.186849495021875*(100)</f>
        <v>18.6849495021875</v>
      </c>
      <c r="K127">
        <f>-0.5481*(100)</f>
        <v>-54.81</v>
      </c>
      <c r="L127" s="2">
        <v>4.7877000000000001</v>
      </c>
      <c r="M127" s="2">
        <v>1.052</v>
      </c>
      <c r="N127" s="2">
        <v>20.239000000000001</v>
      </c>
      <c r="O127" s="2">
        <v>0.77510000000000001</v>
      </c>
      <c r="P127" s="2">
        <v>13.8193</v>
      </c>
      <c r="Q127" s="2">
        <v>-26.345199999999998</v>
      </c>
      <c r="R127" s="2">
        <v>-471.00580405460829</v>
      </c>
      <c r="S127" s="2">
        <v>-19.844799999999999</v>
      </c>
      <c r="T127" s="2">
        <v>-28.178899999999999</v>
      </c>
      <c r="U127" s="2">
        <v>58.259399999999999</v>
      </c>
      <c r="V127" s="2">
        <v>7.0746293572247323</v>
      </c>
      <c r="W127" s="2">
        <v>9.4826649360561923</v>
      </c>
      <c r="X127" s="2">
        <v>112.13</v>
      </c>
      <c r="Y127" s="2">
        <v>-36.659999999999997</v>
      </c>
      <c r="Z127" s="4">
        <v>6</v>
      </c>
      <c r="AA127" s="4">
        <v>8.6999999999999993</v>
      </c>
      <c r="AB127" s="2">
        <v>2.9</v>
      </c>
      <c r="AC127" s="2">
        <v>15.6</v>
      </c>
      <c r="AD127" s="2">
        <v>5.5999999999999943</v>
      </c>
      <c r="AE127" s="2">
        <v>1</v>
      </c>
    </row>
    <row r="128" spans="1:31" x14ac:dyDescent="0.25">
      <c r="A128" s="2" t="s">
        <v>83</v>
      </c>
      <c r="B128" s="2">
        <v>2019</v>
      </c>
      <c r="C128" s="2" t="s">
        <v>189</v>
      </c>
      <c r="D128" s="2" t="s">
        <v>297</v>
      </c>
      <c r="E128" s="2">
        <v>-9.1024999999999991</v>
      </c>
      <c r="F128" s="2">
        <v>-104.416</v>
      </c>
      <c r="G128" s="2">
        <v>-74.775700000000001</v>
      </c>
      <c r="H128" s="2">
        <v>0.64639999999999997</v>
      </c>
      <c r="I128" s="2">
        <v>0.58850000000000002</v>
      </c>
      <c r="J128">
        <f>0.298047516585405*(100)</f>
        <v>29.8047516585405</v>
      </c>
      <c r="K128">
        <f>-0.2206*(100)</f>
        <v>-22.06</v>
      </c>
      <c r="L128" s="2">
        <v>3.2086999999999999</v>
      </c>
      <c r="M128" s="2">
        <v>0.30690000000000001</v>
      </c>
      <c r="N128" s="2">
        <v>0.75190000000000001</v>
      </c>
      <c r="O128" s="2">
        <v>0.1502</v>
      </c>
      <c r="P128" s="2">
        <v>2.0173999999999999</v>
      </c>
      <c r="Q128" s="2">
        <v>6.4659000000000004</v>
      </c>
      <c r="R128" s="2">
        <v>4.2184021293672576</v>
      </c>
      <c r="S128" s="2">
        <v>-16.795200000000001</v>
      </c>
      <c r="T128" s="2">
        <v>-71.5501</v>
      </c>
      <c r="U128" s="2">
        <v>93.806200000000004</v>
      </c>
      <c r="V128" s="2">
        <v>13.600761124138666</v>
      </c>
      <c r="W128" s="2">
        <v>4.8913873674110242</v>
      </c>
      <c r="X128" s="2">
        <v>33.79</v>
      </c>
      <c r="Y128" s="2">
        <v>-125.1</v>
      </c>
      <c r="Z128" s="4">
        <v>6</v>
      </c>
      <c r="AA128" s="4">
        <v>8.6999999999999993</v>
      </c>
      <c r="AB128" s="2">
        <v>2.9</v>
      </c>
      <c r="AC128" s="2">
        <v>15.6</v>
      </c>
      <c r="AD128" s="2">
        <v>4.7999999999999972</v>
      </c>
      <c r="AE128" s="2">
        <v>1</v>
      </c>
    </row>
    <row r="129" spans="1:31" x14ac:dyDescent="0.25">
      <c r="A129" s="2" t="s">
        <v>96</v>
      </c>
      <c r="B129" s="2">
        <v>2019</v>
      </c>
      <c r="C129" s="2" t="s">
        <v>235</v>
      </c>
      <c r="D129" s="2" t="s">
        <v>298</v>
      </c>
      <c r="E129" s="2">
        <v>1.1851</v>
      </c>
      <c r="F129" s="2">
        <v>-56.412599999999998</v>
      </c>
      <c r="G129" s="2">
        <v>-3.3169</v>
      </c>
      <c r="H129" s="2">
        <v>1.0621</v>
      </c>
      <c r="I129" s="2">
        <v>0.57399999999999995</v>
      </c>
      <c r="J129">
        <f>0.184551080970043*(100)</f>
        <v>18.455108097004299</v>
      </c>
      <c r="K129">
        <f>-0.0085*(100)</f>
        <v>-0.85000000000000009</v>
      </c>
      <c r="L129" s="2">
        <v>2.0232000000000001</v>
      </c>
      <c r="M129" s="2">
        <v>0.88949999999999996</v>
      </c>
      <c r="N129" s="2">
        <v>8.6869999999999994</v>
      </c>
      <c r="O129" s="2">
        <v>0.51629999999999998</v>
      </c>
      <c r="P129" s="2">
        <v>29.0655</v>
      </c>
      <c r="Q129" s="2">
        <v>2.4211999999999998</v>
      </c>
      <c r="R129" s="2">
        <v>-927.27595615932682</v>
      </c>
      <c r="S129" s="2">
        <v>-7.0145</v>
      </c>
      <c r="T129" s="2">
        <v>-46.064100000000003</v>
      </c>
      <c r="U129" s="2">
        <v>86.112899999999996</v>
      </c>
      <c r="V129" s="2">
        <v>33.738860553583308</v>
      </c>
      <c r="W129" s="2">
        <v>0.50204338147933059</v>
      </c>
      <c r="X129" s="2">
        <v>113.31</v>
      </c>
      <c r="Y129" s="2">
        <v>-1.36</v>
      </c>
      <c r="Z129" s="4">
        <v>6</v>
      </c>
      <c r="AA129" s="4">
        <v>8.6999999999999993</v>
      </c>
      <c r="AB129" s="2">
        <v>2.9</v>
      </c>
      <c r="AC129" s="2">
        <v>15.6</v>
      </c>
      <c r="AD129" s="2">
        <v>4.7999999999999972</v>
      </c>
      <c r="AE129" s="2">
        <v>1</v>
      </c>
    </row>
    <row r="130" spans="1:31" x14ac:dyDescent="0.25">
      <c r="A130" s="2" t="s">
        <v>127</v>
      </c>
      <c r="B130" s="2">
        <v>2019</v>
      </c>
      <c r="C130" s="2" t="s">
        <v>264</v>
      </c>
      <c r="D130" s="2" t="s">
        <v>341</v>
      </c>
      <c r="E130" s="2">
        <v>-10.063800000000001</v>
      </c>
      <c r="F130" s="2">
        <v>-47.714100000000002</v>
      </c>
      <c r="G130" s="2">
        <v>-35.0655</v>
      </c>
      <c r="H130" s="2">
        <v>0.31140000000000001</v>
      </c>
      <c r="I130" s="2">
        <v>0.29139999999999999</v>
      </c>
      <c r="J130">
        <f>0.0923122585216867*(100)</f>
        <v>9.2312258521686701</v>
      </c>
      <c r="K130">
        <f>0.1082*(100)</f>
        <v>10.82</v>
      </c>
      <c r="L130" s="2">
        <v>38.666200000000003</v>
      </c>
      <c r="M130" s="2">
        <v>2.1282000000000001</v>
      </c>
      <c r="N130" s="2">
        <v>0.66820000000000002</v>
      </c>
      <c r="O130" s="2">
        <v>0.36</v>
      </c>
      <c r="P130" s="2">
        <v>6.6279000000000003</v>
      </c>
      <c r="Q130" s="2">
        <v>17.645499999999998</v>
      </c>
      <c r="R130" s="2">
        <v>-707.21425690357148</v>
      </c>
      <c r="S130" s="2">
        <v>-14.9719</v>
      </c>
      <c r="T130" s="2">
        <v>-38.701700000000002</v>
      </c>
      <c r="U130" s="2">
        <v>75.201899999999995</v>
      </c>
      <c r="V130" s="2">
        <v>25.076479837940035</v>
      </c>
      <c r="W130" s="2">
        <v>0.38176211323470272</v>
      </c>
      <c r="X130" s="2">
        <v>105.64</v>
      </c>
      <c r="Y130" s="2">
        <v>20.78</v>
      </c>
      <c r="Z130" s="4">
        <v>6</v>
      </c>
      <c r="AA130" s="4">
        <v>8.6999999999999993</v>
      </c>
      <c r="AB130" s="2">
        <v>2.9</v>
      </c>
      <c r="AC130" s="2">
        <v>15.6</v>
      </c>
      <c r="AD130" s="2">
        <v>4.7999999999999972</v>
      </c>
      <c r="AE130" s="2">
        <v>1</v>
      </c>
    </row>
    <row r="131" spans="1:31" x14ac:dyDescent="0.25">
      <c r="A131" s="2" t="s">
        <v>34</v>
      </c>
      <c r="B131" s="2">
        <v>2019</v>
      </c>
      <c r="C131" s="2" t="s">
        <v>187</v>
      </c>
      <c r="D131" s="2" t="s">
        <v>301</v>
      </c>
      <c r="E131" s="2">
        <v>4.8994999999999997</v>
      </c>
      <c r="F131" s="2">
        <v>6.8205</v>
      </c>
      <c r="G131" s="2">
        <v>9.6684999999999999</v>
      </c>
      <c r="H131" s="2">
        <v>1.6708000000000001</v>
      </c>
      <c r="I131" s="2">
        <v>1.5417000000000001</v>
      </c>
      <c r="J131">
        <f>0.746658830576507*(100)</f>
        <v>74.665883057650689</v>
      </c>
      <c r="K131">
        <f>0.0099*(100)</f>
        <v>0.9900000000000001</v>
      </c>
      <c r="L131" s="2">
        <v>5.5239000000000003</v>
      </c>
      <c r="M131" s="2">
        <v>0.61350000000000005</v>
      </c>
      <c r="N131" s="2">
        <v>2.7223000000000002</v>
      </c>
      <c r="O131" s="2">
        <v>0.40229999999999999</v>
      </c>
      <c r="P131" s="2">
        <v>2.5341</v>
      </c>
      <c r="Q131" s="2">
        <v>63.290799999999997</v>
      </c>
      <c r="R131" s="2">
        <v>18.112824273265471</v>
      </c>
      <c r="S131" s="2">
        <v>5.7786</v>
      </c>
      <c r="T131" s="2">
        <v>5.1067999999999998</v>
      </c>
      <c r="U131" s="2">
        <v>53.947200000000002</v>
      </c>
      <c r="V131" s="2">
        <v>16.473493871694945</v>
      </c>
      <c r="W131" s="2">
        <v>3.375499997483447</v>
      </c>
      <c r="X131" s="2">
        <v>86.7</v>
      </c>
      <c r="Y131" s="2">
        <v>1.38</v>
      </c>
      <c r="Z131" s="4">
        <v>6</v>
      </c>
      <c r="AA131" s="4">
        <v>8.6999999999999993</v>
      </c>
      <c r="AB131" s="2">
        <v>2.9</v>
      </c>
      <c r="AC131" s="2">
        <v>15.6</v>
      </c>
      <c r="AD131" s="2">
        <v>4.7999999999999972</v>
      </c>
      <c r="AE131" s="2">
        <v>1</v>
      </c>
    </row>
    <row r="132" spans="1:31" x14ac:dyDescent="0.25">
      <c r="A132" s="2" t="s">
        <v>77</v>
      </c>
      <c r="B132" s="2">
        <v>2019</v>
      </c>
      <c r="C132" s="2" t="s">
        <v>221</v>
      </c>
      <c r="D132" s="2" t="s">
        <v>324</v>
      </c>
      <c r="E132" s="2">
        <v>-2.4615</v>
      </c>
      <c r="F132" s="2">
        <v>-87.524500000000003</v>
      </c>
      <c r="G132" s="2">
        <v>-33.307899999999997</v>
      </c>
      <c r="H132" s="2">
        <v>0.93679999999999997</v>
      </c>
      <c r="I132" s="2">
        <v>0.50290000000000001</v>
      </c>
      <c r="J132">
        <f>0.126793073733366*(100)</f>
        <v>12.679307373336602</v>
      </c>
      <c r="K132">
        <f>0.0166*(100)</f>
        <v>1.66</v>
      </c>
      <c r="L132" s="2">
        <v>0.39460000000000001</v>
      </c>
      <c r="M132" s="2">
        <v>0.2039</v>
      </c>
      <c r="N132" s="2">
        <v>1.3655999999999999</v>
      </c>
      <c r="O132" s="2">
        <v>0.15809999999999999</v>
      </c>
      <c r="P132" s="2">
        <v>0.62490000000000001</v>
      </c>
      <c r="Q132" s="2">
        <v>18.3782</v>
      </c>
      <c r="R132" s="2">
        <v>-290.79328082194831</v>
      </c>
      <c r="S132" s="2">
        <v>-6.1516000000000002</v>
      </c>
      <c r="T132" s="2">
        <v>-62.842599999999997</v>
      </c>
      <c r="U132" s="2">
        <v>97.327100000000002</v>
      </c>
      <c r="V132" s="2">
        <v>15.793937792244497</v>
      </c>
      <c r="W132" s="2">
        <v>0.20920776857160581</v>
      </c>
      <c r="X132" s="2">
        <v>87.050000000000011</v>
      </c>
      <c r="Y132" s="2">
        <v>9.9</v>
      </c>
      <c r="Z132" s="4">
        <v>6</v>
      </c>
      <c r="AA132" s="4">
        <v>8.6999999999999993</v>
      </c>
      <c r="AB132" s="2">
        <v>2.9</v>
      </c>
      <c r="AC132" s="2">
        <v>15.6</v>
      </c>
      <c r="AD132" s="2">
        <v>4.7999999999999972</v>
      </c>
      <c r="AE132" s="2">
        <v>1</v>
      </c>
    </row>
    <row r="133" spans="1:31" x14ac:dyDescent="0.25">
      <c r="A133" s="2" t="s">
        <v>91</v>
      </c>
      <c r="B133" s="2">
        <v>2019</v>
      </c>
      <c r="C133" s="2" t="s">
        <v>231</v>
      </c>
      <c r="D133" s="2" t="s">
        <v>307</v>
      </c>
      <c r="E133" s="2">
        <v>4.5831</v>
      </c>
      <c r="F133" s="2">
        <v>1.7397</v>
      </c>
      <c r="G133" s="2">
        <v>4.4119999999999999</v>
      </c>
      <c r="H133" s="2">
        <v>0.82720000000000005</v>
      </c>
      <c r="I133" s="2">
        <v>0.59670000000000001</v>
      </c>
      <c r="J133">
        <f>0.344181836603633*(100)</f>
        <v>34.418183660363297</v>
      </c>
      <c r="K133">
        <f>0.2451*(100)</f>
        <v>24.51</v>
      </c>
      <c r="L133" s="2">
        <v>8.1420999999999992</v>
      </c>
      <c r="M133" s="2">
        <v>3.1097000000000001</v>
      </c>
      <c r="N133" s="2">
        <v>1.7133</v>
      </c>
      <c r="O133" s="2">
        <v>0.74129999999999996</v>
      </c>
      <c r="P133" s="2">
        <v>57.470999999999997</v>
      </c>
      <c r="Q133" s="2">
        <v>0.50229999999999997</v>
      </c>
      <c r="R133" s="2">
        <v>10.129029419662871</v>
      </c>
      <c r="S133" s="2">
        <v>3.7991999999999999</v>
      </c>
      <c r="T133" s="2">
        <v>13.3139</v>
      </c>
      <c r="U133" s="2">
        <v>61.346699999999998</v>
      </c>
      <c r="V133" s="2">
        <v>31.027863855905814</v>
      </c>
      <c r="W133" s="2">
        <v>0.62914794695729193</v>
      </c>
      <c r="X133" s="2">
        <v>112.93</v>
      </c>
      <c r="Y133" s="2">
        <v>20.66</v>
      </c>
      <c r="Z133" s="4">
        <v>6</v>
      </c>
      <c r="AA133" s="4">
        <v>8.6999999999999993</v>
      </c>
      <c r="AB133" s="2">
        <v>2.9</v>
      </c>
      <c r="AC133" s="2">
        <v>15.6</v>
      </c>
      <c r="AD133" s="2">
        <v>5.5</v>
      </c>
      <c r="AE133" s="2">
        <v>1</v>
      </c>
    </row>
    <row r="134" spans="1:31" x14ac:dyDescent="0.25">
      <c r="A134" s="2" t="s">
        <v>78</v>
      </c>
      <c r="B134" s="2">
        <v>2019</v>
      </c>
      <c r="C134" s="2" t="s">
        <v>222</v>
      </c>
      <c r="D134" s="2" t="s">
        <v>313</v>
      </c>
      <c r="E134" s="2">
        <v>2.0676000000000001</v>
      </c>
      <c r="F134" s="2">
        <v>0.56289999999999996</v>
      </c>
      <c r="G134" s="2">
        <v>6.5929000000000002</v>
      </c>
      <c r="H134" s="2">
        <v>0.1787</v>
      </c>
      <c r="I134" s="2">
        <v>0.1709</v>
      </c>
      <c r="J134">
        <f>0.0103690899749349*(100)</f>
        <v>1.03690899749349</v>
      </c>
      <c r="K134">
        <f>0.0405*(100)</f>
        <v>4.05</v>
      </c>
      <c r="L134" s="2">
        <v>19.421500000000002</v>
      </c>
      <c r="M134" s="2">
        <v>0.49590000000000001</v>
      </c>
      <c r="N134" s="2">
        <v>1.0908</v>
      </c>
      <c r="O134" s="2">
        <v>9.5200000000000007E-2</v>
      </c>
      <c r="P134" s="2">
        <v>7.1135000000000002</v>
      </c>
      <c r="Q134" s="2">
        <v>23.711600000000001</v>
      </c>
      <c r="R134" s="2">
        <v>-81.177889467169635</v>
      </c>
      <c r="S134" s="2">
        <v>-4.3667999999999996</v>
      </c>
      <c r="T134" s="2">
        <v>-40.872700000000002</v>
      </c>
      <c r="U134" s="2">
        <v>60.6327</v>
      </c>
      <c r="V134" s="2">
        <v>24.57379687328611</v>
      </c>
      <c r="W134" s="2">
        <v>2.8030833517163356</v>
      </c>
      <c r="X134" s="2">
        <v>112.3</v>
      </c>
      <c r="Y134" s="2">
        <v>25.25</v>
      </c>
      <c r="Z134" s="4">
        <v>6</v>
      </c>
      <c r="AA134" s="4">
        <v>8.6999999999999993</v>
      </c>
      <c r="AB134" s="2">
        <v>2.9</v>
      </c>
      <c r="AC134" s="2">
        <v>15.6</v>
      </c>
      <c r="AD134" s="2">
        <v>6.5</v>
      </c>
      <c r="AE134" s="2">
        <v>1</v>
      </c>
    </row>
    <row r="135" spans="1:31" x14ac:dyDescent="0.25">
      <c r="A135" s="2" t="s">
        <v>104</v>
      </c>
      <c r="B135" s="2">
        <v>2019</v>
      </c>
      <c r="C135" s="2" t="s">
        <v>243</v>
      </c>
      <c r="D135" s="2" t="s">
        <v>332</v>
      </c>
      <c r="E135" s="2">
        <v>4.0930999999999997</v>
      </c>
      <c r="F135" s="2">
        <v>-1.7165999999999999</v>
      </c>
      <c r="G135" s="2">
        <v>3.3948999999999998</v>
      </c>
      <c r="H135" s="2">
        <v>1.4011</v>
      </c>
      <c r="I135" s="2">
        <v>1.0336000000000001</v>
      </c>
      <c r="J135">
        <f>0.414083879521643*(100)</f>
        <v>41.408387952164297</v>
      </c>
      <c r="K135">
        <f>0.0173*(100)</f>
        <v>1.73</v>
      </c>
      <c r="L135" s="2">
        <v>3.3645999999999998</v>
      </c>
      <c r="M135" s="2">
        <v>0.66720000000000002</v>
      </c>
      <c r="N135" s="2">
        <v>14.8796</v>
      </c>
      <c r="O135" s="2">
        <v>0.43930000000000002</v>
      </c>
      <c r="P135" s="2">
        <v>11.603199999999999</v>
      </c>
      <c r="Q135" s="2">
        <v>7.3761999999999999</v>
      </c>
      <c r="R135" s="2">
        <v>-4.2908185043007929</v>
      </c>
      <c r="S135" s="2">
        <v>8.5327000000000002</v>
      </c>
      <c r="T135" s="2">
        <v>-4.4273999999999996</v>
      </c>
      <c r="U135" s="2">
        <v>81.842399999999998</v>
      </c>
      <c r="V135" s="2">
        <v>35.596897617457437</v>
      </c>
      <c r="W135" s="2">
        <v>2.0793644128894329</v>
      </c>
      <c r="X135" s="2">
        <v>102.43</v>
      </c>
      <c r="Y135" s="2">
        <v>3.84</v>
      </c>
      <c r="Z135" s="4">
        <v>6</v>
      </c>
      <c r="AA135" s="4">
        <v>8.6999999999999993</v>
      </c>
      <c r="AB135" s="2">
        <v>2.9</v>
      </c>
      <c r="AC135" s="2">
        <v>15.6</v>
      </c>
      <c r="AD135" s="2">
        <v>4.7999999999999972</v>
      </c>
      <c r="AE135" s="2">
        <v>1</v>
      </c>
    </row>
    <row r="136" spans="1:31" x14ac:dyDescent="0.25">
      <c r="A136" s="2" t="s">
        <v>103</v>
      </c>
      <c r="B136" s="2">
        <v>2018</v>
      </c>
      <c r="C136" s="2" t="s">
        <v>242</v>
      </c>
      <c r="D136" s="2" t="s">
        <v>315</v>
      </c>
      <c r="E136" s="2">
        <v>-131.81399999999999</v>
      </c>
      <c r="F136" s="2">
        <v>-1522.2429999999999</v>
      </c>
      <c r="G136" s="2">
        <v>-274.81610000000001</v>
      </c>
      <c r="H136" s="2">
        <v>0.34429999999999999</v>
      </c>
      <c r="I136" s="2">
        <v>0.25030000000000002</v>
      </c>
      <c r="J136">
        <f>0.0728071579794262*(100)</f>
        <v>7.2807157979426202</v>
      </c>
      <c r="K136">
        <f>-0.1565*(100)</f>
        <v>-15.65</v>
      </c>
      <c r="L136" s="2">
        <v>2.7035999999999998</v>
      </c>
      <c r="M136" s="2">
        <v>0.73160000000000003</v>
      </c>
      <c r="N136" s="2">
        <v>9.1236999999999995</v>
      </c>
      <c r="O136" s="2">
        <v>0.49680000000000002</v>
      </c>
      <c r="P136" s="2">
        <v>3.4459</v>
      </c>
      <c r="Q136" s="2">
        <v>-30.829599999999999</v>
      </c>
      <c r="R136" s="2">
        <v>-1085.166953022723</v>
      </c>
      <c r="S136" s="2">
        <v>-78.671899999999994</v>
      </c>
      <c r="T136" s="2">
        <v>-176.77950000000001</v>
      </c>
      <c r="U136" s="2">
        <v>257.85399999999998</v>
      </c>
      <c r="V136" s="2">
        <v>59.524387264150079</v>
      </c>
      <c r="W136" s="2">
        <v>-12.327943698920539</v>
      </c>
      <c r="X136" s="2">
        <v>78.2</v>
      </c>
      <c r="Y136" s="2">
        <v>-28.55</v>
      </c>
      <c r="Z136" s="4">
        <v>6.6000000000000005</v>
      </c>
      <c r="AA136" s="4">
        <v>8.1</v>
      </c>
      <c r="AB136" s="2">
        <v>2.1</v>
      </c>
      <c r="AC136" s="2">
        <v>12.5</v>
      </c>
      <c r="AD136" s="2">
        <v>6.0999999999999943</v>
      </c>
      <c r="AE136" s="2">
        <v>1</v>
      </c>
    </row>
    <row r="137" spans="1:31" x14ac:dyDescent="0.25">
      <c r="A137" s="2" t="s">
        <v>138</v>
      </c>
      <c r="B137" s="2">
        <v>2018</v>
      </c>
      <c r="C137" s="2" t="s">
        <v>269</v>
      </c>
      <c r="D137" s="2" t="s">
        <v>297</v>
      </c>
      <c r="E137" s="2">
        <v>10.931800000000001</v>
      </c>
      <c r="F137" s="2">
        <v>15.0959</v>
      </c>
      <c r="G137" s="2">
        <v>10.392899999999999</v>
      </c>
      <c r="H137" s="2">
        <v>1.5295000000000001</v>
      </c>
      <c r="I137" s="2">
        <v>1.2276</v>
      </c>
      <c r="J137">
        <f>0.720027672661886*(100)</f>
        <v>72.002767266188599</v>
      </c>
      <c r="K137">
        <f>0.2486*(100)</f>
        <v>24.86</v>
      </c>
      <c r="L137" s="2">
        <v>6.7845000000000004</v>
      </c>
      <c r="M137" s="2">
        <v>1.4992000000000001</v>
      </c>
      <c r="N137" s="2">
        <v>3.0855000000000001</v>
      </c>
      <c r="O137" s="2">
        <v>0.80479999999999996</v>
      </c>
      <c r="P137" s="2">
        <v>11.236700000000001</v>
      </c>
      <c r="Q137" s="2">
        <v>11.859299999999999</v>
      </c>
      <c r="R137" s="2">
        <v>1.2632562430030461</v>
      </c>
      <c r="S137" s="2">
        <v>2.5186999999999999</v>
      </c>
      <c r="T137" s="2">
        <v>16.322600000000001</v>
      </c>
      <c r="U137" s="2">
        <v>54.154800000000002</v>
      </c>
      <c r="V137" s="2">
        <v>19.757904953871417</v>
      </c>
      <c r="W137" s="2">
        <v>1.5831959134482647</v>
      </c>
      <c r="X137" s="2">
        <v>114.56</v>
      </c>
      <c r="Y137" s="2">
        <v>16.93</v>
      </c>
      <c r="Z137" s="4">
        <v>6.6000000000000005</v>
      </c>
      <c r="AA137" s="4">
        <v>8.1</v>
      </c>
      <c r="AB137" s="2">
        <v>2.1</v>
      </c>
      <c r="AC137" s="2">
        <v>12.5</v>
      </c>
      <c r="AD137" s="2">
        <v>6.0999999999999943</v>
      </c>
      <c r="AE137" s="2">
        <v>1</v>
      </c>
    </row>
    <row r="138" spans="1:31" x14ac:dyDescent="0.25">
      <c r="A138" s="2" t="s">
        <v>142</v>
      </c>
      <c r="B138" s="2">
        <v>2018</v>
      </c>
      <c r="C138" s="2" t="s">
        <v>270</v>
      </c>
      <c r="D138" s="2" t="s">
        <v>304</v>
      </c>
      <c r="E138" s="2">
        <v>10.0869</v>
      </c>
      <c r="F138" s="2">
        <v>14.208</v>
      </c>
      <c r="G138" s="2">
        <v>4.9882999999999997</v>
      </c>
      <c r="H138" s="2">
        <v>1.4697</v>
      </c>
      <c r="I138" s="2">
        <v>1.1987000000000001</v>
      </c>
      <c r="J138">
        <f>0.546160734763162*(100)</f>
        <v>54.616073476316195</v>
      </c>
      <c r="K138">
        <f>0.2514*(100)</f>
        <v>25.14</v>
      </c>
      <c r="L138" s="2">
        <v>14.3042</v>
      </c>
      <c r="M138" s="2">
        <v>2.7433999999999998</v>
      </c>
      <c r="N138" s="2">
        <v>5.4055</v>
      </c>
      <c r="O138" s="2">
        <v>1.4311</v>
      </c>
      <c r="P138" s="2">
        <v>15.761900000000001</v>
      </c>
      <c r="Q138" s="2">
        <v>15.393800000000001</v>
      </c>
      <c r="R138" s="2">
        <v>60.577430560850111</v>
      </c>
      <c r="S138" s="2">
        <v>11.4123</v>
      </c>
      <c r="T138" s="2">
        <v>15.903600000000001</v>
      </c>
      <c r="U138" s="2">
        <v>56.748899999999999</v>
      </c>
      <c r="V138" s="2">
        <v>20.278375991522541</v>
      </c>
      <c r="W138" s="2">
        <v>1.3979324043595547</v>
      </c>
      <c r="X138" s="2">
        <v>116.41</v>
      </c>
      <c r="Y138" s="2">
        <v>10.51</v>
      </c>
      <c r="Z138" s="4">
        <v>6.6000000000000005</v>
      </c>
      <c r="AA138" s="4">
        <v>8.1</v>
      </c>
      <c r="AB138" s="2">
        <v>2.1</v>
      </c>
      <c r="AC138" s="2">
        <v>12.5</v>
      </c>
      <c r="AD138" s="2">
        <v>6.0999999999999943</v>
      </c>
      <c r="AE138" s="2">
        <v>1</v>
      </c>
    </row>
    <row r="139" spans="1:31" x14ac:dyDescent="0.25">
      <c r="A139" s="2" t="s">
        <v>139</v>
      </c>
      <c r="B139" s="2">
        <v>2018</v>
      </c>
      <c r="C139" s="2" t="s">
        <v>258</v>
      </c>
      <c r="D139" s="2" t="s">
        <v>339</v>
      </c>
      <c r="E139" s="2">
        <v>8.3230000000000004</v>
      </c>
      <c r="F139" s="2">
        <v>9.2139000000000006</v>
      </c>
      <c r="G139" s="2">
        <v>10.946099999999999</v>
      </c>
      <c r="H139" s="2">
        <v>3.3416000000000001</v>
      </c>
      <c r="I139" s="2">
        <v>2.3077999999999999</v>
      </c>
      <c r="J139">
        <f>0.406828968723183*(100)</f>
        <v>40.682896872318302</v>
      </c>
      <c r="K139">
        <f>0.0631*(100)</f>
        <v>6.3100000000000005</v>
      </c>
      <c r="L139" s="2">
        <v>3.5722</v>
      </c>
      <c r="M139" s="2">
        <v>1.2745</v>
      </c>
      <c r="N139" s="2">
        <v>5.3125999999999998</v>
      </c>
      <c r="O139" s="2">
        <v>0.50590000000000002</v>
      </c>
      <c r="P139" s="2">
        <v>8.1795000000000009</v>
      </c>
      <c r="Q139" s="2">
        <v>18.167400000000001</v>
      </c>
      <c r="R139" s="2">
        <v>41.232082678030849</v>
      </c>
      <c r="S139" s="2">
        <v>5.7767999999999997</v>
      </c>
      <c r="T139" s="2">
        <v>12.551399999999999</v>
      </c>
      <c r="U139" s="2">
        <v>52.120199999999997</v>
      </c>
      <c r="V139" s="2">
        <v>40.84339528496605</v>
      </c>
      <c r="W139" s="2">
        <v>4.7179969472146759</v>
      </c>
      <c r="X139" s="2">
        <v>77.89</v>
      </c>
      <c r="Y139" s="2">
        <v>6.68</v>
      </c>
      <c r="Z139" s="4">
        <v>6.6000000000000005</v>
      </c>
      <c r="AA139" s="4">
        <v>8.1</v>
      </c>
      <c r="AB139" s="2">
        <v>2.1</v>
      </c>
      <c r="AC139" s="2">
        <v>12.5</v>
      </c>
      <c r="AD139" s="2">
        <v>6.7000000000000028</v>
      </c>
      <c r="AE139" s="2">
        <v>1</v>
      </c>
    </row>
    <row r="140" spans="1:31" x14ac:dyDescent="0.25">
      <c r="A140" s="2" t="s">
        <v>141</v>
      </c>
      <c r="B140" s="2">
        <v>2018</v>
      </c>
      <c r="C140" s="2" t="s">
        <v>240</v>
      </c>
      <c r="D140" s="2" t="s">
        <v>298</v>
      </c>
      <c r="E140" s="2">
        <v>6.7553999999999998</v>
      </c>
      <c r="F140" s="2">
        <v>8.5373999999999999</v>
      </c>
      <c r="G140" s="2">
        <v>9.5477000000000007</v>
      </c>
      <c r="H140" s="2">
        <v>1.1932</v>
      </c>
      <c r="I140" s="2">
        <v>1.0703</v>
      </c>
      <c r="J140">
        <f>0.451944933037411*(100)</f>
        <v>45.194493303741098</v>
      </c>
      <c r="K140">
        <f>0.0393*(100)</f>
        <v>3.93</v>
      </c>
      <c r="L140" s="2">
        <v>15.3239</v>
      </c>
      <c r="M140" s="2">
        <v>1.8278000000000001</v>
      </c>
      <c r="N140" s="2">
        <v>3.0507</v>
      </c>
      <c r="O140" s="2">
        <v>0.58399999999999996</v>
      </c>
      <c r="P140" s="2">
        <v>16.0732</v>
      </c>
      <c r="Q140" s="2">
        <v>5.1207000000000003</v>
      </c>
      <c r="R140" s="2">
        <v>-23.53013249421921</v>
      </c>
      <c r="S140" s="2">
        <v>16.901499999999999</v>
      </c>
      <c r="T140" s="2">
        <v>7.4207999999999998</v>
      </c>
      <c r="U140" s="2">
        <v>47.648699999999998</v>
      </c>
      <c r="V140" s="2">
        <v>20.330038008549504</v>
      </c>
      <c r="W140" s="2">
        <v>2.4508688908648262</v>
      </c>
      <c r="X140" s="2">
        <v>97.6</v>
      </c>
      <c r="Y140" s="2">
        <v>3.47</v>
      </c>
      <c r="Z140" s="4">
        <v>6.6000000000000005</v>
      </c>
      <c r="AA140" s="4">
        <v>8.1</v>
      </c>
      <c r="AB140" s="2">
        <v>2.1</v>
      </c>
      <c r="AC140" s="2">
        <v>12.5</v>
      </c>
      <c r="AD140" s="2">
        <v>6.0999999999999943</v>
      </c>
      <c r="AE140" s="2">
        <v>1</v>
      </c>
    </row>
    <row r="141" spans="1:31" x14ac:dyDescent="0.25">
      <c r="A141" s="2" t="s">
        <v>140</v>
      </c>
      <c r="B141" s="2">
        <v>2018</v>
      </c>
      <c r="C141" s="2" t="s">
        <v>250</v>
      </c>
      <c r="D141" s="2" t="s">
        <v>337</v>
      </c>
      <c r="E141" s="2">
        <v>5.9779</v>
      </c>
      <c r="F141" s="2">
        <v>7.7108999999999996</v>
      </c>
      <c r="G141" s="2">
        <v>7.9687999999999999</v>
      </c>
      <c r="H141" s="2">
        <v>2.0943999999999998</v>
      </c>
      <c r="I141" s="2">
        <v>1.1563000000000001</v>
      </c>
      <c r="J141">
        <f>0.470953448574098*(100)</f>
        <v>47.095344857409799</v>
      </c>
      <c r="K141">
        <f>-0.0863*(100)</f>
        <v>-8.6300000000000008</v>
      </c>
      <c r="L141" s="2">
        <v>1.3454999999999999</v>
      </c>
      <c r="M141" s="2">
        <v>0.67910000000000004</v>
      </c>
      <c r="N141" s="2">
        <v>24.797999999999998</v>
      </c>
      <c r="O141" s="2">
        <v>0.46339999999999998</v>
      </c>
      <c r="P141" s="2">
        <v>5.1016000000000004</v>
      </c>
      <c r="Q141" s="2">
        <v>1.3087</v>
      </c>
      <c r="R141" s="2">
        <v>12.04027785270519</v>
      </c>
      <c r="S141" s="2">
        <v>33.933599999999998</v>
      </c>
      <c r="T141" s="2">
        <v>15.635899999999999</v>
      </c>
      <c r="U141" s="2">
        <v>54.834899999999998</v>
      </c>
      <c r="V141" s="2">
        <v>22.978307250823587</v>
      </c>
      <c r="W141" s="2">
        <v>7.1938555691868631</v>
      </c>
      <c r="X141" s="2">
        <v>103.05</v>
      </c>
      <c r="Y141" s="2">
        <v>-11.7</v>
      </c>
      <c r="Z141" s="4">
        <v>6.6000000000000005</v>
      </c>
      <c r="AA141" s="4">
        <v>8.1</v>
      </c>
      <c r="AB141" s="2">
        <v>2.1</v>
      </c>
      <c r="AC141" s="2">
        <v>12.5</v>
      </c>
      <c r="AD141" s="2">
        <v>6.0999999999999943</v>
      </c>
      <c r="AE141" s="2">
        <v>1</v>
      </c>
    </row>
    <row r="142" spans="1:31" x14ac:dyDescent="0.25">
      <c r="A142" s="2" t="s">
        <v>144</v>
      </c>
      <c r="B142" s="2">
        <v>2018</v>
      </c>
      <c r="C142" s="2" t="s">
        <v>272</v>
      </c>
      <c r="D142" s="2" t="s">
        <v>323</v>
      </c>
      <c r="E142" s="2">
        <v>7.2789000000000001</v>
      </c>
      <c r="F142" s="2">
        <v>8.6006</v>
      </c>
      <c r="G142" s="2">
        <v>6.5540000000000003</v>
      </c>
      <c r="H142" s="2">
        <v>1.2890999999999999</v>
      </c>
      <c r="I142" s="2">
        <v>1.0066999999999999</v>
      </c>
      <c r="J142">
        <f>0.691273566779147*(100)</f>
        <v>69.12735667791469</v>
      </c>
      <c r="K142">
        <f>0.0988*(100)</f>
        <v>9.879999999999999</v>
      </c>
      <c r="L142" s="2">
        <v>7.4100999999999999</v>
      </c>
      <c r="M142" s="2">
        <v>1.6221000000000001</v>
      </c>
      <c r="N142" s="2">
        <v>1.6672</v>
      </c>
      <c r="O142" s="2">
        <v>0.79090000000000005</v>
      </c>
      <c r="P142" s="2">
        <v>13.5207</v>
      </c>
      <c r="Q142" s="2">
        <v>12.5054</v>
      </c>
      <c r="R142" s="2">
        <v>-0.86755084530809112</v>
      </c>
      <c r="S142" s="2">
        <v>1.1527000000000001</v>
      </c>
      <c r="T142" s="2">
        <v>24.142199999999999</v>
      </c>
      <c r="U142" s="2">
        <v>48.092799999999997</v>
      </c>
      <c r="V142" s="2">
        <v>11.625484189341096</v>
      </c>
      <c r="W142" s="2">
        <v>1.0699810807655676</v>
      </c>
      <c r="X142" s="2">
        <v>112.92</v>
      </c>
      <c r="Y142" s="2">
        <v>6.04</v>
      </c>
      <c r="Z142" s="4">
        <v>6.6000000000000005</v>
      </c>
      <c r="AA142" s="4">
        <v>8.1</v>
      </c>
      <c r="AB142" s="2">
        <v>2.1</v>
      </c>
      <c r="AC142" s="2">
        <v>12.5</v>
      </c>
      <c r="AD142" s="2">
        <v>6.0999999999999943</v>
      </c>
      <c r="AE142" s="2">
        <v>1</v>
      </c>
    </row>
    <row r="143" spans="1:31" x14ac:dyDescent="0.25">
      <c r="A143" s="2" t="s">
        <v>128</v>
      </c>
      <c r="B143" s="2">
        <v>2018</v>
      </c>
      <c r="C143" s="2" t="s">
        <v>198</v>
      </c>
      <c r="D143" s="2" t="s">
        <v>307</v>
      </c>
      <c r="E143" s="2">
        <v>5.1555999999999997</v>
      </c>
      <c r="F143" s="2">
        <v>5.7647000000000004</v>
      </c>
      <c r="G143" s="2">
        <v>7.8592000000000004</v>
      </c>
      <c r="H143" s="2">
        <v>2.6775000000000002</v>
      </c>
      <c r="I143" s="2">
        <v>2.2641</v>
      </c>
      <c r="J143">
        <f>1.34910090798763*(100)</f>
        <v>134.91009079876301</v>
      </c>
      <c r="K143">
        <f>0.1189*(100)</f>
        <v>11.89</v>
      </c>
      <c r="L143" s="2">
        <v>4.5640000000000001</v>
      </c>
      <c r="M143" s="2">
        <v>0.80420000000000003</v>
      </c>
      <c r="N143" s="2">
        <v>3.2545999999999999</v>
      </c>
      <c r="O143" s="2">
        <v>0.44700000000000001</v>
      </c>
      <c r="P143" s="2">
        <v>7.8033999999999999</v>
      </c>
      <c r="Q143" s="2">
        <v>7.4461000000000004</v>
      </c>
      <c r="R143" s="2">
        <v>-9.1206312552838309</v>
      </c>
      <c r="S143" s="2">
        <v>16.256900000000002</v>
      </c>
      <c r="T143" s="2">
        <v>4.7859999999999996</v>
      </c>
      <c r="U143" s="2">
        <v>51.7089</v>
      </c>
      <c r="V143" s="2">
        <v>31.30848013888291</v>
      </c>
      <c r="W143" s="2">
        <v>2.9035133213477424</v>
      </c>
      <c r="X143" s="2">
        <v>106.85</v>
      </c>
      <c r="Y143" s="2">
        <v>14.79</v>
      </c>
      <c r="Z143" s="4">
        <v>6.6000000000000005</v>
      </c>
      <c r="AA143" s="4">
        <v>8.1</v>
      </c>
      <c r="AB143" s="2">
        <v>2.1</v>
      </c>
      <c r="AC143" s="2">
        <v>12.5</v>
      </c>
      <c r="AD143" s="2">
        <v>6.7000000000000028</v>
      </c>
      <c r="AE143" s="2">
        <v>1</v>
      </c>
    </row>
    <row r="144" spans="1:31" x14ac:dyDescent="0.25">
      <c r="A144" s="2" t="s">
        <v>147</v>
      </c>
      <c r="B144" s="2">
        <v>2018</v>
      </c>
      <c r="C144" s="2" t="s">
        <v>273</v>
      </c>
      <c r="D144" s="2" t="s">
        <v>298</v>
      </c>
      <c r="E144" s="2">
        <v>3.8993000000000002</v>
      </c>
      <c r="F144" s="2">
        <v>7.1513999999999998</v>
      </c>
      <c r="G144" s="2">
        <v>3.7292999999999998</v>
      </c>
      <c r="H144" s="2">
        <v>1.7238</v>
      </c>
      <c r="I144" s="2">
        <v>0.95860000000000001</v>
      </c>
      <c r="J144">
        <f>0.0979402809691986*(100)</f>
        <v>9.7940280969198596</v>
      </c>
      <c r="K144">
        <f>-0.0323*(100)</f>
        <v>-3.2300000000000004</v>
      </c>
      <c r="L144" s="2">
        <v>1.5558000000000001</v>
      </c>
      <c r="M144" s="2">
        <v>0.67579999999999996</v>
      </c>
      <c r="N144" s="2">
        <v>77.4285</v>
      </c>
      <c r="O144" s="2">
        <v>0.52980000000000005</v>
      </c>
      <c r="P144" s="2">
        <v>5.3056999999999999</v>
      </c>
      <c r="Q144" s="2">
        <v>-6.7465999999999999</v>
      </c>
      <c r="R144" s="2">
        <v>-45.945769282930193</v>
      </c>
      <c r="S144" s="2">
        <v>26.9069</v>
      </c>
      <c r="T144" s="2">
        <v>2.1162999999999998</v>
      </c>
      <c r="U144" s="2">
        <v>71.644099999999995</v>
      </c>
      <c r="V144" s="2">
        <v>26.003646481343225</v>
      </c>
      <c r="W144" s="2">
        <v>44.712138555939866</v>
      </c>
      <c r="X144" s="2">
        <v>69.69</v>
      </c>
      <c r="Y144" s="2">
        <v>-4.88</v>
      </c>
      <c r="Z144" s="4">
        <v>6.6000000000000005</v>
      </c>
      <c r="AA144" s="4">
        <v>8.1</v>
      </c>
      <c r="AB144" s="2">
        <v>2.1</v>
      </c>
      <c r="AC144" s="2">
        <v>12.5</v>
      </c>
      <c r="AD144" s="2">
        <v>6.0999999999999943</v>
      </c>
      <c r="AE144" s="2">
        <v>1</v>
      </c>
    </row>
    <row r="145" spans="1:31" x14ac:dyDescent="0.25">
      <c r="A145" s="2" t="s">
        <v>31</v>
      </c>
      <c r="B145" s="2">
        <v>2018</v>
      </c>
      <c r="C145" s="2" t="s">
        <v>184</v>
      </c>
      <c r="D145" s="2" t="s">
        <v>295</v>
      </c>
      <c r="E145" s="2">
        <v>7.9583000000000004</v>
      </c>
      <c r="F145" s="2">
        <v>16.012499999999999</v>
      </c>
      <c r="G145" s="2">
        <v>29.2286</v>
      </c>
      <c r="H145" s="2">
        <v>1.1906000000000001</v>
      </c>
      <c r="I145" s="2">
        <v>0.60460000000000003</v>
      </c>
      <c r="J145">
        <f>0.296876152130889*(100)</f>
        <v>29.687615213088904</v>
      </c>
      <c r="K145">
        <f>-0.1292*(100)</f>
        <v>-12.920000000000002</v>
      </c>
      <c r="L145" s="2">
        <v>0.46650000000000003</v>
      </c>
      <c r="M145" s="2">
        <v>0.52449999999999997</v>
      </c>
      <c r="N145" s="2">
        <v>18.3415</v>
      </c>
      <c r="O145" s="2">
        <v>0.19139999999999999</v>
      </c>
      <c r="P145" s="2">
        <v>15.628399999999999</v>
      </c>
      <c r="Q145" s="2">
        <v>-25.779599999999999</v>
      </c>
      <c r="R145" s="2">
        <v>-18.013857224751732</v>
      </c>
      <c r="S145" s="2">
        <v>6.9457000000000004</v>
      </c>
      <c r="T145" s="2">
        <v>20.112500000000001</v>
      </c>
      <c r="U145" s="2">
        <v>67.391400000000004</v>
      </c>
      <c r="V145" s="2">
        <v>37.695774837470253</v>
      </c>
      <c r="W145" s="2">
        <v>32.637975810437425</v>
      </c>
      <c r="X145" s="2">
        <v>88.53</v>
      </c>
      <c r="Y145" s="2">
        <v>-47.03</v>
      </c>
      <c r="Z145" s="4">
        <v>6.6000000000000005</v>
      </c>
      <c r="AA145" s="4">
        <v>8.1</v>
      </c>
      <c r="AB145" s="2">
        <v>2.1</v>
      </c>
      <c r="AC145" s="2">
        <v>12.5</v>
      </c>
      <c r="AD145" s="2">
        <v>3.5</v>
      </c>
      <c r="AE145" s="2">
        <v>1</v>
      </c>
    </row>
    <row r="146" spans="1:31" x14ac:dyDescent="0.25">
      <c r="A146" s="2" t="s">
        <v>143</v>
      </c>
      <c r="B146" s="2">
        <v>2018</v>
      </c>
      <c r="C146" s="2" t="s">
        <v>271</v>
      </c>
      <c r="D146" s="2" t="s">
        <v>298</v>
      </c>
      <c r="E146" s="2">
        <v>5.9150999999999998</v>
      </c>
      <c r="F146" s="2">
        <v>9.6293000000000006</v>
      </c>
      <c r="G146" s="2">
        <v>9.8480000000000008</v>
      </c>
      <c r="H146" s="2">
        <v>1.8727</v>
      </c>
      <c r="I146" s="2">
        <v>0.98050000000000004</v>
      </c>
      <c r="J146">
        <f>0.192391281197091*(100)</f>
        <v>19.2391281197091</v>
      </c>
      <c r="K146">
        <f>0.0529*(100)</f>
        <v>5.29</v>
      </c>
      <c r="L146" s="2">
        <v>1.9135</v>
      </c>
      <c r="M146" s="2">
        <v>1.101</v>
      </c>
      <c r="N146" s="2">
        <v>6.6303999999999998</v>
      </c>
      <c r="O146" s="2">
        <v>0.45839999999999997</v>
      </c>
      <c r="P146" s="2">
        <v>8.0161999999999995</v>
      </c>
      <c r="Q146" s="2">
        <v>5.9791999999999996</v>
      </c>
      <c r="R146" s="2">
        <v>73.229690755552483</v>
      </c>
      <c r="S146" s="2">
        <v>18.843699999999998</v>
      </c>
      <c r="T146" s="2">
        <v>17.5688</v>
      </c>
      <c r="U146" s="2">
        <v>47.5685</v>
      </c>
      <c r="V146" s="2">
        <v>24.227074649431284</v>
      </c>
      <c r="W146" s="2">
        <v>7.1131891175263275</v>
      </c>
      <c r="X146" s="2">
        <v>123.33</v>
      </c>
      <c r="Y146" s="2">
        <v>5.9499999999999993</v>
      </c>
      <c r="Z146" s="4">
        <v>6.6000000000000005</v>
      </c>
      <c r="AA146" s="4">
        <v>8.1</v>
      </c>
      <c r="AB146" s="2">
        <v>2.1</v>
      </c>
      <c r="AC146" s="2">
        <v>12.5</v>
      </c>
      <c r="AD146" s="2">
        <v>6.0999999999999943</v>
      </c>
      <c r="AE146" s="2">
        <v>1</v>
      </c>
    </row>
    <row r="147" spans="1:31" x14ac:dyDescent="0.25">
      <c r="A147" s="2" t="s">
        <v>150</v>
      </c>
      <c r="B147" s="2">
        <v>2018</v>
      </c>
      <c r="C147" s="2" t="s">
        <v>276</v>
      </c>
      <c r="D147" s="2" t="s">
        <v>324</v>
      </c>
      <c r="E147" s="2">
        <v>7.7950999999999997</v>
      </c>
      <c r="F147" s="2">
        <v>13.622400000000001</v>
      </c>
      <c r="G147" s="2">
        <v>14.1754</v>
      </c>
      <c r="H147" s="2">
        <v>1.841</v>
      </c>
      <c r="I147" s="2">
        <v>1.3651</v>
      </c>
      <c r="J147">
        <f>0.16050028460201*(100)</f>
        <v>16.050028460200998</v>
      </c>
      <c r="K147">
        <f>-0.3127*(100)</f>
        <v>-31.269999999999996</v>
      </c>
      <c r="L147" s="2">
        <v>1.4416</v>
      </c>
      <c r="M147" s="2">
        <v>0.52300000000000002</v>
      </c>
      <c r="N147" s="2">
        <v>16.1249</v>
      </c>
      <c r="O147" s="2">
        <v>0.4622</v>
      </c>
      <c r="P147" s="2">
        <v>1.8158000000000001</v>
      </c>
      <c r="Q147" s="2">
        <v>-10.1022</v>
      </c>
      <c r="R147" s="2">
        <v>-49.944835331473882</v>
      </c>
      <c r="S147" s="2">
        <v>41.5749</v>
      </c>
      <c r="T147" s="2">
        <v>10.271100000000001</v>
      </c>
      <c r="U147" s="2">
        <v>60.9803</v>
      </c>
      <c r="V147" s="2">
        <v>12.074639854936583</v>
      </c>
      <c r="W147" s="2">
        <v>18.875200512636784</v>
      </c>
      <c r="X147" s="2">
        <v>43.39</v>
      </c>
      <c r="Y147" s="2">
        <v>-48.35</v>
      </c>
      <c r="Z147" s="4">
        <v>6.6000000000000005</v>
      </c>
      <c r="AA147" s="4">
        <v>8.1</v>
      </c>
      <c r="AB147" s="2">
        <v>2.1</v>
      </c>
      <c r="AC147" s="2">
        <v>12.5</v>
      </c>
      <c r="AD147" s="2">
        <v>6.0999999999999943</v>
      </c>
      <c r="AE147" s="2">
        <v>1</v>
      </c>
    </row>
    <row r="148" spans="1:31" x14ac:dyDescent="0.25">
      <c r="A148" s="2" t="s">
        <v>148</v>
      </c>
      <c r="B148" s="2">
        <v>2018</v>
      </c>
      <c r="C148" s="2" t="s">
        <v>274</v>
      </c>
      <c r="D148" s="2" t="s">
        <v>332</v>
      </c>
      <c r="E148" s="2">
        <v>-66.582599999999999</v>
      </c>
      <c r="F148" s="2">
        <v>-254.91069999999999</v>
      </c>
      <c r="G148" s="2">
        <v>-245.32490000000001</v>
      </c>
      <c r="H148" s="2">
        <v>0.54600000000000004</v>
      </c>
      <c r="I148" s="2">
        <v>0.50090000000000001</v>
      </c>
      <c r="J148">
        <f>0.0589965089512063*(100)</f>
        <v>5.8996508951206295</v>
      </c>
      <c r="K148">
        <f>-0.1422*(100)</f>
        <v>-14.219999999999999</v>
      </c>
      <c r="L148" s="2">
        <v>12.146000000000001</v>
      </c>
      <c r="M148" s="2">
        <v>0.59670000000000001</v>
      </c>
      <c r="N148" s="2">
        <v>8.4116999999999997</v>
      </c>
      <c r="O148" s="2">
        <v>0.28310000000000002</v>
      </c>
      <c r="P148" s="2">
        <v>1.1423000000000001</v>
      </c>
      <c r="Q148" s="2">
        <v>-67.995800000000003</v>
      </c>
      <c r="R148" s="2">
        <v>-8095.0929767220796</v>
      </c>
      <c r="S148" s="2">
        <v>-44.4756</v>
      </c>
      <c r="T148" s="2">
        <v>-93.516400000000004</v>
      </c>
      <c r="U148" s="2">
        <v>103.7239</v>
      </c>
      <c r="V148" s="2">
        <v>22.739786578775234</v>
      </c>
      <c r="W148" s="2">
        <v>1.2123104358430918</v>
      </c>
      <c r="X148" s="2">
        <v>77.63</v>
      </c>
      <c r="Y148" s="2">
        <v>-37.590000000000003</v>
      </c>
      <c r="Z148" s="4">
        <v>6.6000000000000005</v>
      </c>
      <c r="AA148" s="4">
        <v>8.1</v>
      </c>
      <c r="AB148" s="2">
        <v>2.1</v>
      </c>
      <c r="AC148" s="2">
        <v>12.5</v>
      </c>
      <c r="AD148" s="2">
        <v>6.0999999999999943</v>
      </c>
      <c r="AE148" s="2">
        <v>1</v>
      </c>
    </row>
    <row r="149" spans="1:31" x14ac:dyDescent="0.25">
      <c r="A149" s="2" t="s">
        <v>100</v>
      </c>
      <c r="B149" s="2">
        <v>2018</v>
      </c>
      <c r="C149" s="2" t="s">
        <v>239</v>
      </c>
      <c r="D149" s="2" t="s">
        <v>331</v>
      </c>
      <c r="E149" s="2">
        <v>6.4969000000000001</v>
      </c>
      <c r="F149" s="2">
        <v>7.0979999999999999</v>
      </c>
      <c r="G149" s="2">
        <v>13.7737</v>
      </c>
      <c r="H149" s="2">
        <v>1.0124</v>
      </c>
      <c r="I149" s="2">
        <v>0.98209999999999997</v>
      </c>
      <c r="J149">
        <f>0.424455881589292*(100)</f>
        <v>42.445588158929198</v>
      </c>
      <c r="K149">
        <f>0.0649*(100)</f>
        <v>6.49</v>
      </c>
      <c r="L149" s="2">
        <v>14.0093</v>
      </c>
      <c r="M149" s="2">
        <v>0.69550000000000001</v>
      </c>
      <c r="N149" s="2">
        <v>2.4861</v>
      </c>
      <c r="O149" s="2">
        <v>0.32450000000000001</v>
      </c>
      <c r="P149" s="2">
        <v>4.3703000000000003</v>
      </c>
      <c r="Q149" s="2">
        <v>236.6849</v>
      </c>
      <c r="R149" s="2">
        <v>12059.697742739951</v>
      </c>
      <c r="S149" s="2">
        <v>129.5093</v>
      </c>
      <c r="T149" s="2">
        <v>17.9621</v>
      </c>
      <c r="U149" s="2">
        <v>54.199199999999998</v>
      </c>
      <c r="V149" s="2">
        <v>17.904636365470157</v>
      </c>
      <c r="W149" s="2">
        <v>1.6898060200147009</v>
      </c>
      <c r="X149" s="2">
        <v>118.62</v>
      </c>
      <c r="Y149" s="2">
        <v>15.11</v>
      </c>
      <c r="Z149" s="4">
        <v>6.6000000000000005</v>
      </c>
      <c r="AA149" s="4">
        <v>8.1</v>
      </c>
      <c r="AB149" s="2">
        <v>2.1</v>
      </c>
      <c r="AC149" s="2">
        <v>12.5</v>
      </c>
      <c r="AD149" s="2">
        <v>6.0999999999999943</v>
      </c>
      <c r="AE149" s="2">
        <v>1</v>
      </c>
    </row>
    <row r="150" spans="1:31" x14ac:dyDescent="0.25">
      <c r="A150" s="2" t="s">
        <v>98</v>
      </c>
      <c r="B150" s="2">
        <v>2018</v>
      </c>
      <c r="C150" s="2" t="s">
        <v>237</v>
      </c>
      <c r="D150" s="2" t="s">
        <v>310</v>
      </c>
      <c r="E150" s="2">
        <v>-0.56669999999999998</v>
      </c>
      <c r="F150" s="2">
        <v>-108.2542</v>
      </c>
      <c r="G150" s="2">
        <v>-18.3386</v>
      </c>
      <c r="H150" s="2">
        <v>1.2814000000000001</v>
      </c>
      <c r="I150" s="2">
        <v>0.92730000000000001</v>
      </c>
      <c r="J150">
        <f>0.0719125006231438*(100)</f>
        <v>7.1912500623143805</v>
      </c>
      <c r="K150">
        <f>-0.1067*(100)</f>
        <v>-10.67</v>
      </c>
      <c r="L150" s="2">
        <v>0.60289999999999999</v>
      </c>
      <c r="M150" s="2">
        <v>0.27110000000000001</v>
      </c>
      <c r="N150" s="2">
        <v>7.6504000000000003</v>
      </c>
      <c r="O150" s="2">
        <v>0.23130000000000001</v>
      </c>
      <c r="P150" s="2">
        <v>1.7217</v>
      </c>
      <c r="Q150" s="2">
        <v>5.4295999999999998</v>
      </c>
      <c r="R150" s="2">
        <v>-456.64534144315149</v>
      </c>
      <c r="S150" s="2">
        <v>29.290199999999999</v>
      </c>
      <c r="T150" s="2">
        <v>-69.228700000000003</v>
      </c>
      <c r="U150" s="2">
        <v>88.291899999999998</v>
      </c>
      <c r="V150" s="2">
        <v>22.013803300113231</v>
      </c>
      <c r="W150" s="2">
        <v>1.0151683821682802</v>
      </c>
      <c r="X150" s="2">
        <v>70.8</v>
      </c>
      <c r="Y150" s="2">
        <v>-45.93</v>
      </c>
      <c r="Z150" s="4">
        <v>6.6000000000000005</v>
      </c>
      <c r="AA150" s="4">
        <v>8.1</v>
      </c>
      <c r="AB150" s="2">
        <v>2.1</v>
      </c>
      <c r="AC150" s="2">
        <v>12.5</v>
      </c>
      <c r="AD150" s="2">
        <v>6.0999999999999943</v>
      </c>
      <c r="AE150" s="2">
        <v>1</v>
      </c>
    </row>
    <row r="151" spans="1:31" x14ac:dyDescent="0.25">
      <c r="A151" s="2" t="s">
        <v>136</v>
      </c>
      <c r="B151" s="2">
        <v>2018</v>
      </c>
      <c r="C151" s="2" t="s">
        <v>267</v>
      </c>
      <c r="D151" s="2" t="s">
        <v>310</v>
      </c>
      <c r="E151" s="2">
        <v>-8.2726000000000006</v>
      </c>
      <c r="F151" s="2">
        <v>-29.291599999999999</v>
      </c>
      <c r="G151" s="2">
        <v>-80.074299999999994</v>
      </c>
      <c r="H151" s="2">
        <v>1.2083999999999999</v>
      </c>
      <c r="I151" s="2">
        <v>1.0539000000000001</v>
      </c>
      <c r="J151">
        <f>0.268945448725129*(100)</f>
        <v>26.894544872512899</v>
      </c>
      <c r="K151">
        <f>-0.2168*(100)</f>
        <v>-21.68</v>
      </c>
      <c r="L151" s="2">
        <v>1.3717999999999999</v>
      </c>
      <c r="M151" s="2">
        <v>0.20949999999999999</v>
      </c>
      <c r="N151" s="2">
        <v>1.8884000000000001</v>
      </c>
      <c r="O151" s="2">
        <v>0.10589999999999999</v>
      </c>
      <c r="P151" s="2">
        <v>1.1627000000000001</v>
      </c>
      <c r="Q151" s="2">
        <v>-13.646800000000001</v>
      </c>
      <c r="R151" s="2">
        <v>-1207.7132009689531</v>
      </c>
      <c r="S151" s="2">
        <v>13.164099999999999</v>
      </c>
      <c r="T151" s="2">
        <v>-26.066099999999999</v>
      </c>
      <c r="U151" s="2">
        <v>71.4011</v>
      </c>
      <c r="V151" s="2">
        <v>28.957704183563969</v>
      </c>
      <c r="W151" s="2">
        <v>5.3470581418783159</v>
      </c>
      <c r="X151" s="2">
        <v>39.68</v>
      </c>
      <c r="Y151" s="2">
        <v>-155.16999999999999</v>
      </c>
      <c r="Z151" s="4">
        <v>6.6000000000000005</v>
      </c>
      <c r="AA151" s="4">
        <v>8.1</v>
      </c>
      <c r="AB151" s="2">
        <v>2.1</v>
      </c>
      <c r="AC151" s="2">
        <v>12.5</v>
      </c>
      <c r="AD151" s="2">
        <v>6.0999999999999943</v>
      </c>
      <c r="AE151" s="2">
        <v>1</v>
      </c>
    </row>
    <row r="152" spans="1:31" x14ac:dyDescent="0.25">
      <c r="A152" s="2" t="s">
        <v>97</v>
      </c>
      <c r="B152" s="2">
        <v>2018</v>
      </c>
      <c r="C152" s="2" t="s">
        <v>236</v>
      </c>
      <c r="D152" s="2" t="s">
        <v>330</v>
      </c>
      <c r="E152" s="2">
        <v>-2.6425000000000001</v>
      </c>
      <c r="F152" s="2">
        <v>-22.7514</v>
      </c>
      <c r="G152" s="2">
        <v>-40.138599999999997</v>
      </c>
      <c r="H152" s="2">
        <v>0.76939999999999997</v>
      </c>
      <c r="I152" s="2">
        <v>0.57699999999999996</v>
      </c>
      <c r="J152">
        <f>0.171009596810001*(100)</f>
        <v>17.100959681000099</v>
      </c>
      <c r="K152">
        <f>0.0158*(100)</f>
        <v>1.58</v>
      </c>
      <c r="L152" s="2">
        <v>1.1314</v>
      </c>
      <c r="M152" s="2">
        <v>0.38080000000000003</v>
      </c>
      <c r="N152" s="2">
        <v>0.40539999999999998</v>
      </c>
      <c r="O152" s="2">
        <v>0.13650000000000001</v>
      </c>
      <c r="P152" s="2">
        <v>2.3698000000000001</v>
      </c>
      <c r="Q152" s="2">
        <v>8.8993000000000002</v>
      </c>
      <c r="R152" s="2">
        <v>-3954.286293090096</v>
      </c>
      <c r="S152" s="2">
        <v>-7.8777999999999997</v>
      </c>
      <c r="T152" s="2">
        <v>-20.063400000000001</v>
      </c>
      <c r="U152" s="2">
        <v>72.359399999999994</v>
      </c>
      <c r="V152" s="2">
        <v>30.719220220765063</v>
      </c>
      <c r="W152" s="2">
        <v>0.67472955311812</v>
      </c>
      <c r="X152" s="2">
        <v>105.43</v>
      </c>
      <c r="Y152" s="2">
        <v>8.08</v>
      </c>
      <c r="Z152" s="4">
        <v>6.6000000000000005</v>
      </c>
      <c r="AA152" s="4">
        <v>8.1</v>
      </c>
      <c r="AB152" s="2">
        <v>2.1</v>
      </c>
      <c r="AC152" s="2">
        <v>12.5</v>
      </c>
      <c r="AD152" s="2">
        <v>6.0999999999999943</v>
      </c>
      <c r="AE152" s="2">
        <v>1</v>
      </c>
    </row>
    <row r="153" spans="1:31" x14ac:dyDescent="0.25">
      <c r="A153" s="2" t="s">
        <v>52</v>
      </c>
      <c r="B153" s="2">
        <v>2018</v>
      </c>
      <c r="C153" s="2" t="s">
        <v>203</v>
      </c>
      <c r="D153" s="2" t="s">
        <v>311</v>
      </c>
      <c r="E153" s="2">
        <v>-5.5101000000000004</v>
      </c>
      <c r="F153" s="2">
        <v>-100.8511</v>
      </c>
      <c r="G153" s="2">
        <v>-83.799099999999996</v>
      </c>
      <c r="H153" s="2">
        <v>0.74329999999999996</v>
      </c>
      <c r="I153" s="2">
        <v>0.62609999999999999</v>
      </c>
      <c r="J153">
        <f>0.155910849125143*(100)</f>
        <v>15.591084912514299</v>
      </c>
      <c r="K153">
        <f>0.0254*(100)</f>
        <v>2.54</v>
      </c>
      <c r="L153" s="2">
        <v>1.1592</v>
      </c>
      <c r="M153" s="2">
        <v>0.23549999999999999</v>
      </c>
      <c r="N153" s="2">
        <v>0.41739999999999999</v>
      </c>
      <c r="O153" s="2">
        <v>0.1089</v>
      </c>
      <c r="P153" s="2">
        <v>1.1899</v>
      </c>
      <c r="Q153" s="2">
        <v>-5.3230000000000004</v>
      </c>
      <c r="R153" s="2">
        <v>-557.67639819182182</v>
      </c>
      <c r="S153" s="2">
        <v>-13.8178</v>
      </c>
      <c r="T153" s="2">
        <v>-141.1028</v>
      </c>
      <c r="U153" s="2">
        <v>86.921400000000006</v>
      </c>
      <c r="V153" s="2">
        <v>32.513139663760057</v>
      </c>
      <c r="W153" s="2">
        <v>-9.6604541302691527E-2</v>
      </c>
      <c r="X153" s="2">
        <v>143.75</v>
      </c>
      <c r="Y153" s="2">
        <v>18.89</v>
      </c>
      <c r="Z153" s="4">
        <v>6.6000000000000005</v>
      </c>
      <c r="AA153" s="4">
        <v>8.1</v>
      </c>
      <c r="AB153" s="2">
        <v>2.1</v>
      </c>
      <c r="AC153" s="2">
        <v>12.5</v>
      </c>
      <c r="AD153" s="2">
        <v>4.7999999999999972</v>
      </c>
      <c r="AE153" s="2">
        <v>1</v>
      </c>
    </row>
    <row r="154" spans="1:31" x14ac:dyDescent="0.25">
      <c r="A154" s="2" t="s">
        <v>129</v>
      </c>
      <c r="B154" s="2">
        <v>2018</v>
      </c>
      <c r="C154" s="2" t="s">
        <v>265</v>
      </c>
      <c r="D154" s="2" t="s">
        <v>295</v>
      </c>
      <c r="E154" s="2">
        <v>-2.9228000000000001</v>
      </c>
      <c r="F154" s="2">
        <v>-29.3</v>
      </c>
      <c r="G154" s="2">
        <v>-252.9813</v>
      </c>
      <c r="H154" s="2">
        <v>2.0181</v>
      </c>
      <c r="I154" s="2">
        <v>0.62660000000000005</v>
      </c>
      <c r="J154">
        <f>0.0744653479888129*(100)</f>
        <v>7.4465347988812898</v>
      </c>
      <c r="K154">
        <f>-0.0565*(100)</f>
        <v>-5.65</v>
      </c>
      <c r="L154" s="2">
        <v>5.33E-2</v>
      </c>
      <c r="M154" s="2">
        <v>3.0800000000000001E-2</v>
      </c>
      <c r="N154" s="2">
        <v>1.7252000000000001</v>
      </c>
      <c r="O154" s="2">
        <v>2.5899999999999999E-2</v>
      </c>
      <c r="P154" s="2">
        <v>1.3252999999999999</v>
      </c>
      <c r="Q154" s="2">
        <v>-77.178200000000004</v>
      </c>
      <c r="R154" s="2">
        <v>-1834.450134260891</v>
      </c>
      <c r="S154" s="2">
        <v>35.848100000000002</v>
      </c>
      <c r="T154" s="2">
        <v>-25.364999999999998</v>
      </c>
      <c r="U154" s="2">
        <v>81.255700000000004</v>
      </c>
      <c r="V154" s="2">
        <v>41.300482185638501</v>
      </c>
      <c r="W154" s="2">
        <v>11.063368546126569</v>
      </c>
      <c r="X154" s="2">
        <v>208.47</v>
      </c>
      <c r="Y154" s="2">
        <v>-204.21</v>
      </c>
      <c r="Z154" s="4">
        <v>6.6000000000000005</v>
      </c>
      <c r="AA154" s="4">
        <v>8.1</v>
      </c>
      <c r="AB154" s="2">
        <v>2.1</v>
      </c>
      <c r="AC154" s="2">
        <v>12.5</v>
      </c>
      <c r="AD154" s="2">
        <v>3.5</v>
      </c>
      <c r="AE154" s="2">
        <v>1</v>
      </c>
    </row>
    <row r="155" spans="1:31" x14ac:dyDescent="0.25">
      <c r="A155" s="2" t="s">
        <v>131</v>
      </c>
      <c r="B155" s="2">
        <v>2018</v>
      </c>
      <c r="C155" s="2" t="s">
        <v>254</v>
      </c>
      <c r="D155" s="2" t="s">
        <v>336</v>
      </c>
      <c r="E155" s="2">
        <v>5.9063999999999997</v>
      </c>
      <c r="F155" s="2">
        <v>13.5565</v>
      </c>
      <c r="G155" s="2">
        <v>13.691000000000001</v>
      </c>
      <c r="H155" s="2">
        <v>1.6908000000000001</v>
      </c>
      <c r="I155" s="2">
        <v>0.83</v>
      </c>
      <c r="J155">
        <f>0.266098856024868*(100)</f>
        <v>26.609885602486798</v>
      </c>
      <c r="K155">
        <f>0.0457*(100)</f>
        <v>4.5699999999999994</v>
      </c>
      <c r="L155" s="2">
        <v>0.62060000000000004</v>
      </c>
      <c r="M155" s="2">
        <v>0.52849999999999997</v>
      </c>
      <c r="N155" s="2">
        <v>5.9980000000000002</v>
      </c>
      <c r="O155" s="2">
        <v>0.36749999999999999</v>
      </c>
      <c r="P155" s="2">
        <v>8.7050000000000001</v>
      </c>
      <c r="Q155" s="2">
        <v>29.1038</v>
      </c>
      <c r="R155" s="2">
        <v>88.473476955079192</v>
      </c>
      <c r="S155" s="2">
        <v>19.875499999999999</v>
      </c>
      <c r="T155" s="2">
        <v>39.388100000000001</v>
      </c>
      <c r="U155" s="2">
        <v>57.8371</v>
      </c>
      <c r="V155" s="2">
        <v>21.836536771777951</v>
      </c>
      <c r="W155" s="2">
        <v>5.8667980558593396</v>
      </c>
      <c r="X155" s="2">
        <v>113.22</v>
      </c>
      <c r="Y155" s="2">
        <v>9.1300000000000008</v>
      </c>
      <c r="Z155" s="4">
        <v>6.6000000000000005</v>
      </c>
      <c r="AA155" s="4">
        <v>8.1</v>
      </c>
      <c r="AB155" s="2">
        <v>2.1</v>
      </c>
      <c r="AC155" s="2">
        <v>12.5</v>
      </c>
      <c r="AD155" s="2">
        <v>6.7000000000000028</v>
      </c>
      <c r="AE155" s="2">
        <v>1</v>
      </c>
    </row>
    <row r="156" spans="1:31" x14ac:dyDescent="0.25">
      <c r="A156" s="2" t="s">
        <v>146</v>
      </c>
      <c r="B156" s="2">
        <v>2018</v>
      </c>
      <c r="C156" s="2" t="s">
        <v>264</v>
      </c>
      <c r="D156" s="2" t="s">
        <v>341</v>
      </c>
      <c r="E156" s="2">
        <v>5.7760999999999996</v>
      </c>
      <c r="F156" s="2">
        <v>5.9481000000000002</v>
      </c>
      <c r="G156" s="2">
        <v>12.323</v>
      </c>
      <c r="H156" s="2">
        <v>0.45650000000000002</v>
      </c>
      <c r="I156" s="2">
        <v>0.441</v>
      </c>
      <c r="J156">
        <f>0.178100036537023*(100)</f>
        <v>17.810003653702299</v>
      </c>
      <c r="K156">
        <f>0.0791*(100)</f>
        <v>7.91</v>
      </c>
      <c r="L156" s="2">
        <v>40.170400000000001</v>
      </c>
      <c r="M156" s="2">
        <v>1.5860000000000001</v>
      </c>
      <c r="N156" s="2">
        <v>0.62539999999999996</v>
      </c>
      <c r="O156" s="2">
        <v>0.29570000000000002</v>
      </c>
      <c r="P156" s="2">
        <v>5.9067999999999996</v>
      </c>
      <c r="Q156" s="2">
        <v>52.3474</v>
      </c>
      <c r="R156" s="2">
        <v>35.627395655266412</v>
      </c>
      <c r="S156" s="2">
        <v>9.3553999999999995</v>
      </c>
      <c r="T156" s="2">
        <v>4.7416999999999998</v>
      </c>
      <c r="U156" s="2">
        <v>65.477999999999994</v>
      </c>
      <c r="V156" s="2">
        <v>25.994899377646917</v>
      </c>
      <c r="W156" s="2">
        <v>0.62098610191795434</v>
      </c>
      <c r="X156" s="2">
        <v>105.76</v>
      </c>
      <c r="Y156" s="2">
        <v>18.29</v>
      </c>
      <c r="Z156" s="4">
        <v>6.6000000000000005</v>
      </c>
      <c r="AA156" s="4">
        <v>8.1</v>
      </c>
      <c r="AB156" s="2">
        <v>2.1</v>
      </c>
      <c r="AC156" s="2">
        <v>12.5</v>
      </c>
      <c r="AD156" s="2">
        <v>6.0999999999999943</v>
      </c>
      <c r="AE156" s="2">
        <v>1</v>
      </c>
    </row>
    <row r="157" spans="1:31" x14ac:dyDescent="0.25">
      <c r="A157" s="2" t="s">
        <v>114</v>
      </c>
      <c r="B157" s="2">
        <v>2018</v>
      </c>
      <c r="C157" s="2" t="s">
        <v>251</v>
      </c>
      <c r="D157" s="2" t="s">
        <v>323</v>
      </c>
      <c r="E157" s="2">
        <v>6.4554</v>
      </c>
      <c r="F157" s="2">
        <v>8.3306000000000004</v>
      </c>
      <c r="G157" s="2">
        <v>21.038399999999999</v>
      </c>
      <c r="H157" s="2">
        <v>0.18140000000000001</v>
      </c>
      <c r="I157" s="2">
        <v>0.13639999999999999</v>
      </c>
      <c r="J157">
        <f>0.0424796541087739*(100)</f>
        <v>4.2479654108773897</v>
      </c>
      <c r="K157">
        <f>0.1772*(100)</f>
        <v>17.72</v>
      </c>
      <c r="L157" s="2">
        <v>9.0312999999999999</v>
      </c>
      <c r="M157" s="2">
        <v>2.7109999999999999</v>
      </c>
      <c r="N157" s="2">
        <v>0.51729999999999998</v>
      </c>
      <c r="O157" s="2">
        <v>0.222</v>
      </c>
      <c r="P157" s="2">
        <v>23.483599999999999</v>
      </c>
      <c r="Q157" s="2">
        <v>18.503699999999998</v>
      </c>
      <c r="R157" s="2">
        <v>-4.9309205461011159</v>
      </c>
      <c r="S157" s="2">
        <v>25.939900000000002</v>
      </c>
      <c r="T157" s="2">
        <v>75.096599999999995</v>
      </c>
      <c r="U157" s="2">
        <v>47.4955</v>
      </c>
      <c r="V157" s="2">
        <v>13.583404373278226</v>
      </c>
      <c r="W157" s="2">
        <v>0.98638140862004919</v>
      </c>
      <c r="X157" s="2">
        <v>111.31</v>
      </c>
      <c r="Y157" s="2">
        <v>42.27</v>
      </c>
      <c r="Z157" s="4">
        <v>6.6000000000000005</v>
      </c>
      <c r="AA157" s="4">
        <v>8.1</v>
      </c>
      <c r="AB157" s="2">
        <v>2.1</v>
      </c>
      <c r="AC157" s="2">
        <v>12.5</v>
      </c>
      <c r="AD157" s="2">
        <v>6.0999999999999943</v>
      </c>
      <c r="AE157" s="2">
        <v>1</v>
      </c>
    </row>
    <row r="158" spans="1:31" x14ac:dyDescent="0.25">
      <c r="A158" s="2" t="s">
        <v>137</v>
      </c>
      <c r="B158" s="2">
        <v>2018</v>
      </c>
      <c r="C158" s="2" t="s">
        <v>268</v>
      </c>
      <c r="D158" s="2" t="s">
        <v>297</v>
      </c>
      <c r="E158" s="2">
        <v>6.7938000000000001</v>
      </c>
      <c r="F158" s="2">
        <v>5.6746999999999996</v>
      </c>
      <c r="G158" s="2">
        <v>4.1710000000000003</v>
      </c>
      <c r="H158" s="2">
        <v>2.7507000000000001</v>
      </c>
      <c r="I158" s="2">
        <v>2.0274000000000001</v>
      </c>
      <c r="J158">
        <f>0.504715306432398*(100)</f>
        <v>50.471530643239802</v>
      </c>
      <c r="K158">
        <f>-0.4033*(100)</f>
        <v>-40.33</v>
      </c>
      <c r="L158" s="2">
        <v>4.5361000000000002</v>
      </c>
      <c r="M158" s="2">
        <v>1.1781999999999999</v>
      </c>
      <c r="N158" s="2">
        <v>7.1772</v>
      </c>
      <c r="O158" s="2">
        <v>0.99580000000000002</v>
      </c>
      <c r="P158" s="2">
        <v>5.2984999999999998</v>
      </c>
      <c r="Q158" s="2">
        <v>2.1307</v>
      </c>
      <c r="R158" s="2">
        <v>-62.129772738557151</v>
      </c>
      <c r="S158" s="2">
        <v>6.5145999999999997</v>
      </c>
      <c r="T158" s="2">
        <v>5.8220000000000001</v>
      </c>
      <c r="U158" s="2">
        <v>46.335000000000001</v>
      </c>
      <c r="V158" s="2">
        <v>15.506248884007642</v>
      </c>
      <c r="W158" s="2">
        <v>3.0125900792153701</v>
      </c>
      <c r="X158" s="2">
        <v>117.82</v>
      </c>
      <c r="Y158" s="2">
        <v>-19.36</v>
      </c>
      <c r="Z158" s="4">
        <v>6.6000000000000005</v>
      </c>
      <c r="AA158" s="4">
        <v>8.1</v>
      </c>
      <c r="AB158" s="2">
        <v>2.1</v>
      </c>
      <c r="AC158" s="2">
        <v>12.5</v>
      </c>
      <c r="AD158" s="2">
        <v>6.0999999999999943</v>
      </c>
      <c r="AE158" s="2">
        <v>1</v>
      </c>
    </row>
    <row r="159" spans="1:31" x14ac:dyDescent="0.25">
      <c r="A159" s="2" t="s">
        <v>149</v>
      </c>
      <c r="B159" s="2">
        <v>2018</v>
      </c>
      <c r="C159" s="2" t="s">
        <v>275</v>
      </c>
      <c r="D159" s="2" t="s">
        <v>297</v>
      </c>
      <c r="E159" s="2">
        <v>4.1475</v>
      </c>
      <c r="F159" s="2">
        <v>-45.003829500000023</v>
      </c>
      <c r="G159" s="2">
        <v>4.4806999999999997</v>
      </c>
      <c r="H159" s="2">
        <v>0.5504</v>
      </c>
      <c r="I159" s="2">
        <v>0.53769999999999996</v>
      </c>
      <c r="J159">
        <f>0.302412843901429*(100)</f>
        <v>30.241284390142898</v>
      </c>
      <c r="K159">
        <f>0.0682*(100)</f>
        <v>6.8199999999999994</v>
      </c>
      <c r="L159" s="2">
        <v>32.752400000000002</v>
      </c>
      <c r="M159" s="2">
        <v>1.1200000000000001</v>
      </c>
      <c r="N159" s="2">
        <v>1.0686</v>
      </c>
      <c r="O159" s="2">
        <v>0.36770000000000003</v>
      </c>
      <c r="P159" s="2">
        <v>47.096499999999999</v>
      </c>
      <c r="Q159" s="2">
        <v>12.016299999999999</v>
      </c>
      <c r="R159" s="2">
        <v>109.7394054799089</v>
      </c>
      <c r="S159" s="2">
        <v>-2.1795</v>
      </c>
      <c r="T159" s="2">
        <v>-219.02090000000001</v>
      </c>
      <c r="U159" s="2">
        <v>73.552899999999994</v>
      </c>
      <c r="V159" s="2">
        <v>13.870704413357734</v>
      </c>
      <c r="W159" s="2">
        <v>-3.0755950555452858E-2</v>
      </c>
      <c r="X159" s="2">
        <v>86.02</v>
      </c>
      <c r="Y159" s="2">
        <v>13.49</v>
      </c>
      <c r="Z159" s="4">
        <v>6.6000000000000005</v>
      </c>
      <c r="AA159" s="4">
        <v>8.1</v>
      </c>
      <c r="AB159" s="2">
        <v>2.1</v>
      </c>
      <c r="AC159" s="2">
        <v>12.5</v>
      </c>
      <c r="AD159" s="2">
        <v>6.0999999999999943</v>
      </c>
      <c r="AE159" s="2">
        <v>1</v>
      </c>
    </row>
    <row r="160" spans="1:31" x14ac:dyDescent="0.25">
      <c r="A160" s="2" t="s">
        <v>145</v>
      </c>
      <c r="B160" s="2">
        <v>2018</v>
      </c>
      <c r="C160" s="2" t="s">
        <v>263</v>
      </c>
      <c r="D160" s="2" t="s">
        <v>340</v>
      </c>
      <c r="E160" s="2">
        <v>21.064900000000002</v>
      </c>
      <c r="F160" s="2">
        <v>29.6021</v>
      </c>
      <c r="G160" s="2">
        <v>34.975999999999999</v>
      </c>
      <c r="H160" s="2">
        <v>3.6922000000000001</v>
      </c>
      <c r="I160" s="2">
        <v>3.2006999999999999</v>
      </c>
      <c r="J160">
        <f>0.675003166067045*(100)</f>
        <v>67.500316606704502</v>
      </c>
      <c r="K160">
        <f>0.2193*(100)</f>
        <v>21.93</v>
      </c>
      <c r="L160" s="2">
        <v>1.9306000000000001</v>
      </c>
      <c r="M160" s="2">
        <v>0.59560000000000002</v>
      </c>
      <c r="N160" s="2">
        <v>128.19550000000001</v>
      </c>
      <c r="O160" s="2">
        <v>0.53010000000000002</v>
      </c>
      <c r="P160" s="2">
        <v>1.1769000000000001</v>
      </c>
      <c r="Q160" s="2">
        <v>-12.688599999999999</v>
      </c>
      <c r="R160" s="2">
        <v>3.2491521825516978</v>
      </c>
      <c r="S160" s="2">
        <v>28.184200000000001</v>
      </c>
      <c r="T160" s="2">
        <v>27.801400000000001</v>
      </c>
      <c r="U160" s="2">
        <v>33.010199999999998</v>
      </c>
      <c r="V160" s="2">
        <v>8.57648194700079</v>
      </c>
      <c r="W160" s="2">
        <v>186.1577035156437</v>
      </c>
      <c r="X160" s="2">
        <v>79.42</v>
      </c>
      <c r="Y160" s="2">
        <v>15.34</v>
      </c>
      <c r="Z160" s="4">
        <v>6.6000000000000005</v>
      </c>
      <c r="AA160" s="4">
        <v>8.1</v>
      </c>
      <c r="AB160" s="2">
        <v>2.1</v>
      </c>
      <c r="AC160" s="2">
        <v>12.5</v>
      </c>
      <c r="AD160" s="2">
        <v>6.7000000000000028</v>
      </c>
      <c r="AE160" s="2">
        <v>1</v>
      </c>
    </row>
    <row r="161" spans="1:31" x14ac:dyDescent="0.25">
      <c r="A161" s="2" t="s">
        <v>130</v>
      </c>
      <c r="B161" s="2">
        <v>2018</v>
      </c>
      <c r="C161" s="2" t="s">
        <v>213</v>
      </c>
      <c r="D161" s="2" t="s">
        <v>318</v>
      </c>
      <c r="E161" s="2">
        <v>4.0251000000000001</v>
      </c>
      <c r="F161" s="2">
        <v>2.5097999999999998</v>
      </c>
      <c r="G161" s="2">
        <v>5.0862999999999996</v>
      </c>
      <c r="H161" s="2">
        <v>0.50960000000000005</v>
      </c>
      <c r="I161" s="2">
        <v>0.495</v>
      </c>
      <c r="J161">
        <f>0.227812947361574*(100)</f>
        <v>22.781294736157403</v>
      </c>
      <c r="K161">
        <f>0.0585*(100)</f>
        <v>5.8500000000000005</v>
      </c>
      <c r="L161" s="2">
        <v>33.234400000000001</v>
      </c>
      <c r="M161" s="2">
        <v>1.2736000000000001</v>
      </c>
      <c r="N161" s="2">
        <v>0.98529999999999995</v>
      </c>
      <c r="O161" s="2">
        <v>0.21809999999999999</v>
      </c>
      <c r="P161" s="2">
        <v>5.9568000000000003</v>
      </c>
      <c r="Q161" s="2">
        <v>63.427900000000001</v>
      </c>
      <c r="R161" s="2">
        <v>13.29593239415448</v>
      </c>
      <c r="S161" s="2">
        <v>9.2346000000000004</v>
      </c>
      <c r="T161" s="2">
        <v>2.8635999999999999</v>
      </c>
      <c r="U161" s="2">
        <v>73.137699999999995</v>
      </c>
      <c r="V161" s="2">
        <v>36.507629267138618</v>
      </c>
      <c r="W161" s="2">
        <v>0.92834043353304352</v>
      </c>
      <c r="X161" s="2">
        <v>107.65</v>
      </c>
      <c r="Y161" s="2">
        <v>20.47</v>
      </c>
      <c r="Z161" s="4">
        <v>6.6000000000000005</v>
      </c>
      <c r="AA161" s="4">
        <v>8.1</v>
      </c>
      <c r="AB161" s="2">
        <v>2.1</v>
      </c>
      <c r="AC161" s="2">
        <v>12.5</v>
      </c>
      <c r="AD161" s="2">
        <v>6.0999999999999943</v>
      </c>
      <c r="AE161" s="2">
        <v>1</v>
      </c>
    </row>
    <row r="162" spans="1:31" x14ac:dyDescent="0.25">
      <c r="A162" s="2" t="s">
        <v>132</v>
      </c>
      <c r="B162" s="2">
        <v>2018</v>
      </c>
      <c r="C162" s="2" t="s">
        <v>197</v>
      </c>
      <c r="D162" s="2" t="s">
        <v>307</v>
      </c>
      <c r="E162" s="2">
        <v>3.71</v>
      </c>
      <c r="F162" s="2">
        <v>0.89810000000000001</v>
      </c>
      <c r="G162" s="2">
        <v>2.8531</v>
      </c>
      <c r="H162" s="2">
        <v>1.2398</v>
      </c>
      <c r="I162" s="2">
        <v>1.0746</v>
      </c>
      <c r="J162">
        <f>0.280815975853386*(100)</f>
        <v>28.081597585338603</v>
      </c>
      <c r="K162">
        <f>0.0046*(100)</f>
        <v>0.45999999999999996</v>
      </c>
      <c r="L162" s="2">
        <v>3.2881999999999998</v>
      </c>
      <c r="M162" s="2">
        <v>0.50749999999999995</v>
      </c>
      <c r="N162" s="2">
        <v>2.2166000000000001</v>
      </c>
      <c r="O162" s="2">
        <v>0.28570000000000001</v>
      </c>
      <c r="P162" s="2">
        <v>13.032999999999999</v>
      </c>
      <c r="Q162" s="2">
        <v>-6.4360999999999997</v>
      </c>
      <c r="R162" s="2">
        <v>-87.037409221275951</v>
      </c>
      <c r="S162" s="2">
        <v>34.1858</v>
      </c>
      <c r="T162" s="2">
        <v>-2.6659999999999999</v>
      </c>
      <c r="U162" s="2">
        <v>71.810900000000004</v>
      </c>
      <c r="V162" s="2">
        <v>29.193994340127656</v>
      </c>
      <c r="W162" s="2">
        <v>1.3718133193396334</v>
      </c>
      <c r="X162" s="2">
        <v>102.33</v>
      </c>
      <c r="Y162" s="2">
        <v>1.34</v>
      </c>
      <c r="Z162" s="4">
        <v>6.6000000000000005</v>
      </c>
      <c r="AA162" s="4">
        <v>8.1</v>
      </c>
      <c r="AB162" s="2">
        <v>2.1</v>
      </c>
      <c r="AC162" s="2">
        <v>12.5</v>
      </c>
      <c r="AD162" s="2">
        <v>6.7000000000000028</v>
      </c>
      <c r="AE162" s="2">
        <v>1</v>
      </c>
    </row>
    <row r="163" spans="1:31" x14ac:dyDescent="0.25">
      <c r="A163" s="2" t="s">
        <v>133</v>
      </c>
      <c r="B163" s="2">
        <v>2018</v>
      </c>
      <c r="C163" s="2" t="s">
        <v>247</v>
      </c>
      <c r="D163" s="2" t="s">
        <v>335</v>
      </c>
      <c r="E163" s="2">
        <v>6.9756999999999998</v>
      </c>
      <c r="F163" s="2">
        <v>11.411899999999999</v>
      </c>
      <c r="G163" s="2">
        <v>3.6444999999999999</v>
      </c>
      <c r="H163" s="2">
        <v>2.0611999999999999</v>
      </c>
      <c r="I163" s="2">
        <v>1.6798</v>
      </c>
      <c r="J163">
        <f>0.563580920126313*(100)</f>
        <v>56.358092012631303</v>
      </c>
      <c r="K163">
        <f>0.0215*(100)</f>
        <v>2.15</v>
      </c>
      <c r="L163" s="2">
        <v>9.0738000000000003</v>
      </c>
      <c r="M163" s="2">
        <v>1.7166999999999999</v>
      </c>
      <c r="N163" s="2">
        <v>31.353200000000001</v>
      </c>
      <c r="O163" s="2">
        <v>1.0150999999999999</v>
      </c>
      <c r="P163" s="2">
        <v>8.77</v>
      </c>
      <c r="Q163" s="2">
        <v>16.448799999999999</v>
      </c>
      <c r="R163" s="2">
        <v>34.559762474774978</v>
      </c>
      <c r="S163" s="2">
        <v>53.336599999999997</v>
      </c>
      <c r="T163" s="2">
        <v>48.121299999999998</v>
      </c>
      <c r="U163" s="2">
        <v>54.071199999999997</v>
      </c>
      <c r="V163" s="2">
        <v>27.200740190381616</v>
      </c>
      <c r="W163" s="2">
        <v>10.172985935760215</v>
      </c>
      <c r="X163" s="2">
        <v>113.91</v>
      </c>
      <c r="Y163" s="2">
        <v>1.38</v>
      </c>
      <c r="Z163" s="4">
        <v>6.6000000000000005</v>
      </c>
      <c r="AA163" s="4">
        <v>8.1</v>
      </c>
      <c r="AB163" s="2">
        <v>2.1</v>
      </c>
      <c r="AC163" s="2">
        <v>12.5</v>
      </c>
      <c r="AD163" s="2">
        <v>6.7000000000000028</v>
      </c>
      <c r="AE163" s="2">
        <v>1</v>
      </c>
    </row>
    <row r="164" spans="1:31" x14ac:dyDescent="0.25">
      <c r="A164" s="2" t="s">
        <v>134</v>
      </c>
      <c r="B164" s="2">
        <v>2018</v>
      </c>
      <c r="C164" s="2" t="s">
        <v>266</v>
      </c>
      <c r="D164" s="2" t="s">
        <v>328</v>
      </c>
      <c r="E164" s="2">
        <v>4.0518999999999998</v>
      </c>
      <c r="F164" s="2">
        <v>-0.52529999999999999</v>
      </c>
      <c r="G164" s="2">
        <v>4.9025999999999996</v>
      </c>
      <c r="H164" s="2">
        <v>0.47939999999999999</v>
      </c>
      <c r="I164" s="2">
        <v>0.45829999999999999</v>
      </c>
      <c r="J164">
        <f>0.187825858854832*(100)</f>
        <v>18.782585885483201</v>
      </c>
      <c r="K164">
        <f>0.0218*(100)</f>
        <v>2.1800000000000002</v>
      </c>
      <c r="L164" s="2">
        <v>14.647600000000001</v>
      </c>
      <c r="M164" s="2">
        <v>0.94799999999999995</v>
      </c>
      <c r="N164" s="2">
        <v>0.99960000000000004</v>
      </c>
      <c r="O164" s="2">
        <v>0.1764</v>
      </c>
      <c r="P164" s="2">
        <v>5.9724000000000004</v>
      </c>
      <c r="Q164" s="2">
        <v>65.544899999999998</v>
      </c>
      <c r="R164" s="2">
        <v>-72.91456609596419</v>
      </c>
      <c r="S164" s="2">
        <v>11.2363</v>
      </c>
      <c r="T164" s="2">
        <v>3.6949000000000001</v>
      </c>
      <c r="U164" s="2">
        <v>70.433899999999994</v>
      </c>
      <c r="V164" s="2">
        <v>31.414737228957584</v>
      </c>
      <c r="W164" s="2">
        <v>0.69602960737581598</v>
      </c>
      <c r="X164" s="2">
        <v>109</v>
      </c>
      <c r="Y164" s="2">
        <v>9.17</v>
      </c>
      <c r="Z164" s="4">
        <v>6.6000000000000005</v>
      </c>
      <c r="AA164" s="4">
        <v>8.1</v>
      </c>
      <c r="AB164" s="2">
        <v>2.1</v>
      </c>
      <c r="AC164" s="2">
        <v>12.5</v>
      </c>
      <c r="AD164" s="2">
        <v>6.0999999999999943</v>
      </c>
      <c r="AE164" s="2">
        <v>1</v>
      </c>
    </row>
    <row r="165" spans="1:31" x14ac:dyDescent="0.25">
      <c r="A165" s="2" t="s">
        <v>135</v>
      </c>
      <c r="B165" s="2">
        <v>2018</v>
      </c>
      <c r="C165" s="2" t="s">
        <v>257</v>
      </c>
      <c r="D165" s="2" t="s">
        <v>333</v>
      </c>
      <c r="E165" s="2">
        <v>5.4451000000000001</v>
      </c>
      <c r="F165" s="2">
        <v>7.2492999999999999</v>
      </c>
      <c r="G165" s="2">
        <v>3.7256</v>
      </c>
      <c r="H165" s="2">
        <v>1.5250999999999999</v>
      </c>
      <c r="I165" s="2">
        <v>1.2476</v>
      </c>
      <c r="J165">
        <f>0.689195235124356*(100)</f>
        <v>68.919523512435603</v>
      </c>
      <c r="K165">
        <f>0.0696*(100)</f>
        <v>6.9599999999999991</v>
      </c>
      <c r="L165" s="2">
        <v>6.2835999999999999</v>
      </c>
      <c r="M165" s="2">
        <v>1.3227</v>
      </c>
      <c r="N165" s="2">
        <v>26.283100000000001</v>
      </c>
      <c r="O165" s="2">
        <v>0.97140000000000004</v>
      </c>
      <c r="P165" s="2">
        <v>25.155000000000001</v>
      </c>
      <c r="Q165" s="2">
        <v>-7.2184999999999997</v>
      </c>
      <c r="R165" s="2">
        <v>30.79260495734227</v>
      </c>
      <c r="S165" s="2">
        <v>5.0831999999999997</v>
      </c>
      <c r="T165" s="2">
        <v>2.1520000000000001</v>
      </c>
      <c r="U165" s="2">
        <v>55.534100000000002</v>
      </c>
      <c r="V165" s="2">
        <v>8.894120076307912</v>
      </c>
      <c r="W165" s="2">
        <v>11.410988026033438</v>
      </c>
      <c r="X165" s="2">
        <v>112.65</v>
      </c>
      <c r="Y165" s="2">
        <v>4.08</v>
      </c>
      <c r="Z165" s="4">
        <v>6.6000000000000005</v>
      </c>
      <c r="AA165" s="4">
        <v>8.1</v>
      </c>
      <c r="AB165" s="2">
        <v>2.1</v>
      </c>
      <c r="AC165" s="2">
        <v>12.5</v>
      </c>
      <c r="AD165" s="2">
        <v>6.7000000000000028</v>
      </c>
      <c r="AE165" s="2">
        <v>1</v>
      </c>
    </row>
    <row r="166" spans="1:31" x14ac:dyDescent="0.25">
      <c r="A166" s="2" t="s">
        <v>154</v>
      </c>
      <c r="B166" s="2">
        <v>2017</v>
      </c>
      <c r="C166" s="2" t="s">
        <v>279</v>
      </c>
      <c r="D166" s="2" t="s">
        <v>306</v>
      </c>
      <c r="E166" s="2">
        <v>9.4657</v>
      </c>
      <c r="F166" s="2">
        <v>21.5822</v>
      </c>
      <c r="G166" s="2">
        <v>5.1586999999999996</v>
      </c>
      <c r="H166" s="2">
        <v>0.83179999999999998</v>
      </c>
      <c r="I166" s="2">
        <v>0.4259</v>
      </c>
      <c r="J166">
        <f>0.123428216871269*(100)</f>
        <v>12.3428216871269</v>
      </c>
      <c r="K166">
        <f>-0.1157*(100)</f>
        <v>-11.57</v>
      </c>
      <c r="L166" s="2">
        <v>1.1617999999999999</v>
      </c>
      <c r="M166" s="2">
        <v>0.84850000000000003</v>
      </c>
      <c r="N166" s="2">
        <v>0.86399999999999999</v>
      </c>
      <c r="O166" s="2">
        <v>0.41949999999999998</v>
      </c>
      <c r="P166" s="2">
        <v>3.4763999999999999</v>
      </c>
      <c r="Q166" s="2">
        <v>6.7671999999999999</v>
      </c>
      <c r="R166" s="2">
        <v>249.45648012558831</v>
      </c>
      <c r="S166" s="2">
        <v>12.599299999999999</v>
      </c>
      <c r="T166" s="2">
        <v>62.903199999999998</v>
      </c>
      <c r="U166" s="2">
        <v>68.828400000000002</v>
      </c>
      <c r="V166" s="2">
        <v>4.1449029781179823</v>
      </c>
      <c r="W166" s="2">
        <v>0.70248016594069551</v>
      </c>
      <c r="X166" s="2">
        <v>70.349999999999994</v>
      </c>
      <c r="Y166" s="2">
        <v>-20.11</v>
      </c>
      <c r="Z166" s="4">
        <v>6.9</v>
      </c>
      <c r="AA166" s="4">
        <v>8.2000000000000011</v>
      </c>
      <c r="AB166" s="2">
        <v>1.6</v>
      </c>
      <c r="AC166" s="2">
        <v>16.3</v>
      </c>
      <c r="AD166" s="2">
        <v>7.7999999999999972</v>
      </c>
      <c r="AE166" s="2">
        <v>1</v>
      </c>
    </row>
    <row r="167" spans="1:31" x14ac:dyDescent="0.25">
      <c r="A167" s="2" t="s">
        <v>152</v>
      </c>
      <c r="B167" s="2">
        <v>2017</v>
      </c>
      <c r="C167" s="2" t="s">
        <v>277</v>
      </c>
      <c r="D167" s="2" t="s">
        <v>322</v>
      </c>
      <c r="E167" s="2">
        <v>3.1972999999999998</v>
      </c>
      <c r="F167" s="2">
        <v>1.1545000000000001</v>
      </c>
      <c r="G167" s="2">
        <v>3.6347999999999998</v>
      </c>
      <c r="H167" s="2">
        <v>2.1869999999999998</v>
      </c>
      <c r="I167" s="2">
        <v>0.72209999999999996</v>
      </c>
      <c r="J167">
        <f>0.00361689726107243*(100)</f>
        <v>0.36168972610724304</v>
      </c>
      <c r="K167">
        <f>0.0139*(100)</f>
        <v>1.39</v>
      </c>
      <c r="L167" s="2">
        <v>0.1351</v>
      </c>
      <c r="M167" s="2">
        <v>0.1462</v>
      </c>
      <c r="N167" s="2">
        <v>4.5191999999999997</v>
      </c>
      <c r="O167" s="2">
        <v>0.13930000000000001</v>
      </c>
      <c r="P167" s="2">
        <v>0.53869999999999996</v>
      </c>
      <c r="Q167" s="2">
        <v>-46.654200000000003</v>
      </c>
      <c r="R167" s="2">
        <v>-82.976922056602803</v>
      </c>
      <c r="S167" s="2">
        <v>1.6344000000000001</v>
      </c>
      <c r="T167" s="2">
        <v>2.1659999999999999</v>
      </c>
      <c r="U167" s="2">
        <v>54.687199999999997</v>
      </c>
      <c r="V167" s="2">
        <v>11.122687771701765</v>
      </c>
      <c r="W167" s="2">
        <v>15.518624076477478</v>
      </c>
      <c r="X167" s="2">
        <v>55.59</v>
      </c>
      <c r="Y167" s="2">
        <v>5.48</v>
      </c>
      <c r="Z167" s="4">
        <v>6.9</v>
      </c>
      <c r="AA167" s="4">
        <v>8.2000000000000011</v>
      </c>
      <c r="AB167" s="2">
        <v>1.6</v>
      </c>
      <c r="AC167" s="2">
        <v>16.3</v>
      </c>
      <c r="AD167" s="2">
        <v>7.7999999999999972</v>
      </c>
      <c r="AE167" s="2">
        <v>1</v>
      </c>
    </row>
    <row r="168" spans="1:31" x14ac:dyDescent="0.25">
      <c r="A168" s="2" t="s">
        <v>103</v>
      </c>
      <c r="B168" s="2">
        <v>2017</v>
      </c>
      <c r="C168" s="2" t="s">
        <v>242</v>
      </c>
      <c r="D168" s="2" t="s">
        <v>315</v>
      </c>
      <c r="E168" s="2">
        <v>15.6096</v>
      </c>
      <c r="F168" s="2">
        <v>27.439</v>
      </c>
      <c r="G168" s="2">
        <v>18.941500000000001</v>
      </c>
      <c r="H168" s="2">
        <v>1.8744000000000001</v>
      </c>
      <c r="I168" s="2">
        <v>1.6043000000000001</v>
      </c>
      <c r="J168">
        <f>1.06428119526718*(100)</f>
        <v>106.42811952671801</v>
      </c>
      <c r="K168">
        <f>-0.0709*(100)</f>
        <v>-7.0900000000000007</v>
      </c>
      <c r="L168" s="2">
        <v>3.4344999999999999</v>
      </c>
      <c r="M168" s="2">
        <v>0.97170000000000001</v>
      </c>
      <c r="N168" s="2">
        <v>15.0154</v>
      </c>
      <c r="O168" s="2">
        <v>0.6794</v>
      </c>
      <c r="P168" s="2">
        <v>4.9278000000000004</v>
      </c>
      <c r="Q168" s="2">
        <v>148.29320000000001</v>
      </c>
      <c r="R168" s="2">
        <v>114.0662744068435</v>
      </c>
      <c r="S168" s="2">
        <v>253.64859999999999</v>
      </c>
      <c r="T168" s="2">
        <v>201.21289999999999</v>
      </c>
      <c r="U168" s="2">
        <v>50.231499999999997</v>
      </c>
      <c r="V168" s="2">
        <v>14.04290766906211</v>
      </c>
      <c r="W168" s="2">
        <v>12.451689924012078</v>
      </c>
      <c r="X168" s="2">
        <v>105.82</v>
      </c>
      <c r="Y168" s="2">
        <v>-8.18</v>
      </c>
      <c r="Z168" s="4">
        <v>6.9</v>
      </c>
      <c r="AA168" s="4">
        <v>8.2000000000000011</v>
      </c>
      <c r="AB168" s="2">
        <v>1.6</v>
      </c>
      <c r="AC168" s="2">
        <v>16.3</v>
      </c>
      <c r="AD168" s="2">
        <v>6.2000000000000028</v>
      </c>
      <c r="AE168" s="2">
        <v>1</v>
      </c>
    </row>
    <row r="169" spans="1:31" x14ac:dyDescent="0.25">
      <c r="A169" s="2" t="s">
        <v>151</v>
      </c>
      <c r="B169" s="2">
        <v>2017</v>
      </c>
      <c r="C169" s="2" t="s">
        <v>275</v>
      </c>
      <c r="D169" s="2" t="s">
        <v>297</v>
      </c>
      <c r="E169" s="2">
        <v>-1.8259000000000001</v>
      </c>
      <c r="F169" s="2">
        <v>-133.3974</v>
      </c>
      <c r="G169" s="2">
        <v>-14.9819</v>
      </c>
      <c r="H169" s="2">
        <v>0.55120000000000002</v>
      </c>
      <c r="I169" s="2">
        <v>0.53779999999999994</v>
      </c>
      <c r="J169">
        <f>0.28906938721376*(100)</f>
        <v>28.906938721376001</v>
      </c>
      <c r="K169">
        <f>0.0245*(100)</f>
        <v>2.4500000000000002</v>
      </c>
      <c r="L169" s="2">
        <v>9.0450999999999997</v>
      </c>
      <c r="M169" s="2">
        <v>1.0343</v>
      </c>
      <c r="N169" s="2">
        <v>0.86129999999999995</v>
      </c>
      <c r="O169" s="2">
        <v>0.31830000000000003</v>
      </c>
      <c r="P169" s="2">
        <v>44.265700000000002</v>
      </c>
      <c r="Q169" s="2">
        <v>22.289100000000001</v>
      </c>
      <c r="R169" s="2">
        <v>-15637.180190077301</v>
      </c>
      <c r="S169" s="2">
        <v>-3.8573</v>
      </c>
      <c r="T169" s="2">
        <v>-85.078900000000004</v>
      </c>
      <c r="U169" s="2">
        <v>74.405799999999999</v>
      </c>
      <c r="V169" s="2">
        <v>14.872030061574348</v>
      </c>
      <c r="W169" s="2">
        <v>2.5006667678820246E-2</v>
      </c>
      <c r="X169" s="2">
        <v>83.14</v>
      </c>
      <c r="Y169" s="2">
        <v>5.62</v>
      </c>
      <c r="Z169" s="4">
        <v>6.9</v>
      </c>
      <c r="AA169" s="4">
        <v>8.2000000000000011</v>
      </c>
      <c r="AB169" s="2">
        <v>1.6</v>
      </c>
      <c r="AC169" s="2">
        <v>16.3</v>
      </c>
      <c r="AD169" s="2">
        <v>6.2000000000000028</v>
      </c>
      <c r="AE169" s="2">
        <v>1</v>
      </c>
    </row>
    <row r="170" spans="1:31" x14ac:dyDescent="0.25">
      <c r="A170" s="2" t="s">
        <v>125</v>
      </c>
      <c r="B170" s="2">
        <v>2017</v>
      </c>
      <c r="C170" s="2" t="s">
        <v>262</v>
      </c>
      <c r="D170" s="2" t="s">
        <v>298</v>
      </c>
      <c r="E170" s="2">
        <v>-1.1254999999999999</v>
      </c>
      <c r="F170" s="2">
        <v>-40.527299999999997</v>
      </c>
      <c r="G170" s="2">
        <v>-16.652999999999999</v>
      </c>
      <c r="H170" s="2">
        <v>0.67049999999999998</v>
      </c>
      <c r="I170" s="2">
        <v>0.38850000000000001</v>
      </c>
      <c r="J170">
        <f>0.0202468993716093*(100)</f>
        <v>2.0246899371609302</v>
      </c>
      <c r="K170">
        <f>0.0082*(100)</f>
        <v>0.82000000000000006</v>
      </c>
      <c r="L170" s="2">
        <v>2.5948000000000002</v>
      </c>
      <c r="M170" s="2">
        <v>1.0385</v>
      </c>
      <c r="N170" s="2">
        <v>1.0535000000000001</v>
      </c>
      <c r="O170" s="2">
        <v>0.44330000000000003</v>
      </c>
      <c r="P170" s="2">
        <v>13.908899999999999</v>
      </c>
      <c r="Q170" s="2">
        <v>49.0169</v>
      </c>
      <c r="R170" s="2">
        <v>36.014459290318378</v>
      </c>
      <c r="S170" s="2">
        <v>-3.3551000000000002</v>
      </c>
      <c r="T170" s="2">
        <v>-33.6203</v>
      </c>
      <c r="U170" s="2">
        <v>83.487399999999994</v>
      </c>
      <c r="V170" s="2">
        <v>19.982910046366133</v>
      </c>
      <c r="W170" s="2">
        <v>0.36486494280881837</v>
      </c>
      <c r="X170" s="2">
        <v>102.99</v>
      </c>
      <c r="Y170" s="2">
        <v>1.54</v>
      </c>
      <c r="Z170" s="4">
        <v>6.9</v>
      </c>
      <c r="AA170" s="4">
        <v>8.2000000000000011</v>
      </c>
      <c r="AB170" s="2">
        <v>1.6</v>
      </c>
      <c r="AC170" s="2">
        <v>16.3</v>
      </c>
      <c r="AD170" s="2">
        <v>6.2000000000000028</v>
      </c>
      <c r="AE170" s="2">
        <v>1</v>
      </c>
    </row>
    <row r="171" spans="1:31" x14ac:dyDescent="0.25">
      <c r="A171" s="2" t="s">
        <v>153</v>
      </c>
      <c r="B171" s="2">
        <v>2017</v>
      </c>
      <c r="C171" s="2" t="s">
        <v>278</v>
      </c>
      <c r="D171" s="2" t="s">
        <v>342</v>
      </c>
      <c r="E171" s="2">
        <v>5.6188000000000002</v>
      </c>
      <c r="F171" s="2">
        <v>7.0152000000000001</v>
      </c>
      <c r="G171" s="2">
        <v>18.366099999999999</v>
      </c>
      <c r="H171" s="2">
        <v>0.91520000000000001</v>
      </c>
      <c r="I171" s="2">
        <v>0.88980000000000004</v>
      </c>
      <c r="J171">
        <f>0.179673826541836*(100)</f>
        <v>17.967382654183599</v>
      </c>
      <c r="K171">
        <f>0.0878*(100)</f>
        <v>8.7800000000000011</v>
      </c>
      <c r="L171" s="2">
        <v>23.937000000000001</v>
      </c>
      <c r="M171" s="2">
        <v>0.74790000000000001</v>
      </c>
      <c r="N171" s="2">
        <v>0.43230000000000002</v>
      </c>
      <c r="O171" s="2">
        <v>0.12230000000000001</v>
      </c>
      <c r="P171" s="2">
        <v>83.969300000000004</v>
      </c>
      <c r="Q171" s="2">
        <v>17.1905</v>
      </c>
      <c r="R171" s="2">
        <v>-19.088220110838911</v>
      </c>
      <c r="S171" s="2">
        <v>8.6576000000000004</v>
      </c>
      <c r="T171" s="2">
        <v>7.2241999999999997</v>
      </c>
      <c r="U171" s="2">
        <v>76.115700000000004</v>
      </c>
      <c r="V171" s="2">
        <v>59.153688364272661</v>
      </c>
      <c r="W171" s="2">
        <v>0.83364808636238052</v>
      </c>
      <c r="X171" s="2">
        <v>105.33</v>
      </c>
      <c r="Y171" s="2">
        <v>56.92</v>
      </c>
      <c r="Z171" s="4">
        <v>6.9</v>
      </c>
      <c r="AA171" s="4">
        <v>8.2000000000000011</v>
      </c>
      <c r="AB171" s="2">
        <v>1.6</v>
      </c>
      <c r="AC171" s="2">
        <v>16.3</v>
      </c>
      <c r="AD171" s="2">
        <v>9.5999999999999943</v>
      </c>
      <c r="AE171" s="2">
        <v>1</v>
      </c>
    </row>
    <row r="172" spans="1:31" x14ac:dyDescent="0.25">
      <c r="A172" s="2" t="s">
        <v>155</v>
      </c>
      <c r="B172" s="2">
        <v>2017</v>
      </c>
      <c r="C172" s="2" t="s">
        <v>280</v>
      </c>
      <c r="D172" s="2" t="s">
        <v>328</v>
      </c>
      <c r="E172" s="2">
        <v>-2.2044000000000001</v>
      </c>
      <c r="F172" s="2">
        <v>-60.8142</v>
      </c>
      <c r="G172" s="2">
        <v>-21.562799999999999</v>
      </c>
      <c r="H172" s="2">
        <v>0.39910000000000001</v>
      </c>
      <c r="I172" s="2">
        <v>0.33889999999999998</v>
      </c>
      <c r="J172">
        <f>0.16036208643735*(100)</f>
        <v>16.036208643735002</v>
      </c>
      <c r="K172">
        <f>0.008*(100)</f>
        <v>0.8</v>
      </c>
      <c r="L172" s="2">
        <v>5.7290999999999999</v>
      </c>
      <c r="M172" s="2">
        <v>0.92669999999999997</v>
      </c>
      <c r="N172" s="2">
        <v>0.72440000000000004</v>
      </c>
      <c r="O172" s="2">
        <v>0.22459999999999999</v>
      </c>
      <c r="P172" s="2">
        <v>4.6548999999999996</v>
      </c>
      <c r="Q172" s="2">
        <v>6.0751999999999997</v>
      </c>
      <c r="R172" s="2">
        <v>-10.767617593945319</v>
      </c>
      <c r="S172" s="2">
        <v>1.6962999999999999</v>
      </c>
      <c r="T172" s="2">
        <v>-47.3902</v>
      </c>
      <c r="U172" s="2">
        <v>92.222200000000001</v>
      </c>
      <c r="V172" s="2">
        <v>33.764400735140036</v>
      </c>
      <c r="W172" s="2">
        <v>0.1280017407306574</v>
      </c>
      <c r="X172" s="2">
        <v>116.59</v>
      </c>
      <c r="Y172" s="2">
        <v>3.32</v>
      </c>
      <c r="Z172" s="4">
        <v>6.9</v>
      </c>
      <c r="AA172" s="4">
        <v>8.2000000000000011</v>
      </c>
      <c r="AB172" s="2">
        <v>1.6</v>
      </c>
      <c r="AC172" s="2">
        <v>16.3</v>
      </c>
      <c r="AD172" s="2">
        <v>7.7999999999999972</v>
      </c>
      <c r="AE172" s="2">
        <v>1</v>
      </c>
    </row>
    <row r="173" spans="1:31" x14ac:dyDescent="0.25">
      <c r="A173" s="2" t="s">
        <v>163</v>
      </c>
      <c r="B173" s="2">
        <v>2016</v>
      </c>
      <c r="C173" s="2" t="s">
        <v>286</v>
      </c>
      <c r="D173" s="2" t="s">
        <v>344</v>
      </c>
      <c r="E173" s="2">
        <v>7.6935000000000002</v>
      </c>
      <c r="F173" s="2">
        <v>7.8807</v>
      </c>
      <c r="G173" s="2">
        <v>10.010400000000001</v>
      </c>
      <c r="H173" s="2">
        <v>1.6871</v>
      </c>
      <c r="I173" s="2">
        <v>1.1886000000000001</v>
      </c>
      <c r="J173">
        <f>0.0971087151452898*(100)</f>
        <v>9.7108715145289803</v>
      </c>
      <c r="K173">
        <f>0.5093*(100)</f>
        <v>50.93</v>
      </c>
      <c r="L173" s="2">
        <v>1.8809</v>
      </c>
      <c r="M173" s="2">
        <v>0.68630000000000002</v>
      </c>
      <c r="N173" s="2">
        <v>2.5434999999999999</v>
      </c>
      <c r="O173" s="2">
        <v>0.46239999999999998</v>
      </c>
      <c r="P173" s="2">
        <v>1.5531999999999999</v>
      </c>
      <c r="Q173" s="2">
        <v>11.8224</v>
      </c>
      <c r="R173" s="2">
        <v>-16.307177741242359</v>
      </c>
      <c r="S173" s="2">
        <v>9.8971999999999998</v>
      </c>
      <c r="T173" s="2">
        <v>8.2040000000000006</v>
      </c>
      <c r="U173" s="2">
        <v>38.434600000000003</v>
      </c>
      <c r="V173" s="2">
        <v>24.033307432355141</v>
      </c>
      <c r="W173" s="2">
        <v>2.7534158266380153</v>
      </c>
      <c r="X173" s="2">
        <v>120.39</v>
      </c>
      <c r="Y173" s="2">
        <v>44.330000000000013</v>
      </c>
      <c r="Z173" s="4">
        <v>6.7</v>
      </c>
      <c r="AA173" s="4">
        <v>11.3</v>
      </c>
      <c r="AB173" s="2">
        <v>2</v>
      </c>
      <c r="AC173" s="2">
        <v>15.9</v>
      </c>
      <c r="AD173" s="2">
        <v>7.7000000000000028</v>
      </c>
      <c r="AE173" s="2">
        <v>1</v>
      </c>
    </row>
    <row r="174" spans="1:31" x14ac:dyDescent="0.25">
      <c r="A174" s="2" t="s">
        <v>158</v>
      </c>
      <c r="B174" s="2">
        <v>2016</v>
      </c>
      <c r="C174" s="2" t="s">
        <v>282</v>
      </c>
      <c r="D174" s="2" t="s">
        <v>311</v>
      </c>
      <c r="E174" s="2">
        <v>3.86</v>
      </c>
      <c r="F174" s="2">
        <v>7.1334999999999997</v>
      </c>
      <c r="G174" s="2">
        <v>6.3440000000000003</v>
      </c>
      <c r="H174" s="2">
        <v>1.4019999999999999</v>
      </c>
      <c r="I174" s="2">
        <v>0.99819999999999998</v>
      </c>
      <c r="J174">
        <f>0.177739643803031*(100)</f>
        <v>17.773964380303102</v>
      </c>
      <c r="K174">
        <f>0.0039*(100)</f>
        <v>0.38999999999999996</v>
      </c>
      <c r="L174" s="2">
        <v>1.0342</v>
      </c>
      <c r="M174" s="2">
        <v>0.37580000000000002</v>
      </c>
      <c r="N174" s="2">
        <v>14.245100000000001</v>
      </c>
      <c r="O174" s="2">
        <v>0.26590000000000003</v>
      </c>
      <c r="P174" s="2">
        <v>2.8852000000000002</v>
      </c>
      <c r="Q174" s="2">
        <v>8.5387000000000004</v>
      </c>
      <c r="R174" s="2">
        <v>-3.527115588151593</v>
      </c>
      <c r="S174" s="2">
        <v>26.437999999999999</v>
      </c>
      <c r="T174" s="2">
        <v>149.32589999999999</v>
      </c>
      <c r="U174" s="2">
        <v>78.231700000000004</v>
      </c>
      <c r="V174" s="2">
        <v>27.244920942900325</v>
      </c>
      <c r="W174" s="2">
        <v>6.0602498740827606</v>
      </c>
      <c r="X174" s="2">
        <v>78.97999999999999</v>
      </c>
      <c r="Y174" s="2">
        <v>1.27</v>
      </c>
      <c r="Z174" s="4">
        <v>6.7</v>
      </c>
      <c r="AA174" s="4">
        <v>11.3</v>
      </c>
      <c r="AB174" s="2">
        <v>2</v>
      </c>
      <c r="AC174" s="2">
        <v>15.9</v>
      </c>
      <c r="AD174" s="2">
        <v>7.7000000000000028</v>
      </c>
      <c r="AE174" s="2">
        <v>1</v>
      </c>
    </row>
    <row r="175" spans="1:31" x14ac:dyDescent="0.25">
      <c r="A175" s="2" t="s">
        <v>161</v>
      </c>
      <c r="B175" s="2">
        <v>2016</v>
      </c>
      <c r="C175" s="2" t="s">
        <v>284</v>
      </c>
      <c r="D175" s="2" t="s">
        <v>307</v>
      </c>
      <c r="E175" s="2">
        <v>4.6174999999999997</v>
      </c>
      <c r="F175" s="2">
        <v>8.5228999999999999</v>
      </c>
      <c r="G175" s="2">
        <v>-4.4600000000000001E-2</v>
      </c>
      <c r="H175" s="2">
        <v>1.0771999999999999</v>
      </c>
      <c r="I175" s="2">
        <v>0.93100000000000005</v>
      </c>
      <c r="J175">
        <f>0.103130721342726*(100)</f>
        <v>10.3130721342726</v>
      </c>
      <c r="K175">
        <f>-0.005*(100)</f>
        <v>-0.5</v>
      </c>
      <c r="L175" s="2">
        <v>1.9346000000000001</v>
      </c>
      <c r="M175" s="2">
        <v>0.28520000000000001</v>
      </c>
      <c r="N175" s="2">
        <v>3.7593999999999999</v>
      </c>
      <c r="O175" s="2">
        <v>0.2412</v>
      </c>
      <c r="P175" s="2">
        <v>1.1748000000000001</v>
      </c>
      <c r="Q175" s="2">
        <v>-55.078699999999998</v>
      </c>
      <c r="R175" s="2">
        <v>15.2669318054346</v>
      </c>
      <c r="S175" s="2">
        <v>2.2263999999999999</v>
      </c>
      <c r="T175" s="2">
        <v>8.9023000000000003</v>
      </c>
      <c r="U175" s="2">
        <v>78.662300000000002</v>
      </c>
      <c r="V175" s="2">
        <v>24.012488791613233</v>
      </c>
      <c r="W175" s="2">
        <v>3.4617784570182502</v>
      </c>
      <c r="X175" s="2">
        <v>142.02000000000001</v>
      </c>
      <c r="Y175" s="2">
        <v>-1.65</v>
      </c>
      <c r="Z175" s="4">
        <v>6.7</v>
      </c>
      <c r="AA175" s="4">
        <v>11.3</v>
      </c>
      <c r="AB175" s="2">
        <v>2</v>
      </c>
      <c r="AC175" s="2">
        <v>15.9</v>
      </c>
      <c r="AD175" s="2">
        <v>7.7000000000000028</v>
      </c>
      <c r="AE175" s="2">
        <v>1</v>
      </c>
    </row>
    <row r="176" spans="1:31" x14ac:dyDescent="0.25">
      <c r="A176" s="2" t="s">
        <v>167</v>
      </c>
      <c r="B176" s="2">
        <v>2016</v>
      </c>
      <c r="C176" s="2" t="s">
        <v>290</v>
      </c>
      <c r="D176" s="2" t="s">
        <v>343</v>
      </c>
      <c r="E176" s="2">
        <v>7.1406000000000001</v>
      </c>
      <c r="F176" s="2">
        <v>6.1542000000000003</v>
      </c>
      <c r="G176" s="2">
        <v>12.119300000000001</v>
      </c>
      <c r="H176" s="2">
        <v>0.51129999999999998</v>
      </c>
      <c r="I176" s="2">
        <v>0.51129999999999998</v>
      </c>
      <c r="J176">
        <f>0.00160146746848813*(100)</f>
        <v>0.160146746848813</v>
      </c>
      <c r="K176">
        <f>0.0725*(100)</f>
        <v>7.2499999999999991</v>
      </c>
      <c r="L176" s="2">
        <v>30.279320999999989</v>
      </c>
      <c r="M176" s="2">
        <v>0.55920000000000003</v>
      </c>
      <c r="N176" s="2">
        <v>0.36830000000000002</v>
      </c>
      <c r="O176" s="2">
        <v>0.1764</v>
      </c>
      <c r="P176" s="2">
        <v>6.1471999999999998</v>
      </c>
      <c r="Q176" s="2">
        <v>4.4866999999999999</v>
      </c>
      <c r="R176" s="2">
        <v>68.389709492783851</v>
      </c>
      <c r="S176" s="2">
        <v>-10.650700000000001</v>
      </c>
      <c r="T176" s="2">
        <v>14.294600000000001</v>
      </c>
      <c r="U176" s="2">
        <v>63.638399999999997</v>
      </c>
      <c r="V176" s="2">
        <v>4.6767279333427201</v>
      </c>
      <c r="W176" s="2">
        <v>0.72627230282698696</v>
      </c>
      <c r="X176" s="2">
        <v>89.94</v>
      </c>
      <c r="Y176" s="2">
        <v>24.67</v>
      </c>
      <c r="Z176" s="4">
        <v>6.7</v>
      </c>
      <c r="AA176" s="4">
        <v>11.3</v>
      </c>
      <c r="AB176" s="2">
        <v>2</v>
      </c>
      <c r="AC176" s="2">
        <v>15.9</v>
      </c>
      <c r="AD176" s="2">
        <v>6.9000000000000057</v>
      </c>
      <c r="AE176" s="2">
        <v>1</v>
      </c>
    </row>
    <row r="177" spans="1:31" x14ac:dyDescent="0.25">
      <c r="A177" s="2" t="s">
        <v>165</v>
      </c>
      <c r="B177" s="2">
        <v>2016</v>
      </c>
      <c r="C177" s="2" t="s">
        <v>288</v>
      </c>
      <c r="D177" s="2" t="s">
        <v>346</v>
      </c>
      <c r="E177" s="2">
        <v>-6.7050999999999998</v>
      </c>
      <c r="F177" s="2">
        <v>-18.356200000000001</v>
      </c>
      <c r="G177" s="2">
        <v>-111.1009</v>
      </c>
      <c r="H177" s="2">
        <v>2.3603999999999998</v>
      </c>
      <c r="I177" s="2">
        <v>2.3391999999999999</v>
      </c>
      <c r="J177">
        <f>0.0136810698027417*(100)</f>
        <v>1.3681069802741701</v>
      </c>
      <c r="K177">
        <f>-0.0226*(100)</f>
        <v>-2.2599999999999998</v>
      </c>
      <c r="L177" s="2">
        <v>9.7546999999999997</v>
      </c>
      <c r="M177" s="2">
        <v>9.0999999999999998E-2</v>
      </c>
      <c r="N177" s="2">
        <v>0.72260000000000002</v>
      </c>
      <c r="O177" s="2">
        <v>7.9299999999999995E-2</v>
      </c>
      <c r="P177" s="2">
        <v>0.54700000000000004</v>
      </c>
      <c r="Q177" s="2">
        <v>-52.956800000000001</v>
      </c>
      <c r="R177" s="2">
        <v>-177.6614471240629</v>
      </c>
      <c r="S177" s="2">
        <v>-22.688199999999998</v>
      </c>
      <c r="T177" s="2">
        <v>-16.196400000000001</v>
      </c>
      <c r="U177" s="2">
        <v>39.465699999999998</v>
      </c>
      <c r="V177" s="2">
        <v>1.0886008187437088</v>
      </c>
      <c r="W177" s="2">
        <v>7.0759711462338588</v>
      </c>
      <c r="X177" s="2">
        <v>187.58</v>
      </c>
      <c r="Y177" s="2">
        <v>-9.83</v>
      </c>
      <c r="Z177" s="4">
        <v>6.7</v>
      </c>
      <c r="AA177" s="4">
        <v>11.3</v>
      </c>
      <c r="AB177" s="2">
        <v>2</v>
      </c>
      <c r="AC177" s="2">
        <v>15.9</v>
      </c>
      <c r="AD177" s="2">
        <v>5.7000000000000028</v>
      </c>
      <c r="AE177" s="2">
        <v>1</v>
      </c>
    </row>
    <row r="178" spans="1:31" x14ac:dyDescent="0.25">
      <c r="A178" s="2" t="s">
        <v>166</v>
      </c>
      <c r="B178" s="2">
        <v>2016</v>
      </c>
      <c r="C178" s="2" t="s">
        <v>289</v>
      </c>
      <c r="D178" s="2" t="s">
        <v>347</v>
      </c>
      <c r="E178" s="2">
        <v>-3.5371000000000001</v>
      </c>
      <c r="F178" s="2">
        <v>-45.003829500000023</v>
      </c>
      <c r="G178" s="2">
        <v>79.520399999999995</v>
      </c>
      <c r="H178" s="2">
        <v>0.3831</v>
      </c>
      <c r="I178" s="2">
        <v>0.3508</v>
      </c>
      <c r="J178">
        <f>0.0168905707767116*(100)</f>
        <v>1.6890570776711598</v>
      </c>
      <c r="K178">
        <f>0.0024*(100)</f>
        <v>0.24</v>
      </c>
      <c r="L178" s="2">
        <v>0.33410000000000001</v>
      </c>
      <c r="M178" s="2">
        <v>7.8600000000000003E-2</v>
      </c>
      <c r="N178" s="2">
        <v>0.28100000000000003</v>
      </c>
      <c r="O178" s="2">
        <v>4.5999999999999999E-2</v>
      </c>
      <c r="P178" s="2">
        <v>0.30130000000000001</v>
      </c>
      <c r="Q178" s="2">
        <v>-92.325400000000002</v>
      </c>
      <c r="R178" s="2">
        <v>91.170202098862305</v>
      </c>
      <c r="S178" s="2">
        <v>-71.597999999999999</v>
      </c>
      <c r="T178" s="2">
        <v>-22.303100000000001</v>
      </c>
      <c r="U178" s="2">
        <v>394.74119999999999</v>
      </c>
      <c r="V178" s="2">
        <v>279.13213620121888</v>
      </c>
      <c r="W178" s="2">
        <v>-9.5172684337165219</v>
      </c>
      <c r="X178" s="2">
        <v>74.47</v>
      </c>
      <c r="Y178" s="2">
        <v>9.01</v>
      </c>
      <c r="Z178" s="4">
        <v>6.7</v>
      </c>
      <c r="AA178" s="4">
        <v>11.3</v>
      </c>
      <c r="AB178" s="2">
        <v>2</v>
      </c>
      <c r="AC178" s="2">
        <v>15.9</v>
      </c>
      <c r="AD178" s="2">
        <v>5.7000000000000028</v>
      </c>
      <c r="AE178" s="2">
        <v>1</v>
      </c>
    </row>
    <row r="179" spans="1:31" x14ac:dyDescent="0.25">
      <c r="A179" s="2" t="s">
        <v>162</v>
      </c>
      <c r="B179" s="2">
        <v>2016</v>
      </c>
      <c r="C179" s="2" t="s">
        <v>285</v>
      </c>
      <c r="D179" s="2" t="s">
        <v>299</v>
      </c>
      <c r="E179" s="2">
        <v>15.7966</v>
      </c>
      <c r="F179" s="2">
        <v>16.2392</v>
      </c>
      <c r="G179" s="2">
        <v>7.2553999999999998</v>
      </c>
      <c r="H179" s="2">
        <v>5.2141999999999999</v>
      </c>
      <c r="I179" s="2">
        <v>2.6105</v>
      </c>
      <c r="J179">
        <f>0.525081354132556*(100)</f>
        <v>52.508135413255594</v>
      </c>
      <c r="K179">
        <f>0.371*(100)</f>
        <v>37.1</v>
      </c>
      <c r="L179" s="2">
        <v>3.0973999999999999</v>
      </c>
      <c r="M179" s="2">
        <v>1.8154999999999999</v>
      </c>
      <c r="N179" s="2">
        <v>223.37450000000001</v>
      </c>
      <c r="O179" s="2">
        <v>1.8008999999999999</v>
      </c>
      <c r="P179" s="2">
        <v>8.7553999999999998</v>
      </c>
      <c r="Q179" s="2">
        <v>-11.547585499999981</v>
      </c>
      <c r="R179" s="2">
        <v>-599.25051196801235</v>
      </c>
      <c r="S179" s="2">
        <v>13.7575</v>
      </c>
      <c r="T179" s="2">
        <v>17.674199999999999</v>
      </c>
      <c r="U179" s="2">
        <v>38.700099999999999</v>
      </c>
      <c r="V179" s="2">
        <v>19.686558999999999</v>
      </c>
      <c r="W179" s="2">
        <v>71.335527198342035</v>
      </c>
      <c r="X179" s="2">
        <v>109.19</v>
      </c>
      <c r="Y179" s="2">
        <v>8.49</v>
      </c>
      <c r="Z179" s="4">
        <v>6.7</v>
      </c>
      <c r="AA179" s="4">
        <v>11.3</v>
      </c>
      <c r="AB179" s="2">
        <v>2</v>
      </c>
      <c r="AC179" s="2">
        <v>15.9</v>
      </c>
      <c r="AD179" s="2">
        <v>5.7000000000000028</v>
      </c>
      <c r="AE179" s="2">
        <v>1</v>
      </c>
    </row>
    <row r="180" spans="1:31" x14ac:dyDescent="0.25">
      <c r="A180" s="2" t="s">
        <v>156</v>
      </c>
      <c r="B180" s="2">
        <v>2016</v>
      </c>
      <c r="C180" s="2" t="s">
        <v>281</v>
      </c>
      <c r="D180" s="2" t="s">
        <v>324</v>
      </c>
      <c r="E180" s="2">
        <v>6.6585000000000001</v>
      </c>
      <c r="F180" s="2">
        <v>11.955399999999999</v>
      </c>
      <c r="G180" s="2">
        <v>4.3319000000000001</v>
      </c>
      <c r="H180" s="2">
        <v>1.4515</v>
      </c>
      <c r="I180" s="2">
        <v>0.84450000000000003</v>
      </c>
      <c r="J180">
        <f>0.277666704371006*(100)</f>
        <v>27.766670437100601</v>
      </c>
      <c r="K180">
        <f>-0.0098*(100)</f>
        <v>-0.98</v>
      </c>
      <c r="L180" s="2">
        <v>2.1692</v>
      </c>
      <c r="M180" s="2">
        <v>1.0669999999999999</v>
      </c>
      <c r="N180" s="2">
        <v>3.9664999999999999</v>
      </c>
      <c r="O180" s="2">
        <v>0.73709999999999998</v>
      </c>
      <c r="P180" s="2">
        <v>8.3026999999999997</v>
      </c>
      <c r="Q180" s="2">
        <v>-2.5222000000000002</v>
      </c>
      <c r="R180" s="2">
        <v>22.472826734044599</v>
      </c>
      <c r="S180" s="2">
        <v>17.757999999999999</v>
      </c>
      <c r="T180" s="2">
        <v>12.700900000000001</v>
      </c>
      <c r="U180" s="2">
        <v>78.097999999999999</v>
      </c>
      <c r="V180" s="2">
        <v>29.553453940648183</v>
      </c>
      <c r="W180" s="2">
        <v>0.50283694221697628</v>
      </c>
      <c r="X180" s="2">
        <v>111.89</v>
      </c>
      <c r="Y180" s="2">
        <v>-1.1200000000000001</v>
      </c>
      <c r="Z180" s="4">
        <v>6.7</v>
      </c>
      <c r="AA180" s="4">
        <v>11.3</v>
      </c>
      <c r="AB180" s="2">
        <v>2</v>
      </c>
      <c r="AC180" s="2">
        <v>15.9</v>
      </c>
      <c r="AD180" s="2">
        <v>5.7000000000000028</v>
      </c>
      <c r="AE180" s="2">
        <v>1</v>
      </c>
    </row>
    <row r="181" spans="1:31" x14ac:dyDescent="0.25">
      <c r="A181" s="2" t="s">
        <v>160</v>
      </c>
      <c r="B181" s="2">
        <v>2016</v>
      </c>
      <c r="C181" s="2" t="s">
        <v>283</v>
      </c>
      <c r="D181" s="2" t="s">
        <v>343</v>
      </c>
      <c r="E181" s="2">
        <v>-56.466299999999997</v>
      </c>
      <c r="F181" s="2">
        <v>-338.9606</v>
      </c>
      <c r="G181" s="2">
        <v>-298.74</v>
      </c>
      <c r="H181" s="2">
        <v>0.2722</v>
      </c>
      <c r="I181" s="2">
        <v>0.21809999999999999</v>
      </c>
      <c r="J181">
        <f>0.125508021536027*(100)</f>
        <v>12.550802153602699</v>
      </c>
      <c r="K181">
        <f>-0.0786*(100)</f>
        <v>-7.86</v>
      </c>
      <c r="L181" s="2">
        <v>1.8706</v>
      </c>
      <c r="M181" s="2">
        <v>0.58679999999999999</v>
      </c>
      <c r="N181" s="2">
        <v>0.30570000000000003</v>
      </c>
      <c r="O181" s="2">
        <v>0.19650000000000001</v>
      </c>
      <c r="P181" s="2">
        <v>14.992900000000001</v>
      </c>
      <c r="Q181" s="2">
        <v>-47.797400000000003</v>
      </c>
      <c r="R181" s="2">
        <v>-1639.9729548575281</v>
      </c>
      <c r="S181" s="2">
        <v>-44.147799999999997</v>
      </c>
      <c r="T181" s="2">
        <v>-125.8141</v>
      </c>
      <c r="U181" s="2">
        <v>115.52</v>
      </c>
      <c r="V181" s="2">
        <v>45.676311369401866</v>
      </c>
      <c r="W181" s="2">
        <v>-0.21084493143341901</v>
      </c>
      <c r="X181" s="2">
        <v>83.25</v>
      </c>
      <c r="Y181" s="2">
        <v>-33.130000000000003</v>
      </c>
      <c r="Z181" s="4">
        <v>6.7</v>
      </c>
      <c r="AA181" s="4">
        <v>11.3</v>
      </c>
      <c r="AB181" s="2">
        <v>2</v>
      </c>
      <c r="AC181" s="2">
        <v>15.9</v>
      </c>
      <c r="AD181" s="2">
        <v>6.9000000000000057</v>
      </c>
      <c r="AE181" s="2">
        <v>1</v>
      </c>
    </row>
    <row r="182" spans="1:31" x14ac:dyDescent="0.25">
      <c r="A182" s="2" t="s">
        <v>164</v>
      </c>
      <c r="B182" s="2">
        <v>2016</v>
      </c>
      <c r="C182" s="2" t="s">
        <v>287</v>
      </c>
      <c r="D182" s="2" t="s">
        <v>345</v>
      </c>
      <c r="E182" s="2">
        <v>-21.28</v>
      </c>
      <c r="F182" s="2">
        <v>-619.68769999999995</v>
      </c>
      <c r="G182" s="2">
        <v>-34.253399999999999</v>
      </c>
      <c r="H182" s="2">
        <v>0.7329</v>
      </c>
      <c r="I182" s="2">
        <v>0.6855</v>
      </c>
      <c r="J182">
        <f>0.120542352861588*(100)</f>
        <v>12.0542352861588</v>
      </c>
      <c r="K182">
        <f>0.0752*(100)</f>
        <v>7.5200000000000005</v>
      </c>
      <c r="L182" s="2">
        <v>18.422499999999999</v>
      </c>
      <c r="M182" s="2">
        <v>1.0643</v>
      </c>
      <c r="N182" s="2">
        <v>3.0484</v>
      </c>
      <c r="O182" s="2">
        <v>0.6905</v>
      </c>
      <c r="P182" s="2">
        <v>16.284800000000001</v>
      </c>
      <c r="Q182" s="2">
        <v>3.3203</v>
      </c>
      <c r="R182" s="2">
        <v>-3571.278198574817</v>
      </c>
      <c r="S182" s="2">
        <v>-29.302900000000001</v>
      </c>
      <c r="T182" s="2">
        <v>-149.60140000000001</v>
      </c>
      <c r="U182" s="2">
        <v>99.646500000000003</v>
      </c>
      <c r="V182" s="2">
        <v>11.651127281832716</v>
      </c>
      <c r="W182" s="2">
        <v>-0.30697249092055806</v>
      </c>
      <c r="X182" s="2">
        <v>94.98</v>
      </c>
      <c r="Y182" s="2">
        <v>8.99</v>
      </c>
      <c r="Z182" s="4">
        <v>6.7</v>
      </c>
      <c r="AA182" s="4">
        <v>11.3</v>
      </c>
      <c r="AB182" s="2">
        <v>2</v>
      </c>
      <c r="AC182" s="2">
        <v>15.9</v>
      </c>
      <c r="AD182" s="2">
        <v>7.7000000000000028</v>
      </c>
      <c r="AE182" s="2">
        <v>1</v>
      </c>
    </row>
    <row r="183" spans="1:31" x14ac:dyDescent="0.25">
      <c r="A183" s="2" t="s">
        <v>157</v>
      </c>
      <c r="B183" s="2">
        <v>2016</v>
      </c>
      <c r="C183" s="2" t="s">
        <v>280</v>
      </c>
      <c r="D183" s="2" t="s">
        <v>328</v>
      </c>
      <c r="E183" s="2">
        <v>-1.2977000000000001</v>
      </c>
      <c r="F183" s="2">
        <v>-33.531700000000001</v>
      </c>
      <c r="G183" s="2">
        <v>-22.1906</v>
      </c>
      <c r="H183" s="2">
        <v>0.57530000000000003</v>
      </c>
      <c r="I183" s="2">
        <v>0.4909</v>
      </c>
      <c r="J183">
        <f>0.239432787806408*(100)</f>
        <v>23.943278780640799</v>
      </c>
      <c r="K183">
        <f>0.0198*(100)</f>
        <v>1.9800000000000002</v>
      </c>
      <c r="L183" s="2">
        <v>5.0571999999999999</v>
      </c>
      <c r="M183" s="2">
        <v>0.85289999999999999</v>
      </c>
      <c r="N183" s="2">
        <v>0.75370000000000004</v>
      </c>
      <c r="O183" s="2">
        <v>0.21990000000000001</v>
      </c>
      <c r="P183" s="2">
        <v>4.6571999999999996</v>
      </c>
      <c r="Q183" s="2">
        <v>-23.358799999999999</v>
      </c>
      <c r="R183" s="2">
        <v>-92.393188422557742</v>
      </c>
      <c r="S183" s="2">
        <v>5.6901999999999999</v>
      </c>
      <c r="T183" s="2">
        <v>-30.895099999999999</v>
      </c>
      <c r="U183" s="2">
        <v>87.936700000000002</v>
      </c>
      <c r="V183" s="2">
        <v>44.210273791092078</v>
      </c>
      <c r="W183" s="2">
        <v>0.27903717355976021</v>
      </c>
      <c r="X183" s="2">
        <v>115.57</v>
      </c>
      <c r="Y183" s="2">
        <v>8.15</v>
      </c>
      <c r="Z183" s="4">
        <v>6.7</v>
      </c>
      <c r="AA183" s="4">
        <v>11.3</v>
      </c>
      <c r="AB183" s="2">
        <v>2</v>
      </c>
      <c r="AC183" s="2">
        <v>15.9</v>
      </c>
      <c r="AD183" s="2">
        <v>7.7000000000000028</v>
      </c>
      <c r="AE183" s="2">
        <v>1</v>
      </c>
    </row>
    <row r="184" spans="1:31" x14ac:dyDescent="0.25">
      <c r="A184" s="2" t="s">
        <v>159</v>
      </c>
      <c r="B184" s="2">
        <v>2016</v>
      </c>
      <c r="C184" s="2" t="s">
        <v>275</v>
      </c>
      <c r="D184" s="2" t="s">
        <v>297</v>
      </c>
      <c r="E184" s="2">
        <v>3.6381999999999999</v>
      </c>
      <c r="F184" s="2">
        <v>-5.4676999999999998</v>
      </c>
      <c r="G184" s="2">
        <v>1.3127</v>
      </c>
      <c r="H184" s="2">
        <v>0.55740000000000001</v>
      </c>
      <c r="I184" s="2">
        <v>0.4647</v>
      </c>
      <c r="J184">
        <f>0.240614351988492*(100)</f>
        <v>24.0614351988492</v>
      </c>
      <c r="K184">
        <f>0.0246*(100)</f>
        <v>2.46</v>
      </c>
      <c r="L184" s="2">
        <v>3.4472999999999998</v>
      </c>
      <c r="M184" s="2">
        <v>0.90610000000000002</v>
      </c>
      <c r="N184" s="2">
        <v>0.63139999999999996</v>
      </c>
      <c r="O184" s="2">
        <v>0.25729999999999997</v>
      </c>
      <c r="P184" s="2">
        <v>38.8322</v>
      </c>
      <c r="Q184" s="2">
        <v>-3.3532000000000002</v>
      </c>
      <c r="R184" s="2">
        <v>-1.3279191384984279</v>
      </c>
      <c r="S184" s="2">
        <v>1.4770000000000001</v>
      </c>
      <c r="T184" s="2">
        <v>-30.376200000000001</v>
      </c>
      <c r="U184" s="2">
        <v>74.057199999999995</v>
      </c>
      <c r="V184" s="2">
        <v>22.374767302923125</v>
      </c>
      <c r="W184" s="2">
        <v>0.14209978747844421</v>
      </c>
      <c r="X184" s="2">
        <v>80.2</v>
      </c>
      <c r="Y184" s="2">
        <v>7.13</v>
      </c>
      <c r="Z184" s="4">
        <v>6.7</v>
      </c>
      <c r="AA184" s="4">
        <v>11.3</v>
      </c>
      <c r="AB184" s="2">
        <v>2</v>
      </c>
      <c r="AC184" s="2">
        <v>15.9</v>
      </c>
      <c r="AD184" s="2">
        <v>5.7000000000000028</v>
      </c>
      <c r="AE184" s="2">
        <v>1</v>
      </c>
    </row>
    <row r="185" spans="1:31" x14ac:dyDescent="0.25">
      <c r="A185" s="2" t="s">
        <v>170</v>
      </c>
      <c r="B185" s="2">
        <v>2015</v>
      </c>
      <c r="C185" s="2" t="s">
        <v>292</v>
      </c>
      <c r="D185" s="2" t="s">
        <v>328</v>
      </c>
      <c r="E185" s="2">
        <v>2.4163000000000001</v>
      </c>
      <c r="F185" s="2">
        <v>-1.6782999999999999</v>
      </c>
      <c r="G185" s="2">
        <v>-0.57779999999999998</v>
      </c>
      <c r="H185" s="2">
        <v>0.57579999999999998</v>
      </c>
      <c r="I185" s="2">
        <v>0.53290000000000004</v>
      </c>
      <c r="J185">
        <f>0.112525113129798*(100)</f>
        <v>11.2525113129798</v>
      </c>
      <c r="K185">
        <f>0.0014*(100)</f>
        <v>0.13999999999999999</v>
      </c>
      <c r="L185" s="2">
        <v>7.1410999999999998</v>
      </c>
      <c r="M185" s="2">
        <v>0.6583</v>
      </c>
      <c r="N185" s="2">
        <v>1.9699</v>
      </c>
      <c r="O185" s="2">
        <v>0.27060000000000001</v>
      </c>
      <c r="P185" s="2">
        <v>7.9408000000000003</v>
      </c>
      <c r="Q185" s="2">
        <v>34.946399999999997</v>
      </c>
      <c r="R185" s="2">
        <v>-84.18774659094872</v>
      </c>
      <c r="S185" s="2">
        <v>26.977499999999999</v>
      </c>
      <c r="T185" s="2">
        <v>11.892799999999999</v>
      </c>
      <c r="U185" s="2">
        <v>85.907499999999999</v>
      </c>
      <c r="V185" s="2">
        <v>13.349959550601314</v>
      </c>
      <c r="W185" s="2">
        <v>0.72510009916675611</v>
      </c>
      <c r="X185" s="2">
        <v>56.73</v>
      </c>
      <c r="Y185" s="2">
        <v>0.51</v>
      </c>
      <c r="Z185" s="4">
        <v>6.9099999999999993</v>
      </c>
      <c r="AA185" s="4">
        <v>13.3</v>
      </c>
      <c r="AB185" s="2">
        <v>1.4</v>
      </c>
      <c r="AC185" s="2">
        <v>17.600000000000001</v>
      </c>
      <c r="AD185" s="2">
        <v>5.7000000000000028</v>
      </c>
      <c r="AE185" s="2">
        <v>1</v>
      </c>
    </row>
    <row r="186" spans="1:31" x14ac:dyDescent="0.25">
      <c r="A186" s="2" t="s">
        <v>171</v>
      </c>
      <c r="B186" s="2">
        <v>2015</v>
      </c>
      <c r="C186" s="2" t="s">
        <v>293</v>
      </c>
      <c r="D186" s="2" t="s">
        <v>307</v>
      </c>
      <c r="E186" s="2">
        <v>6.5602999999999998</v>
      </c>
      <c r="F186" s="2">
        <v>4.4871999999999996</v>
      </c>
      <c r="G186" s="2">
        <v>5.5252999999999997</v>
      </c>
      <c r="H186" s="2">
        <v>4.5115999999999996</v>
      </c>
      <c r="I186" s="2">
        <v>3.4382999999999999</v>
      </c>
      <c r="J186">
        <f>0.735086123388115*(100)</f>
        <v>73.508612338811503</v>
      </c>
      <c r="K186">
        <f>0.1811*(100)</f>
        <v>18.11</v>
      </c>
      <c r="L186" s="2">
        <v>3.6179999999999999</v>
      </c>
      <c r="M186" s="2">
        <v>1.0041</v>
      </c>
      <c r="N186" s="2">
        <v>2.3087</v>
      </c>
      <c r="O186" s="2">
        <v>0.61170000000000002</v>
      </c>
      <c r="P186" s="2">
        <v>3.6732</v>
      </c>
      <c r="Q186" s="2">
        <v>-9.3053000000000008</v>
      </c>
      <c r="R186" s="2">
        <v>-41.123798396844798</v>
      </c>
      <c r="S186" s="2">
        <v>-0.16020000000000001</v>
      </c>
      <c r="T186" s="2">
        <v>4.5902000000000003</v>
      </c>
      <c r="U186" s="2">
        <v>32.979199999999999</v>
      </c>
      <c r="V186" s="2">
        <v>19.92374300070383</v>
      </c>
      <c r="W186" s="2">
        <v>1.9951574499249549</v>
      </c>
      <c r="X186" s="2">
        <v>115.53</v>
      </c>
      <c r="Y186" s="2">
        <v>9.76</v>
      </c>
      <c r="Z186" s="4">
        <v>6.9099999999999993</v>
      </c>
      <c r="AA186" s="4">
        <v>13.3</v>
      </c>
      <c r="AB186" s="2">
        <v>1.4</v>
      </c>
      <c r="AC186" s="2">
        <v>17.600000000000001</v>
      </c>
      <c r="AD186" s="2">
        <v>6.7000000000000028</v>
      </c>
      <c r="AE186" s="2">
        <v>1</v>
      </c>
    </row>
    <row r="187" spans="1:31" x14ac:dyDescent="0.25">
      <c r="A187" s="2" t="s">
        <v>169</v>
      </c>
      <c r="B187" s="2">
        <v>2015</v>
      </c>
      <c r="C187" s="2" t="s">
        <v>291</v>
      </c>
      <c r="D187" s="2" t="s">
        <v>347</v>
      </c>
      <c r="E187" s="2">
        <v>8.0073000000000008</v>
      </c>
      <c r="F187" s="2">
        <v>11.445499999999999</v>
      </c>
      <c r="G187" s="2">
        <v>23.459599999999998</v>
      </c>
      <c r="H187" s="2">
        <v>0.98309999999999997</v>
      </c>
      <c r="I187" s="2">
        <v>0.88049999999999995</v>
      </c>
      <c r="J187">
        <f>0.0731408816203749*(100)</f>
        <v>7.3140881620374891</v>
      </c>
      <c r="K187">
        <f>0.010932*(100)</f>
        <v>1.0932000000000002</v>
      </c>
      <c r="L187" s="2">
        <v>2.9239999999999999</v>
      </c>
      <c r="M187" s="2">
        <v>0.5706</v>
      </c>
      <c r="N187" s="2">
        <v>2.7501000000000002</v>
      </c>
      <c r="O187" s="2">
        <v>0.25519999999999998</v>
      </c>
      <c r="P187" s="2">
        <v>2.1177999999999999</v>
      </c>
      <c r="Q187" s="2">
        <v>23.103400000000001</v>
      </c>
      <c r="R187" s="2">
        <v>23.0204699341887</v>
      </c>
      <c r="S187" s="2">
        <v>18.840599999999998</v>
      </c>
      <c r="T187" s="2">
        <v>12.340199999999999</v>
      </c>
      <c r="U187" s="2">
        <v>55.936100000000003</v>
      </c>
      <c r="V187" s="2">
        <v>7.5402001157937519</v>
      </c>
      <c r="W187" s="2">
        <v>4.7312002068954024</v>
      </c>
      <c r="X187" s="2">
        <v>220.50684999999999</v>
      </c>
      <c r="Y187" s="2">
        <v>-0.45814999999999712</v>
      </c>
      <c r="Z187" s="4">
        <v>6.9099999999999993</v>
      </c>
      <c r="AA187" s="4">
        <v>13.3</v>
      </c>
      <c r="AB187" s="2">
        <v>1.4</v>
      </c>
      <c r="AC187" s="2">
        <v>17.600000000000001</v>
      </c>
      <c r="AD187" s="2">
        <v>5.7000000000000028</v>
      </c>
      <c r="AE187" s="2">
        <v>1</v>
      </c>
    </row>
    <row r="188" spans="1:31" x14ac:dyDescent="0.25">
      <c r="A188" s="5" t="s">
        <v>173</v>
      </c>
      <c r="B188" s="5">
        <v>2015</v>
      </c>
      <c r="C188" s="5" t="s">
        <v>288</v>
      </c>
      <c r="D188" s="5" t="s">
        <v>346</v>
      </c>
      <c r="E188" s="5">
        <v>-1.3184</v>
      </c>
      <c r="F188" s="5">
        <v>-5.8906999999999998</v>
      </c>
      <c r="G188" s="5">
        <v>-20.8186</v>
      </c>
      <c r="H188" s="5">
        <v>4.6154000000000002</v>
      </c>
      <c r="I188" s="5">
        <v>4.5448000000000004</v>
      </c>
      <c r="J188">
        <f>0.180952548927602*(100)</f>
        <v>18.095254892760202</v>
      </c>
      <c r="K188">
        <f>0.1165*(100)</f>
        <v>11.65</v>
      </c>
      <c r="L188" s="5">
        <v>7.8783000000000003</v>
      </c>
      <c r="M188" s="5">
        <v>0.17280000000000001</v>
      </c>
      <c r="N188" s="5">
        <v>1.0346</v>
      </c>
      <c r="O188" s="5">
        <v>0.14449999999999999</v>
      </c>
      <c r="P188" s="5">
        <v>0.8458</v>
      </c>
      <c r="Q188" s="5">
        <v>-2.1907999999999999</v>
      </c>
      <c r="R188" s="5">
        <v>27.482475465450129</v>
      </c>
      <c r="S188" s="5">
        <v>-6.4429999999999996</v>
      </c>
      <c r="T188" s="5">
        <v>-5.6863000000000001</v>
      </c>
      <c r="U188" s="5">
        <v>44.207500000000003</v>
      </c>
      <c r="V188" s="5">
        <v>25.895642756820859</v>
      </c>
      <c r="W188" s="5">
        <v>4.3480627630103932</v>
      </c>
      <c r="X188" s="5">
        <v>109.12</v>
      </c>
      <c r="Y188" s="5">
        <v>34.450000000000003</v>
      </c>
      <c r="Z188" s="6">
        <v>6.9099999999999993</v>
      </c>
      <c r="AA188" s="6">
        <v>13.3</v>
      </c>
      <c r="AB188" s="5">
        <v>1.4</v>
      </c>
      <c r="AC188" s="5">
        <v>17.600000000000001</v>
      </c>
      <c r="AD188" s="5">
        <v>5.7000000000000028</v>
      </c>
      <c r="AE188" s="5">
        <v>1</v>
      </c>
    </row>
    <row r="189" spans="1:31" x14ac:dyDescent="0.25">
      <c r="A189" s="2" t="s">
        <v>172</v>
      </c>
      <c r="B189" s="2">
        <v>2015</v>
      </c>
      <c r="C189" s="2" t="s">
        <v>294</v>
      </c>
      <c r="D189" s="2" t="s">
        <v>324</v>
      </c>
      <c r="E189" s="2">
        <v>-40.720100000000002</v>
      </c>
      <c r="F189" s="2">
        <v>-45.003829500000023</v>
      </c>
      <c r="G189" s="2">
        <v>-196.63929999999999</v>
      </c>
      <c r="H189" s="2">
        <v>0.4047</v>
      </c>
      <c r="I189" s="2">
        <v>0.2646</v>
      </c>
      <c r="J189">
        <f>0.0511949016087589*(100)</f>
        <v>5.1194901608758903</v>
      </c>
      <c r="K189">
        <f>-0.0427*(100)</f>
        <v>-4.2700000000000005</v>
      </c>
      <c r="L189" s="2">
        <v>1.4296</v>
      </c>
      <c r="M189" s="2">
        <v>0.45369999999999999</v>
      </c>
      <c r="N189" s="2">
        <v>0.60599999999999998</v>
      </c>
      <c r="O189" s="2">
        <v>0.2223</v>
      </c>
      <c r="P189" s="2">
        <v>1.1658999999999999</v>
      </c>
      <c r="Q189" s="2">
        <v>-20.227499999999999</v>
      </c>
      <c r="R189" s="2">
        <v>-146.22214594236701</v>
      </c>
      <c r="S189" s="2">
        <v>-23.409800000000001</v>
      </c>
      <c r="T189" s="2">
        <v>-434.4982</v>
      </c>
      <c r="U189" s="2">
        <v>139.85249999999999</v>
      </c>
      <c r="V189" s="2">
        <v>23.286898877520631</v>
      </c>
      <c r="W189" s="2">
        <v>-1.0240725623358244</v>
      </c>
      <c r="X189" s="2">
        <v>84.34</v>
      </c>
      <c r="Y189" s="2">
        <v>-23.3</v>
      </c>
      <c r="Z189" s="4">
        <v>6.9099999999999993</v>
      </c>
      <c r="AA189" s="4">
        <v>13.3</v>
      </c>
      <c r="AB189" s="2">
        <v>1.4</v>
      </c>
      <c r="AC189" s="2">
        <v>17.600000000000001</v>
      </c>
      <c r="AD189" s="2">
        <v>5.7000000000000028</v>
      </c>
      <c r="AE189" s="2">
        <v>1</v>
      </c>
    </row>
    <row r="190" spans="1:31" x14ac:dyDescent="0.25">
      <c r="A190" s="2" t="s">
        <v>168</v>
      </c>
      <c r="B190" s="2">
        <v>2015</v>
      </c>
      <c r="C190" s="2" t="s">
        <v>289</v>
      </c>
      <c r="D190" s="2" t="s">
        <v>347</v>
      </c>
      <c r="E190" s="2">
        <v>-49.936599999999999</v>
      </c>
      <c r="F190" s="2">
        <v>-45.003829500000023</v>
      </c>
      <c r="G190" s="2">
        <v>-188.4992</v>
      </c>
      <c r="H190" s="2">
        <v>0.90539999999999998</v>
      </c>
      <c r="I190" s="2">
        <v>0.69369999999999998</v>
      </c>
      <c r="J190">
        <f>0.194669689291571*(100)</f>
        <v>19.466968929157101</v>
      </c>
      <c r="K190">
        <f>0.0249*(100)</f>
        <v>2.4899999999999998</v>
      </c>
      <c r="L190" s="2">
        <v>1.8050999999999999</v>
      </c>
      <c r="M190" s="2">
        <v>0.48020000000000002</v>
      </c>
      <c r="N190" s="2">
        <v>1.3331999999999999</v>
      </c>
      <c r="O190" s="2">
        <v>0.2732</v>
      </c>
      <c r="P190" s="2">
        <v>1.7902</v>
      </c>
      <c r="Q190" s="2">
        <v>-32.735900000000001</v>
      </c>
      <c r="R190" s="2">
        <v>-59.006885346307868</v>
      </c>
      <c r="S190" s="2">
        <v>-44.906500000000001</v>
      </c>
      <c r="T190" s="2">
        <v>-437.88479999999998</v>
      </c>
      <c r="U190" s="2">
        <v>162.2038</v>
      </c>
      <c r="V190" s="2">
        <v>93.108340654473579</v>
      </c>
      <c r="W190" s="2">
        <v>-2.9746447439398738</v>
      </c>
      <c r="X190" s="2">
        <v>117.35</v>
      </c>
      <c r="Y190" s="2">
        <v>10.52</v>
      </c>
      <c r="Z190" s="4">
        <v>6.9099999999999993</v>
      </c>
      <c r="AA190" s="4">
        <v>13.3</v>
      </c>
      <c r="AB190" s="2">
        <v>1.4</v>
      </c>
      <c r="AC190" s="2">
        <v>17.600000000000001</v>
      </c>
      <c r="AD190" s="2">
        <v>5.7000000000000028</v>
      </c>
      <c r="AE190" s="2">
        <v>1</v>
      </c>
    </row>
    <row r="191" spans="1:31" x14ac:dyDescent="0.25">
      <c r="A191" s="2" t="s">
        <v>348</v>
      </c>
      <c r="B191" s="2">
        <v>2015</v>
      </c>
      <c r="C191" s="2" t="s">
        <v>600</v>
      </c>
      <c r="D191" s="2" t="s">
        <v>325</v>
      </c>
      <c r="E191" s="2">
        <v>4.3121999999999998</v>
      </c>
      <c r="F191" s="2">
        <v>4.1965000000000003</v>
      </c>
      <c r="G191" s="2">
        <v>2.4428000000000001</v>
      </c>
      <c r="H191" s="2">
        <v>0.3029</v>
      </c>
      <c r="I191" s="2">
        <v>0.1711</v>
      </c>
      <c r="J191">
        <f>0.0898268627424356*(100)</f>
        <v>8.9826862742435605</v>
      </c>
      <c r="K191">
        <f>0.121028727737503*(100)</f>
        <v>12.102872773750301</v>
      </c>
      <c r="L191" s="2">
        <v>7.36</v>
      </c>
      <c r="M191" s="2">
        <v>3.9525999999999999</v>
      </c>
      <c r="N191" s="2">
        <v>0.89449999999999996</v>
      </c>
      <c r="O191" s="2">
        <v>0.60960000000000003</v>
      </c>
      <c r="P191" s="2">
        <v>240.1319</v>
      </c>
      <c r="Q191" s="2">
        <v>-1.2990999999999999</v>
      </c>
      <c r="R191" s="2">
        <v>-19.8724609667129</v>
      </c>
      <c r="S191" s="2">
        <v>12.611770162823699</v>
      </c>
      <c r="T191" s="2">
        <v>30.752609218366999</v>
      </c>
      <c r="U191" s="2">
        <v>64.397499999999994</v>
      </c>
      <c r="V191" s="2">
        <v>14.040031130548201</v>
      </c>
      <c r="W191" s="5">
        <v>0.53376262553462805</v>
      </c>
      <c r="X191" s="2">
        <v>95.925014965582903</v>
      </c>
      <c r="Y191" s="2">
        <v>13.544186603455898</v>
      </c>
      <c r="Z191" s="4">
        <v>6.9099999999999993</v>
      </c>
      <c r="AA191" s="4">
        <v>13.3</v>
      </c>
      <c r="AB191" s="2">
        <v>1.4</v>
      </c>
      <c r="AC191" s="2">
        <v>17.600000000000001</v>
      </c>
      <c r="AD191" s="2">
        <v>5.7000000000000028</v>
      </c>
      <c r="AE191" s="2">
        <v>0</v>
      </c>
    </row>
    <row r="192" spans="1:31" x14ac:dyDescent="0.25">
      <c r="A192" s="2" t="s">
        <v>348</v>
      </c>
      <c r="B192" s="2">
        <v>2016</v>
      </c>
      <c r="C192" s="2" t="s">
        <v>349</v>
      </c>
      <c r="D192" s="2" t="s">
        <v>325</v>
      </c>
      <c r="E192" s="2">
        <v>3.0394000000000001</v>
      </c>
      <c r="F192" s="2">
        <v>3.1080999999999999</v>
      </c>
      <c r="G192" s="2">
        <v>2.3050000000000002</v>
      </c>
      <c r="H192" s="2">
        <v>0.30220000000000002</v>
      </c>
      <c r="I192" s="2">
        <v>0.17430000000000001</v>
      </c>
      <c r="J192">
        <f>0.0824636116456135*(100)</f>
        <v>8.2463611645613497</v>
      </c>
      <c r="K192">
        <f>0.0659194011614348*(100)</f>
        <v>6.5919401161434799</v>
      </c>
      <c r="L192" s="2">
        <v>6.0892999999999997</v>
      </c>
      <c r="M192" s="2">
        <v>3.0987</v>
      </c>
      <c r="N192" s="2">
        <v>0.72440000000000004</v>
      </c>
      <c r="O192" s="2">
        <v>0.4617</v>
      </c>
      <c r="P192" s="2">
        <v>193.90969999999999</v>
      </c>
      <c r="Q192" s="2">
        <v>-15.1942</v>
      </c>
      <c r="R192" s="2">
        <v>-12.6906541249072</v>
      </c>
      <c r="S192" s="2">
        <v>12.0612621238856</v>
      </c>
      <c r="T192" s="2">
        <v>8.0418450667617893</v>
      </c>
      <c r="U192" s="2">
        <v>65.523200000000003</v>
      </c>
      <c r="V192" s="2">
        <v>17.267465696598798</v>
      </c>
      <c r="W192" s="2">
        <v>0.56443540553594895</v>
      </c>
      <c r="X192" s="2">
        <v>103.43784697576801</v>
      </c>
      <c r="Y192" s="2">
        <v>9.888066129191051</v>
      </c>
      <c r="Z192" s="4">
        <v>6.7</v>
      </c>
      <c r="AA192" s="4">
        <v>11.3</v>
      </c>
      <c r="AB192" s="2">
        <v>2</v>
      </c>
      <c r="AC192" s="2">
        <v>15.9</v>
      </c>
      <c r="AD192" s="2">
        <v>5.7000000000000028</v>
      </c>
      <c r="AE192" s="2">
        <v>0</v>
      </c>
    </row>
    <row r="193" spans="1:31" x14ac:dyDescent="0.25">
      <c r="A193" s="2" t="s">
        <v>348</v>
      </c>
      <c r="B193" s="2">
        <v>2020</v>
      </c>
      <c r="C193" s="2" t="s">
        <v>349</v>
      </c>
      <c r="D193" s="2" t="s">
        <v>325</v>
      </c>
      <c r="E193" s="2">
        <v>5.2008000000000001</v>
      </c>
      <c r="F193" s="2">
        <v>6.4813999999999998</v>
      </c>
      <c r="G193" s="2">
        <v>6.1798999999999999</v>
      </c>
      <c r="H193" s="2">
        <v>0.26350000000000001</v>
      </c>
      <c r="I193" s="2">
        <v>0.12870000000000001</v>
      </c>
      <c r="J193">
        <f>0.0259317990776201*(100)</f>
        <v>2.5931799077620101</v>
      </c>
      <c r="K193">
        <f>0.172150538289079*(100)</f>
        <v>17.215053828907902</v>
      </c>
      <c r="L193" s="2">
        <v>9.6760000000000002</v>
      </c>
      <c r="M193" s="2">
        <v>5.1767000000000003</v>
      </c>
      <c r="N193" s="2">
        <v>0.82420000000000004</v>
      </c>
      <c r="O193" s="2">
        <v>0.56669999999999998</v>
      </c>
      <c r="P193" s="2">
        <v>249.7448</v>
      </c>
      <c r="Q193" s="2">
        <v>-3.5249000000000001</v>
      </c>
      <c r="R193" s="2">
        <v>-52.221764982465899</v>
      </c>
      <c r="S193" s="2">
        <v>3.0507073386919501</v>
      </c>
      <c r="T193" s="2">
        <v>25.8322016653389</v>
      </c>
      <c r="U193" s="2">
        <v>54.866100000000003</v>
      </c>
      <c r="V193" s="2">
        <v>10.845354874605</v>
      </c>
      <c r="W193" s="2">
        <v>0.66863741013117906</v>
      </c>
      <c r="X193" s="2">
        <v>113.418480433718</v>
      </c>
      <c r="Y193" s="2">
        <v>17.1128759439787</v>
      </c>
      <c r="Z193" s="4">
        <v>2.2999999999999998</v>
      </c>
      <c r="AA193" s="4">
        <v>10.100000000000001</v>
      </c>
      <c r="AB193" s="2">
        <v>2.5</v>
      </c>
      <c r="AC193" s="2">
        <v>16.100000000000001</v>
      </c>
      <c r="AD193" s="2">
        <v>2.4000000000000057</v>
      </c>
      <c r="AE193" s="2">
        <v>0</v>
      </c>
    </row>
    <row r="194" spans="1:31" x14ac:dyDescent="0.25">
      <c r="A194" s="2" t="s">
        <v>348</v>
      </c>
      <c r="B194" s="2">
        <v>2021</v>
      </c>
      <c r="C194" s="2" t="s">
        <v>349</v>
      </c>
      <c r="D194" s="2" t="s">
        <v>325</v>
      </c>
      <c r="E194" s="2">
        <v>20.305499999999999</v>
      </c>
      <c r="F194" s="2">
        <v>28.6831</v>
      </c>
      <c r="G194" s="2">
        <v>21.801400000000001</v>
      </c>
      <c r="H194" s="2">
        <v>0.30959999999999999</v>
      </c>
      <c r="I194" s="2">
        <v>0.1149</v>
      </c>
      <c r="J194">
        <f>0.0416262279300516*(100)</f>
        <v>4.16262279300516</v>
      </c>
      <c r="K194">
        <f>0.673837019044573*(100)</f>
        <v>67.383701904457311</v>
      </c>
      <c r="L194" s="2">
        <v>12.0802</v>
      </c>
      <c r="M194" s="2">
        <v>9.7619000000000007</v>
      </c>
      <c r="N194" s="2">
        <v>1.4942</v>
      </c>
      <c r="O194" s="2">
        <v>0.99370000000000003</v>
      </c>
      <c r="P194" s="2">
        <v>429.88229999999999</v>
      </c>
      <c r="Q194" s="2">
        <v>80.710700000000003</v>
      </c>
      <c r="R194" s="2">
        <v>459.97122808659299</v>
      </c>
      <c r="S194" s="2">
        <v>0.75772001224629604</v>
      </c>
      <c r="T194" s="2">
        <v>25.827238590789399</v>
      </c>
      <c r="U194" s="2">
        <v>43.734000000000002</v>
      </c>
      <c r="V194" s="2">
        <v>15.4085432042065</v>
      </c>
      <c r="W194" s="5">
        <v>0.85872760543339899</v>
      </c>
      <c r="X194" s="2">
        <v>111.03162328604199</v>
      </c>
      <c r="Y194" s="2">
        <v>29.767330368994401</v>
      </c>
      <c r="Z194" s="4">
        <v>8.4</v>
      </c>
      <c r="AA194" s="4">
        <v>9</v>
      </c>
      <c r="AB194" s="2">
        <v>0.9</v>
      </c>
      <c r="AC194" s="2">
        <v>20.9</v>
      </c>
      <c r="AD194" s="2">
        <v>10.400000000000006</v>
      </c>
      <c r="AE194" s="2">
        <v>0</v>
      </c>
    </row>
    <row r="195" spans="1:31" x14ac:dyDescent="0.25">
      <c r="A195" s="2" t="s">
        <v>350</v>
      </c>
      <c r="B195" s="2">
        <v>2014</v>
      </c>
      <c r="C195" s="2" t="s">
        <v>351</v>
      </c>
      <c r="D195" s="2" t="s">
        <v>297</v>
      </c>
      <c r="E195" s="2">
        <v>7.2491000000000003</v>
      </c>
      <c r="F195" s="2">
        <v>11.8727</v>
      </c>
      <c r="G195" s="2">
        <v>8.5444999999999993</v>
      </c>
      <c r="H195" s="2">
        <v>0.92110000000000003</v>
      </c>
      <c r="I195" s="2">
        <v>0.87219999999999998</v>
      </c>
      <c r="J195">
        <f>0.175988292243576*(100)</f>
        <v>17.598829224357601</v>
      </c>
      <c r="K195">
        <f>-0.108119193303353*(100)</f>
        <v>-10.8119193303353</v>
      </c>
      <c r="L195" s="2">
        <v>14.8468</v>
      </c>
      <c r="M195" s="2">
        <v>1.0555000000000001</v>
      </c>
      <c r="N195" s="2">
        <v>4.1989999999999998</v>
      </c>
      <c r="O195" s="2">
        <v>0.56340000000000001</v>
      </c>
      <c r="P195" s="2">
        <v>2.1168</v>
      </c>
      <c r="Q195" s="2">
        <v>14.453900000000001</v>
      </c>
      <c r="R195" s="2">
        <v>4.1665482962131701</v>
      </c>
      <c r="S195" s="2">
        <v>27.716894910151701</v>
      </c>
      <c r="T195" s="2">
        <v>9.8603733566479494</v>
      </c>
      <c r="U195" s="2">
        <v>70.850800000000007</v>
      </c>
      <c r="V195" s="2">
        <v>15.6410220774028</v>
      </c>
      <c r="W195" s="2">
        <v>2.0081406666077499</v>
      </c>
      <c r="X195" s="2">
        <v>68.458940399248206</v>
      </c>
      <c r="Y195" s="2">
        <v>-15.250498084800801</v>
      </c>
      <c r="Z195" s="4">
        <v>7.3</v>
      </c>
      <c r="AA195" s="4">
        <v>12.2</v>
      </c>
      <c r="AB195" s="2">
        <v>2</v>
      </c>
      <c r="AC195" s="2">
        <v>16.899999999999999</v>
      </c>
      <c r="AD195" s="2">
        <v>6.7000000000000028</v>
      </c>
      <c r="AE195" s="2">
        <v>0</v>
      </c>
    </row>
    <row r="196" spans="1:31" x14ac:dyDescent="0.25">
      <c r="A196" s="2" t="s">
        <v>350</v>
      </c>
      <c r="B196" s="2">
        <v>2015</v>
      </c>
      <c r="C196" s="2" t="s">
        <v>351</v>
      </c>
      <c r="D196" s="2" t="s">
        <v>297</v>
      </c>
      <c r="E196" s="2">
        <v>4.0468999999999999</v>
      </c>
      <c r="F196" s="2">
        <v>4.1520000000000001</v>
      </c>
      <c r="G196" s="2">
        <v>3.4687000000000001</v>
      </c>
      <c r="H196" s="2">
        <v>0.84889999999999999</v>
      </c>
      <c r="I196" s="2">
        <v>0.79849999999999999</v>
      </c>
      <c r="J196">
        <f>0.211621937331276*(100)</f>
        <v>21.162193733127598</v>
      </c>
      <c r="K196">
        <f>0.0333483615077318*(100)</f>
        <v>3.3348361507731803</v>
      </c>
      <c r="L196" s="2">
        <v>9.7321000000000009</v>
      </c>
      <c r="M196" s="2">
        <v>0.76839999999999997</v>
      </c>
      <c r="N196" s="2">
        <v>2.7454000000000001</v>
      </c>
      <c r="O196" s="2">
        <v>0.39329999999999998</v>
      </c>
      <c r="P196" s="2">
        <v>1.4998</v>
      </c>
      <c r="Q196" s="2">
        <v>-19.008600000000001</v>
      </c>
      <c r="R196" s="2">
        <v>-66.5146271080784</v>
      </c>
      <c r="S196" s="2">
        <v>6.8802833139480599</v>
      </c>
      <c r="T196" s="2">
        <v>1.6845662376958499</v>
      </c>
      <c r="U196" s="2">
        <v>72.126300000000001</v>
      </c>
      <c r="V196" s="2">
        <v>11.4692102504945</v>
      </c>
      <c r="W196" s="2">
        <v>1.96982033552238</v>
      </c>
      <c r="X196" s="2">
        <v>87.128738614126505</v>
      </c>
      <c r="Y196" s="2">
        <v>6.3186986922747002</v>
      </c>
      <c r="Z196" s="4">
        <v>6.9099999999999993</v>
      </c>
      <c r="AA196" s="4">
        <v>13.3</v>
      </c>
      <c r="AB196" s="2">
        <v>1.4</v>
      </c>
      <c r="AC196" s="2">
        <v>17.600000000000001</v>
      </c>
      <c r="AD196" s="2">
        <v>5.7000000000000028</v>
      </c>
      <c r="AE196" s="2">
        <v>0</v>
      </c>
    </row>
    <row r="197" spans="1:31" x14ac:dyDescent="0.25">
      <c r="A197" s="2" t="s">
        <v>350</v>
      </c>
      <c r="B197" s="2">
        <v>2016</v>
      </c>
      <c r="C197" s="2" t="s">
        <v>351</v>
      </c>
      <c r="D197" s="2" t="s">
        <v>297</v>
      </c>
      <c r="E197" s="2">
        <v>3.6375999999999999</v>
      </c>
      <c r="F197" s="2">
        <v>3.1067</v>
      </c>
      <c r="G197" s="2">
        <v>3.5838000000000001</v>
      </c>
      <c r="H197" s="2">
        <v>1.0227999999999999</v>
      </c>
      <c r="I197" s="2">
        <v>0.95960000000000001</v>
      </c>
      <c r="J197">
        <f>0.21459438889565*(100)</f>
        <v>21.459438889565</v>
      </c>
      <c r="K197">
        <f>0.157976664928353*(100)</f>
        <v>15.797666492835299</v>
      </c>
      <c r="L197" s="2">
        <v>9.6768999999999998</v>
      </c>
      <c r="M197" s="2">
        <v>0.79849999999999999</v>
      </c>
      <c r="N197" s="2">
        <v>2.8990999999999998</v>
      </c>
      <c r="O197" s="2">
        <v>0.43340000000000001</v>
      </c>
      <c r="P197" s="2">
        <v>1.5619000000000001</v>
      </c>
      <c r="Q197" s="2">
        <v>8.9047000000000001</v>
      </c>
      <c r="R197" s="2">
        <v>-11.518428900528001</v>
      </c>
      <c r="S197" s="2">
        <v>-12.0760450905045</v>
      </c>
      <c r="T197" s="2">
        <v>2.1849639354742201</v>
      </c>
      <c r="U197" s="2">
        <v>67.699700000000007</v>
      </c>
      <c r="V197" s="2">
        <v>11.542146330276699</v>
      </c>
      <c r="W197" s="2">
        <v>2.0371864665790498</v>
      </c>
      <c r="X197" s="2">
        <v>121.219151457251</v>
      </c>
      <c r="Y197" s="2">
        <v>23.093415009288503</v>
      </c>
      <c r="Z197" s="4">
        <v>6.7</v>
      </c>
      <c r="AA197" s="4">
        <v>11.3</v>
      </c>
      <c r="AB197" s="2">
        <v>2</v>
      </c>
      <c r="AC197" s="2">
        <v>15.9</v>
      </c>
      <c r="AD197" s="2">
        <v>5.7000000000000028</v>
      </c>
      <c r="AE197" s="2">
        <v>0</v>
      </c>
    </row>
    <row r="198" spans="1:31" x14ac:dyDescent="0.25">
      <c r="A198" s="2" t="s">
        <v>350</v>
      </c>
      <c r="B198" s="2">
        <v>2017</v>
      </c>
      <c r="C198" s="2" t="s">
        <v>351</v>
      </c>
      <c r="D198" s="2" t="s">
        <v>297</v>
      </c>
      <c r="E198" s="2">
        <v>3.8426999999999998</v>
      </c>
      <c r="F198" s="2">
        <v>3.7646000000000002</v>
      </c>
      <c r="G198" s="2">
        <v>3.0773999999999999</v>
      </c>
      <c r="H198" s="2">
        <v>1.3466</v>
      </c>
      <c r="I198" s="2">
        <v>1.2921</v>
      </c>
      <c r="J198">
        <f>0.272738714456396*(100)</f>
        <v>27.273871445639603</v>
      </c>
      <c r="K198">
        <f>0.136543233564559*(100)</f>
        <v>13.654323356455899</v>
      </c>
      <c r="L198" s="2">
        <v>14.457599999999999</v>
      </c>
      <c r="M198" s="2">
        <v>0.89039999999999997</v>
      </c>
      <c r="N198" s="2">
        <v>3.9030999999999998</v>
      </c>
      <c r="O198" s="2">
        <v>0.60589999999999999</v>
      </c>
      <c r="P198" s="2">
        <v>1.5238</v>
      </c>
      <c r="Q198" s="2">
        <v>35.787100000000002</v>
      </c>
      <c r="R198" s="2">
        <v>25.107554787594001</v>
      </c>
      <c r="S198" s="2">
        <v>7.1526383476987698</v>
      </c>
      <c r="T198" s="2">
        <v>2.4015795876861601</v>
      </c>
      <c r="U198" s="2">
        <v>69.219499999999996</v>
      </c>
      <c r="V198" s="2">
        <v>11.329621509531099</v>
      </c>
      <c r="W198" s="2">
        <v>2.02312690191558</v>
      </c>
      <c r="X198" s="2">
        <v>91.2801305443014</v>
      </c>
      <c r="Y198" s="2">
        <v>16.1372707887693</v>
      </c>
      <c r="Z198" s="4">
        <v>6.9</v>
      </c>
      <c r="AA198" s="4">
        <v>8.2000000000000011</v>
      </c>
      <c r="AB198" s="2">
        <v>1.6</v>
      </c>
      <c r="AC198" s="2">
        <v>16.3</v>
      </c>
      <c r="AD198" s="2">
        <v>6.2000000000000028</v>
      </c>
      <c r="AE198" s="2">
        <v>0</v>
      </c>
    </row>
    <row r="199" spans="1:31" x14ac:dyDescent="0.25">
      <c r="A199" s="2" t="s">
        <v>350</v>
      </c>
      <c r="B199" s="2">
        <v>2018</v>
      </c>
      <c r="C199" s="2" t="s">
        <v>351</v>
      </c>
      <c r="D199" s="2" t="s">
        <v>297</v>
      </c>
      <c r="E199" s="2">
        <v>5.2319000000000004</v>
      </c>
      <c r="F199" s="2">
        <v>6.6505999999999998</v>
      </c>
      <c r="G199" s="2">
        <v>5.0491999999999999</v>
      </c>
      <c r="H199" s="2">
        <v>1.3682000000000001</v>
      </c>
      <c r="I199" s="2">
        <v>1.2987</v>
      </c>
      <c r="J199">
        <f>0.173323599082168*(100)</f>
        <v>17.332359908216798</v>
      </c>
      <c r="K199">
        <f>-0.0538942168125725*(100)</f>
        <v>-5.3894216812572493</v>
      </c>
      <c r="L199" s="2">
        <v>14.228400000000001</v>
      </c>
      <c r="M199" s="2">
        <v>0.84509999999999996</v>
      </c>
      <c r="N199" s="2">
        <v>3.9704000000000002</v>
      </c>
      <c r="O199" s="2">
        <v>0.63929999999999998</v>
      </c>
      <c r="P199" s="2">
        <v>1.3532999999999999</v>
      </c>
      <c r="Q199" s="2">
        <v>12.7607</v>
      </c>
      <c r="R199" s="2">
        <v>18.993862645001801</v>
      </c>
      <c r="S199" s="2">
        <v>13.7517009259477</v>
      </c>
      <c r="T199" s="2">
        <v>13.2515159183777</v>
      </c>
      <c r="U199" s="2">
        <v>67.220299999999995</v>
      </c>
      <c r="V199" s="2">
        <v>13.1219268705633</v>
      </c>
      <c r="W199" s="2">
        <v>1.95910537897265</v>
      </c>
      <c r="X199" s="2">
        <v>83.333027456290694</v>
      </c>
      <c r="Y199" s="2">
        <v>-6.6314619871389704</v>
      </c>
      <c r="Z199" s="4">
        <v>6.6000000000000005</v>
      </c>
      <c r="AA199" s="4">
        <v>8.1</v>
      </c>
      <c r="AB199" s="2">
        <v>2.1</v>
      </c>
      <c r="AC199" s="2">
        <v>12.5</v>
      </c>
      <c r="AD199" s="2">
        <v>6.0999999999999943</v>
      </c>
      <c r="AE199" s="2">
        <v>0</v>
      </c>
    </row>
    <row r="200" spans="1:31" x14ac:dyDescent="0.25">
      <c r="A200" s="2" t="s">
        <v>350</v>
      </c>
      <c r="B200" s="2">
        <v>2019</v>
      </c>
      <c r="C200" s="2" t="s">
        <v>351</v>
      </c>
      <c r="D200" s="2" t="s">
        <v>297</v>
      </c>
      <c r="E200" s="2">
        <v>3.7479</v>
      </c>
      <c r="F200" s="2">
        <v>4.4074</v>
      </c>
      <c r="G200" s="2">
        <v>4.9409000000000001</v>
      </c>
      <c r="H200" s="2">
        <v>1.3335999999999999</v>
      </c>
      <c r="I200" s="2">
        <v>1.2806999999999999</v>
      </c>
      <c r="J200">
        <f>0.258424694917843*(100)</f>
        <v>25.842469491784296</v>
      </c>
      <c r="K200">
        <f>0.038514535364526*(100)</f>
        <v>3.8514535364526004</v>
      </c>
      <c r="L200" s="2">
        <v>9.0937999999999999</v>
      </c>
      <c r="M200" s="2">
        <v>0.56210000000000004</v>
      </c>
      <c r="N200" s="2">
        <v>2.6964000000000001</v>
      </c>
      <c r="O200" s="2">
        <v>0.42180000000000001</v>
      </c>
      <c r="P200" s="2">
        <v>0.93969999999999998</v>
      </c>
      <c r="Q200" s="2">
        <v>-16.832699999999999</v>
      </c>
      <c r="R200" s="2">
        <v>-23.686087937243698</v>
      </c>
      <c r="S200" s="2">
        <v>15.6782418764881</v>
      </c>
      <c r="T200" s="2">
        <v>2.9521168844227001</v>
      </c>
      <c r="U200" s="2">
        <v>67.512900000000002</v>
      </c>
      <c r="V200" s="2">
        <v>10.593694166163701</v>
      </c>
      <c r="W200" s="2">
        <v>2.2099049953652101</v>
      </c>
      <c r="X200" s="2">
        <v>83.147627456975201</v>
      </c>
      <c r="Y200" s="2">
        <v>6.6133068571675908</v>
      </c>
      <c r="Z200" s="4">
        <v>6</v>
      </c>
      <c r="AA200" s="4">
        <v>8.6999999999999993</v>
      </c>
      <c r="AB200" s="2">
        <v>2.9</v>
      </c>
      <c r="AC200" s="2">
        <v>15.6</v>
      </c>
      <c r="AD200" s="2">
        <v>4.7999999999999972</v>
      </c>
      <c r="AE200" s="2">
        <v>0</v>
      </c>
    </row>
    <row r="201" spans="1:31" x14ac:dyDescent="0.25">
      <c r="A201" s="2" t="s">
        <v>350</v>
      </c>
      <c r="B201" s="2">
        <v>2020</v>
      </c>
      <c r="C201" s="2" t="s">
        <v>351</v>
      </c>
      <c r="D201" s="2" t="s">
        <v>297</v>
      </c>
      <c r="E201" s="2">
        <v>2.9956</v>
      </c>
      <c r="F201" s="2">
        <v>3.6857000000000002</v>
      </c>
      <c r="G201" s="2">
        <v>3.8786</v>
      </c>
      <c r="H201" s="2">
        <v>1.3015000000000001</v>
      </c>
      <c r="I201" s="2">
        <v>1.2670999999999999</v>
      </c>
      <c r="J201">
        <f>0.199457505002148*(100)</f>
        <v>19.9457505002148</v>
      </c>
      <c r="K201">
        <f>0.0455557817802925*(100)</f>
        <v>4.5555781780292497</v>
      </c>
      <c r="L201" s="2">
        <v>8.4524000000000008</v>
      </c>
      <c r="M201" s="2">
        <v>0.58250000000000002</v>
      </c>
      <c r="N201" s="2">
        <v>3.1787000000000001</v>
      </c>
      <c r="O201" s="2">
        <v>0.42749999999999999</v>
      </c>
      <c r="P201" s="2">
        <v>1.0048999999999999</v>
      </c>
      <c r="Q201" s="2">
        <v>19.0715</v>
      </c>
      <c r="R201" s="2">
        <v>-17.0711904313345</v>
      </c>
      <c r="S201" s="2">
        <v>18.948020700887199</v>
      </c>
      <c r="T201" s="2">
        <v>2.7273913680939201</v>
      </c>
      <c r="U201" s="2">
        <v>71.035799999999995</v>
      </c>
      <c r="V201" s="2">
        <v>16.279817613720297</v>
      </c>
      <c r="W201" s="2">
        <v>2.33613455404676</v>
      </c>
      <c r="X201" s="2">
        <v>83.132057587790499</v>
      </c>
      <c r="Y201" s="2">
        <v>8.2255259147186699</v>
      </c>
      <c r="Z201" s="4">
        <v>2.2999999999999998</v>
      </c>
      <c r="AA201" s="4">
        <v>10.100000000000001</v>
      </c>
      <c r="AB201" s="2">
        <v>2.5</v>
      </c>
      <c r="AC201" s="2">
        <v>16.100000000000001</v>
      </c>
      <c r="AD201" s="2">
        <v>2.4000000000000057</v>
      </c>
      <c r="AE201" s="2">
        <v>0</v>
      </c>
    </row>
    <row r="202" spans="1:31" x14ac:dyDescent="0.25">
      <c r="A202" s="2" t="s">
        <v>350</v>
      </c>
      <c r="B202" s="2">
        <v>2021</v>
      </c>
      <c r="C202" s="2" t="s">
        <v>598</v>
      </c>
      <c r="D202" s="2" t="s">
        <v>297</v>
      </c>
      <c r="E202" s="2">
        <v>2.4727000000000001</v>
      </c>
      <c r="F202" s="2">
        <v>2.9298999999999999</v>
      </c>
      <c r="G202" s="2">
        <v>3.3984999999999999</v>
      </c>
      <c r="H202" s="2">
        <v>1.2504999999999999</v>
      </c>
      <c r="I202" s="2">
        <v>1.2085999999999999</v>
      </c>
      <c r="J202">
        <f>0.215016401288926*(100)</f>
        <v>21.5016401288926</v>
      </c>
      <c r="K202">
        <f>-0.00329292807479947*(100)</f>
        <v>-0.32929280747994699</v>
      </c>
      <c r="L202" s="2">
        <v>6.6143999999999998</v>
      </c>
      <c r="M202" s="2">
        <v>0.54720000000000002</v>
      </c>
      <c r="N202" s="2">
        <v>3.3264999999999998</v>
      </c>
      <c r="O202" s="2">
        <v>0.3836</v>
      </c>
      <c r="P202" s="2">
        <v>0.96130000000000004</v>
      </c>
      <c r="Q202" s="2">
        <v>0.83720000000000006</v>
      </c>
      <c r="R202" s="2">
        <v>5.5930882281556196</v>
      </c>
      <c r="S202" s="2">
        <v>6.7485150157037603</v>
      </c>
      <c r="T202" s="2">
        <v>4.8180050354569701</v>
      </c>
      <c r="U202" s="2">
        <v>69.416899999999998</v>
      </c>
      <c r="V202" s="2">
        <v>14.225327816650198</v>
      </c>
      <c r="W202" s="5">
        <v>2.8509842304959099</v>
      </c>
      <c r="X202" s="2">
        <v>88.139622627969601</v>
      </c>
      <c r="Y202" s="2">
        <v>-0.6152895480475471</v>
      </c>
      <c r="Z202" s="4">
        <v>8.4</v>
      </c>
      <c r="AA202" s="4">
        <v>9</v>
      </c>
      <c r="AB202" s="2">
        <v>0.9</v>
      </c>
      <c r="AC202" s="2">
        <v>20.9</v>
      </c>
      <c r="AD202" s="2">
        <v>10.400000000000006</v>
      </c>
      <c r="AE202" s="2">
        <v>0</v>
      </c>
    </row>
    <row r="203" spans="1:31" x14ac:dyDescent="0.25">
      <c r="A203" s="2" t="s">
        <v>352</v>
      </c>
      <c r="B203" s="2">
        <v>2014</v>
      </c>
      <c r="C203" s="2" t="s">
        <v>353</v>
      </c>
      <c r="D203" s="2" t="s">
        <v>297</v>
      </c>
      <c r="E203" s="2">
        <v>4.0743999999999998</v>
      </c>
      <c r="F203" s="2">
        <v>3.8700999999999999</v>
      </c>
      <c r="G203" s="2">
        <v>3.2378999999999998</v>
      </c>
      <c r="H203" s="2">
        <v>0.55359999999999998</v>
      </c>
      <c r="I203" s="2">
        <v>0.42730000000000001</v>
      </c>
      <c r="J203">
        <f>0.252767632885592*(100)</f>
        <v>25.276763288559202</v>
      </c>
      <c r="K203">
        <f>0.119677389934255*(100)</f>
        <v>11.967738993425501</v>
      </c>
      <c r="L203" s="2">
        <v>8.1646000000000001</v>
      </c>
      <c r="M203" s="2">
        <v>2.0865999999999998</v>
      </c>
      <c r="N203" s="2">
        <v>0.59289999999999998</v>
      </c>
      <c r="O203" s="2">
        <v>0.39410000000000001</v>
      </c>
      <c r="P203" s="2">
        <v>33.330599999999997</v>
      </c>
      <c r="Q203" s="2">
        <v>-7.3284000000000002</v>
      </c>
      <c r="R203" s="2">
        <v>191.117010264274</v>
      </c>
      <c r="S203" s="2">
        <v>24.786118361441901</v>
      </c>
      <c r="T203" s="2">
        <v>2.9531423516092099</v>
      </c>
      <c r="U203" s="2">
        <v>67.764899999999997</v>
      </c>
      <c r="V203" s="2">
        <v>34.5516615539239</v>
      </c>
      <c r="W203" s="2">
        <v>0.49921731688168602</v>
      </c>
      <c r="X203" s="2">
        <v>112.81398054599201</v>
      </c>
      <c r="Y203" s="2">
        <v>23.011508841828199</v>
      </c>
      <c r="Z203" s="4">
        <v>7.3</v>
      </c>
      <c r="AA203" s="4">
        <v>12.2</v>
      </c>
      <c r="AB203" s="2">
        <v>2</v>
      </c>
      <c r="AC203" s="2">
        <v>16.899999999999999</v>
      </c>
      <c r="AD203" s="2">
        <v>6.7000000000000028</v>
      </c>
      <c r="AE203" s="2">
        <v>0</v>
      </c>
    </row>
    <row r="204" spans="1:31" x14ac:dyDescent="0.25">
      <c r="A204" s="2" t="s">
        <v>352</v>
      </c>
      <c r="B204" s="2">
        <v>2015</v>
      </c>
      <c r="C204" s="2" t="s">
        <v>353</v>
      </c>
      <c r="D204" s="2" t="s">
        <v>297</v>
      </c>
      <c r="E204" s="2">
        <v>3.4493</v>
      </c>
      <c r="F204" s="2">
        <v>8.1299999999999997E-2</v>
      </c>
      <c r="G204" s="2">
        <v>-0.35189999999999999</v>
      </c>
      <c r="H204" s="2">
        <v>0.68420000000000003</v>
      </c>
      <c r="I204" s="2">
        <v>0.58169999999999999</v>
      </c>
      <c r="J204">
        <f>0.323349089160623*(100)</f>
        <v>32.334908916062297</v>
      </c>
      <c r="K204">
        <f>0.0275112302626947*(100)</f>
        <v>2.7511230262694699</v>
      </c>
      <c r="L204" s="2">
        <v>8.9283000000000001</v>
      </c>
      <c r="M204" s="2">
        <v>2.1042000000000001</v>
      </c>
      <c r="N204" s="2">
        <v>0.69510000000000005</v>
      </c>
      <c r="O204" s="2">
        <v>0.44409999999999999</v>
      </c>
      <c r="P204" s="2">
        <v>32.487099999999998</v>
      </c>
      <c r="Q204" s="2">
        <v>36.426699999999997</v>
      </c>
      <c r="R204" s="2">
        <v>-44.385309843902199</v>
      </c>
      <c r="S204" s="2">
        <v>16.754714697580098</v>
      </c>
      <c r="T204" s="2">
        <v>16.848834575056902</v>
      </c>
      <c r="U204" s="2">
        <v>67.686400000000006</v>
      </c>
      <c r="V204" s="2">
        <v>33.441452421434995</v>
      </c>
      <c r="W204" s="2">
        <v>0.51044665796703204</v>
      </c>
      <c r="X204" s="2">
        <v>109.8756977938</v>
      </c>
      <c r="Y204" s="2">
        <v>4.5174335375483299</v>
      </c>
      <c r="Z204" s="4">
        <v>6.9099999999999993</v>
      </c>
      <c r="AA204" s="4">
        <v>13.3</v>
      </c>
      <c r="AB204" s="2">
        <v>1.4</v>
      </c>
      <c r="AC204" s="2">
        <v>17.600000000000001</v>
      </c>
      <c r="AD204" s="2">
        <v>5.7000000000000028</v>
      </c>
      <c r="AE204" s="2">
        <v>0</v>
      </c>
    </row>
    <row r="205" spans="1:31" x14ac:dyDescent="0.25">
      <c r="A205" s="2" t="s">
        <v>354</v>
      </c>
      <c r="B205" s="2">
        <v>2014</v>
      </c>
      <c r="C205" s="2" t="s">
        <v>355</v>
      </c>
      <c r="D205" s="2" t="s">
        <v>297</v>
      </c>
      <c r="E205" s="2">
        <v>3.8915999999999999</v>
      </c>
      <c r="F205" s="2">
        <v>2.891</v>
      </c>
      <c r="G205" s="2">
        <v>2.0390000000000001</v>
      </c>
      <c r="H205" s="2">
        <v>0.8659</v>
      </c>
      <c r="I205" s="2">
        <v>0.76180000000000003</v>
      </c>
      <c r="J205">
        <f>0.43719653172458*(100)</f>
        <v>43.719653172458003</v>
      </c>
      <c r="K205">
        <f>0.0466520971037521*(100)</f>
        <v>4.6652097103752102</v>
      </c>
      <c r="L205" s="2">
        <v>11.758599999999999</v>
      </c>
      <c r="M205" s="2">
        <v>1.6276999999999999</v>
      </c>
      <c r="N205" s="2">
        <v>1.8804000000000001</v>
      </c>
      <c r="O205" s="2">
        <v>0.56110000000000004</v>
      </c>
      <c r="P205" s="2">
        <v>10.182399999999999</v>
      </c>
      <c r="Q205" s="2">
        <v>-16.612400000000001</v>
      </c>
      <c r="R205" s="2">
        <v>-20.090938594769199</v>
      </c>
      <c r="S205" s="2">
        <v>-10.987802451019601</v>
      </c>
      <c r="T205" s="2">
        <v>2.6533386569803898</v>
      </c>
      <c r="U205" s="2">
        <v>50.847999999999999</v>
      </c>
      <c r="V205" s="2">
        <v>14.5297163719534</v>
      </c>
      <c r="W205" s="2">
        <v>1.5507897387357901</v>
      </c>
      <c r="X205" s="2">
        <v>81.008923561268602</v>
      </c>
      <c r="Y205" s="2">
        <v>3.9822359330757</v>
      </c>
      <c r="Z205" s="4">
        <v>7.3</v>
      </c>
      <c r="AA205" s="4">
        <v>12.2</v>
      </c>
      <c r="AB205" s="2">
        <v>2</v>
      </c>
      <c r="AC205" s="2">
        <v>16.899999999999999</v>
      </c>
      <c r="AD205" s="2">
        <v>6.7000000000000028</v>
      </c>
      <c r="AE205" s="2">
        <v>0</v>
      </c>
    </row>
    <row r="206" spans="1:31" x14ac:dyDescent="0.25">
      <c r="A206" s="2" t="s">
        <v>354</v>
      </c>
      <c r="B206" s="2">
        <v>2015</v>
      </c>
      <c r="C206" s="2" t="s">
        <v>355</v>
      </c>
      <c r="D206" s="2" t="s">
        <v>297</v>
      </c>
      <c r="E206" s="2">
        <v>2.7736000000000001</v>
      </c>
      <c r="F206" s="2">
        <v>1.4327000000000001</v>
      </c>
      <c r="G206" s="2">
        <v>0.79110000000000003</v>
      </c>
      <c r="H206" s="2">
        <v>0.86</v>
      </c>
      <c r="I206" s="2">
        <v>0.75960000000000005</v>
      </c>
      <c r="J206">
        <f>0.403651191432176*(100)</f>
        <v>40.365119143217598</v>
      </c>
      <c r="K206">
        <f>0.104342364018294*(100)</f>
        <v>10.4342364018294</v>
      </c>
      <c r="L206" s="2">
        <v>9.9681999999999995</v>
      </c>
      <c r="M206" s="2">
        <v>1.3069999999999999</v>
      </c>
      <c r="N206" s="2">
        <v>1.2712000000000001</v>
      </c>
      <c r="O206" s="2">
        <v>0.39410000000000001</v>
      </c>
      <c r="P206" s="2">
        <v>10.479100000000001</v>
      </c>
      <c r="Q206" s="2">
        <v>-32.841700000000003</v>
      </c>
      <c r="R206" s="2">
        <v>-34.278396993957202</v>
      </c>
      <c r="S206" s="2">
        <v>2.7948274058809202</v>
      </c>
      <c r="T206" s="2">
        <v>2.0007680414199802</v>
      </c>
      <c r="U206" s="2">
        <v>50.947200000000002</v>
      </c>
      <c r="V206" s="2">
        <v>17.355336565531999</v>
      </c>
      <c r="W206" s="2">
        <v>1.6176409529859299</v>
      </c>
      <c r="X206" s="2">
        <v>57.861468738239893</v>
      </c>
      <c r="Y206" s="2">
        <v>13.6758122252538</v>
      </c>
      <c r="Z206" s="4">
        <v>6.9099999999999993</v>
      </c>
      <c r="AA206" s="4">
        <v>13.3</v>
      </c>
      <c r="AB206" s="2">
        <v>1.4</v>
      </c>
      <c r="AC206" s="2">
        <v>17.600000000000001</v>
      </c>
      <c r="AD206" s="2">
        <v>5.7000000000000028</v>
      </c>
      <c r="AE206" s="2">
        <v>0</v>
      </c>
    </row>
    <row r="207" spans="1:31" x14ac:dyDescent="0.25">
      <c r="A207" s="2" t="s">
        <v>354</v>
      </c>
      <c r="B207" s="2">
        <v>2016</v>
      </c>
      <c r="C207" s="2" t="s">
        <v>355</v>
      </c>
      <c r="D207" s="2" t="s">
        <v>297</v>
      </c>
      <c r="E207" s="2">
        <v>3.9973000000000001</v>
      </c>
      <c r="F207" s="2">
        <v>2.7524000000000002</v>
      </c>
      <c r="G207" s="2">
        <v>3.3304</v>
      </c>
      <c r="H207" s="2">
        <v>1.0972999999999999</v>
      </c>
      <c r="I207" s="2">
        <v>1.0322</v>
      </c>
      <c r="J207">
        <f>0.647444066047143*(100)</f>
        <v>64.7444066047143</v>
      </c>
      <c r="K207">
        <f>0.0294293388840254*(100)</f>
        <v>2.94293388840254</v>
      </c>
      <c r="L207" s="2">
        <v>15.852600000000001</v>
      </c>
      <c r="M207" s="2">
        <v>1.4656</v>
      </c>
      <c r="N207" s="2">
        <v>1.8684000000000001</v>
      </c>
      <c r="O207" s="2">
        <v>0.50190000000000001</v>
      </c>
      <c r="P207" s="2">
        <v>12.8202</v>
      </c>
      <c r="Q207" s="2">
        <v>36.7605</v>
      </c>
      <c r="R207" s="2">
        <v>157.44526785193801</v>
      </c>
      <c r="S207" s="2">
        <v>12.4007150232407</v>
      </c>
      <c r="T207" s="2">
        <v>3.8309553806666901</v>
      </c>
      <c r="U207" s="2">
        <v>55.039200000000001</v>
      </c>
      <c r="V207" s="2">
        <v>19.487903869763102</v>
      </c>
      <c r="W207" s="2">
        <v>1.8904152477126099</v>
      </c>
      <c r="X207" s="2">
        <v>76.514564694832799</v>
      </c>
      <c r="Y207" s="2">
        <v>3.4156023417597403</v>
      </c>
      <c r="Z207" s="4">
        <v>6.7</v>
      </c>
      <c r="AA207" s="4">
        <v>11.3</v>
      </c>
      <c r="AB207" s="2">
        <v>2</v>
      </c>
      <c r="AC207" s="2">
        <v>15.9</v>
      </c>
      <c r="AD207" s="2">
        <v>5.7000000000000028</v>
      </c>
      <c r="AE207" s="2">
        <v>0</v>
      </c>
    </row>
    <row r="208" spans="1:31" x14ac:dyDescent="0.25">
      <c r="A208" s="2" t="s">
        <v>354</v>
      </c>
      <c r="B208" s="2">
        <v>2017</v>
      </c>
      <c r="C208" s="2" t="s">
        <v>355</v>
      </c>
      <c r="D208" s="2" t="s">
        <v>297</v>
      </c>
      <c r="E208" s="2">
        <v>5.1097999999999999</v>
      </c>
      <c r="F208" s="2">
        <v>4.3639999999999999</v>
      </c>
      <c r="G208" s="2">
        <v>5.4786000000000001</v>
      </c>
      <c r="H208" s="2">
        <v>1.6305000000000001</v>
      </c>
      <c r="I208" s="2">
        <v>1.5669</v>
      </c>
      <c r="J208">
        <f>1.3051811930022*(100)</f>
        <v>130.51811930021998</v>
      </c>
      <c r="K208">
        <f>0.100896399786641*(100)</f>
        <v>10.089639978664099</v>
      </c>
      <c r="L208" s="2">
        <v>26.7258</v>
      </c>
      <c r="M208" s="2">
        <v>1.4568000000000001</v>
      </c>
      <c r="N208" s="2">
        <v>2.3896000000000002</v>
      </c>
      <c r="O208" s="2">
        <v>0.60009999999999997</v>
      </c>
      <c r="P208" s="2">
        <v>18.759399999999999</v>
      </c>
      <c r="Q208" s="2">
        <v>41.087000000000003</v>
      </c>
      <c r="R208" s="2">
        <v>61.963560846959503</v>
      </c>
      <c r="S208" s="2">
        <v>16.984601826719199</v>
      </c>
      <c r="T208" s="2">
        <v>44.020921778741801</v>
      </c>
      <c r="U208" s="2">
        <v>46.027799999999999</v>
      </c>
      <c r="V208" s="2">
        <v>19.697579904062799</v>
      </c>
      <c r="W208" s="2">
        <v>2.0622649967547999</v>
      </c>
      <c r="X208" s="2">
        <v>84.559472910393097</v>
      </c>
      <c r="Y208" s="2">
        <v>8.6078035822944603</v>
      </c>
      <c r="Z208" s="4">
        <v>6.9</v>
      </c>
      <c r="AA208" s="4">
        <v>8.2000000000000011</v>
      </c>
      <c r="AB208" s="2">
        <v>1.6</v>
      </c>
      <c r="AC208" s="2">
        <v>16.3</v>
      </c>
      <c r="AD208" s="2">
        <v>6.2000000000000028</v>
      </c>
      <c r="AE208" s="2">
        <v>0</v>
      </c>
    </row>
    <row r="209" spans="1:31" x14ac:dyDescent="0.25">
      <c r="A209" s="2" t="s">
        <v>354</v>
      </c>
      <c r="B209" s="2">
        <v>2018</v>
      </c>
      <c r="C209" s="2" t="s">
        <v>355</v>
      </c>
      <c r="D209" s="2" t="s">
        <v>297</v>
      </c>
      <c r="E209" s="2">
        <v>4.9406999999999996</v>
      </c>
      <c r="F209" s="2">
        <v>5.2914000000000003</v>
      </c>
      <c r="G209" s="2">
        <v>7.3747999999999996</v>
      </c>
      <c r="H209" s="2">
        <v>1.0052000000000001</v>
      </c>
      <c r="I209" s="2">
        <v>0.9667</v>
      </c>
      <c r="J209">
        <f>0.823802479684176*(100)</f>
        <v>82.380247968417592</v>
      </c>
      <c r="K209">
        <f>0.188414975933633*(100)</f>
        <v>18.8414975933633</v>
      </c>
      <c r="L209" s="2">
        <v>29.228000000000002</v>
      </c>
      <c r="M209" s="2">
        <v>1.3583000000000001</v>
      </c>
      <c r="N209" s="2">
        <v>1.6577</v>
      </c>
      <c r="O209" s="2">
        <v>0.52739999999999998</v>
      </c>
      <c r="P209" s="2">
        <v>22.214200000000002</v>
      </c>
      <c r="Q209" s="2">
        <v>3.4937999999999998</v>
      </c>
      <c r="R209" s="2">
        <v>52.741254210622699</v>
      </c>
      <c r="S209" s="2">
        <v>-0.22154183437311001</v>
      </c>
      <c r="T209" s="2">
        <v>-6.7144612901297904</v>
      </c>
      <c r="U209" s="2">
        <v>52.349699999999999</v>
      </c>
      <c r="V209" s="2">
        <v>16.970423981250001</v>
      </c>
      <c r="W209" s="2">
        <v>1.3124143413821501</v>
      </c>
      <c r="X209" s="2">
        <v>93.482140569374607</v>
      </c>
      <c r="Y209" s="2">
        <v>20.831931531119999</v>
      </c>
      <c r="Z209" s="4">
        <v>6.6000000000000005</v>
      </c>
      <c r="AA209" s="4">
        <v>8.1</v>
      </c>
      <c r="AB209" s="2">
        <v>2.1</v>
      </c>
      <c r="AC209" s="2">
        <v>12.5</v>
      </c>
      <c r="AD209" s="2">
        <v>6.0999999999999943</v>
      </c>
      <c r="AE209" s="2">
        <v>0</v>
      </c>
    </row>
    <row r="210" spans="1:31" x14ac:dyDescent="0.25">
      <c r="A210" s="2" t="s">
        <v>354</v>
      </c>
      <c r="B210" s="2">
        <v>2019</v>
      </c>
      <c r="C210" s="2" t="s">
        <v>355</v>
      </c>
      <c r="D210" s="2" t="s">
        <v>297</v>
      </c>
      <c r="E210" s="2">
        <v>4.8985000000000003</v>
      </c>
      <c r="F210" s="2">
        <v>5.9657</v>
      </c>
      <c r="G210" s="2">
        <v>10.211600000000001</v>
      </c>
      <c r="H210" s="2">
        <v>0.99729999999999996</v>
      </c>
      <c r="I210" s="2">
        <v>0.96389999999999998</v>
      </c>
      <c r="J210">
        <f>0.778238289236811*(100)</f>
        <v>77.823828923681106</v>
      </c>
      <c r="K210">
        <f>0.0655063801152434*(100)</f>
        <v>6.5506380115243399</v>
      </c>
      <c r="L210" s="2">
        <v>21.664200000000001</v>
      </c>
      <c r="M210" s="2">
        <v>0.94359999999999999</v>
      </c>
      <c r="N210" s="2">
        <v>0.93589999999999995</v>
      </c>
      <c r="O210" s="2">
        <v>0.34749999999999998</v>
      </c>
      <c r="P210" s="2">
        <v>15.224</v>
      </c>
      <c r="Q210" s="2">
        <v>-28.848500000000001</v>
      </c>
      <c r="R210" s="2">
        <v>-2.0570774334628301</v>
      </c>
      <c r="S210" s="2">
        <v>-6.0093480793884897</v>
      </c>
      <c r="T210" s="2">
        <v>3.8810083142149798</v>
      </c>
      <c r="U210" s="2">
        <v>46.725499999999997</v>
      </c>
      <c r="V210" s="2">
        <v>8.4419222526378395</v>
      </c>
      <c r="W210" s="2">
        <v>1.40139586966963</v>
      </c>
      <c r="X210" s="2">
        <v>96.792448576344796</v>
      </c>
      <c r="Y210" s="2">
        <v>8.5345071349823094</v>
      </c>
      <c r="Z210" s="4">
        <v>6</v>
      </c>
      <c r="AA210" s="4">
        <v>8.6999999999999993</v>
      </c>
      <c r="AB210" s="2">
        <v>2.9</v>
      </c>
      <c r="AC210" s="2">
        <v>15.6</v>
      </c>
      <c r="AD210" s="2">
        <v>4.7999999999999972</v>
      </c>
      <c r="AE210" s="2">
        <v>0</v>
      </c>
    </row>
    <row r="211" spans="1:31" x14ac:dyDescent="0.25">
      <c r="A211" s="2" t="s">
        <v>356</v>
      </c>
      <c r="B211" s="2">
        <v>2020</v>
      </c>
      <c r="C211" s="2" t="s">
        <v>357</v>
      </c>
      <c r="D211" s="2" t="s">
        <v>297</v>
      </c>
      <c r="E211" s="2">
        <v>10.9392</v>
      </c>
      <c r="F211" s="2">
        <v>22.034099999999999</v>
      </c>
      <c r="G211" s="2">
        <v>16.103000000000002</v>
      </c>
      <c r="H211" s="2">
        <v>0.5948</v>
      </c>
      <c r="I211" s="2">
        <v>0.46710000000000002</v>
      </c>
      <c r="J211">
        <f>0.25792824838383*(100)</f>
        <v>25.792824838382998</v>
      </c>
      <c r="K211">
        <f>0.205229195514984*(100)</f>
        <v>20.522919551498401</v>
      </c>
      <c r="L211" s="2">
        <v>6.2191999999999998</v>
      </c>
      <c r="M211" s="2">
        <v>2.2944</v>
      </c>
      <c r="N211" s="2">
        <v>1.5649</v>
      </c>
      <c r="O211" s="2">
        <v>0.63680000000000003</v>
      </c>
      <c r="P211" s="2">
        <v>13.672000000000001</v>
      </c>
      <c r="Q211" s="2">
        <v>7.8291000000000004</v>
      </c>
      <c r="R211" s="2">
        <v>-1.68407961853331</v>
      </c>
      <c r="S211" s="2">
        <v>38.081065258461201</v>
      </c>
      <c r="T211" s="2">
        <v>15.145492074708301</v>
      </c>
      <c r="U211" s="2">
        <v>61.383400000000002</v>
      </c>
      <c r="V211" s="2">
        <v>36.238675866373498</v>
      </c>
      <c r="W211" s="2">
        <v>0.87436213589817502</v>
      </c>
      <c r="X211" s="2">
        <v>134.82617827890499</v>
      </c>
      <c r="Y211" s="2">
        <v>18.201954865428601</v>
      </c>
      <c r="Z211" s="4">
        <v>2.2999999999999998</v>
      </c>
      <c r="AA211" s="4">
        <v>10.100000000000001</v>
      </c>
      <c r="AB211" s="2">
        <v>2.5</v>
      </c>
      <c r="AC211" s="2">
        <v>16.100000000000001</v>
      </c>
      <c r="AD211" s="2">
        <v>2.4000000000000057</v>
      </c>
      <c r="AE211" s="2">
        <v>0</v>
      </c>
    </row>
    <row r="212" spans="1:31" x14ac:dyDescent="0.25">
      <c r="A212" s="2" t="s">
        <v>356</v>
      </c>
      <c r="B212" s="2">
        <v>2021</v>
      </c>
      <c r="C212" s="2" t="s">
        <v>357</v>
      </c>
      <c r="D212" s="2" t="s">
        <v>297</v>
      </c>
      <c r="E212" s="2">
        <v>18.750800000000002</v>
      </c>
      <c r="F212" s="2">
        <v>42.034399999999998</v>
      </c>
      <c r="G212" s="2">
        <v>20.218399999999999</v>
      </c>
      <c r="H212" s="2">
        <v>0.73770000000000002</v>
      </c>
      <c r="I212" s="2">
        <v>0.55110000000000003</v>
      </c>
      <c r="J212">
        <f>0.349138166701954*(100)</f>
        <v>34.913816670195402</v>
      </c>
      <c r="K212">
        <f>0.235404860627105*(100)</f>
        <v>23.540486062710499</v>
      </c>
      <c r="L212" s="2">
        <v>7.9535999999999998</v>
      </c>
      <c r="M212" s="2">
        <v>2.5800999999999998</v>
      </c>
      <c r="N212" s="2">
        <v>2.3936000000000002</v>
      </c>
      <c r="O212" s="2">
        <v>0.8982</v>
      </c>
      <c r="P212" s="2">
        <v>19.463200000000001</v>
      </c>
      <c r="Q212" s="2">
        <v>98.822999999999993</v>
      </c>
      <c r="R212" s="2">
        <v>140.41887337273701</v>
      </c>
      <c r="S212" s="2">
        <v>42.2846984205651</v>
      </c>
      <c r="T212" s="2">
        <v>40.422395977982703</v>
      </c>
      <c r="U212" s="2">
        <v>62.326799999999999</v>
      </c>
      <c r="V212" s="2">
        <v>10.443151694080601</v>
      </c>
      <c r="W212" s="2">
        <v>0.91626078766319097</v>
      </c>
      <c r="X212" s="2">
        <v>116.71635726249301</v>
      </c>
      <c r="Y212" s="2">
        <v>22.9456963820029</v>
      </c>
      <c r="Z212" s="4">
        <v>8.4</v>
      </c>
      <c r="AA212" s="4">
        <v>9</v>
      </c>
      <c r="AB212" s="2">
        <v>0.9</v>
      </c>
      <c r="AC212" s="2">
        <v>20.9</v>
      </c>
      <c r="AD212" s="2">
        <v>10.400000000000006</v>
      </c>
      <c r="AE212" s="2">
        <v>0</v>
      </c>
    </row>
    <row r="213" spans="1:31" x14ac:dyDescent="0.25">
      <c r="A213" s="2" t="s">
        <v>356</v>
      </c>
      <c r="B213" s="2">
        <v>2014</v>
      </c>
      <c r="C213" s="2" t="s">
        <v>360</v>
      </c>
      <c r="D213" s="2" t="s">
        <v>297</v>
      </c>
      <c r="E213" s="2">
        <v>12.4641</v>
      </c>
      <c r="F213" s="2">
        <v>23.869</v>
      </c>
      <c r="G213" s="2">
        <v>18.766999999999999</v>
      </c>
      <c r="H213" s="2">
        <v>0.73719999999999997</v>
      </c>
      <c r="I213" s="2">
        <v>0.50980000000000003</v>
      </c>
      <c r="J213">
        <f>0.255394016218288*(100)</f>
        <v>25.539401621828802</v>
      </c>
      <c r="K213">
        <f>0.142035491928742*(100)</f>
        <v>14.203549192874201</v>
      </c>
      <c r="L213" s="2">
        <v>5.7893999999999997</v>
      </c>
      <c r="M213" s="2">
        <v>2.4617</v>
      </c>
      <c r="N213" s="2">
        <v>1.8580000000000001</v>
      </c>
      <c r="O213" s="2">
        <v>0.60740000000000005</v>
      </c>
      <c r="P213" s="2">
        <v>18.375399999999999</v>
      </c>
      <c r="Q213" s="2">
        <v>9.2858999999999998</v>
      </c>
      <c r="R213" s="2">
        <v>-14.558376542061</v>
      </c>
      <c r="S213" s="2">
        <v>31.866901150689699</v>
      </c>
      <c r="T213" s="2">
        <v>9.4664935236826597</v>
      </c>
      <c r="U213" s="2">
        <v>68.057199999999995</v>
      </c>
      <c r="V213" s="2">
        <v>10.830639245612399</v>
      </c>
      <c r="W213" s="2">
        <v>1.0990720973349</v>
      </c>
      <c r="X213" s="2">
        <v>117.77097757039401</v>
      </c>
      <c r="Y213" s="2">
        <v>19.185592198451701</v>
      </c>
      <c r="Z213" s="4">
        <v>7.3</v>
      </c>
      <c r="AA213" s="4">
        <v>12.2</v>
      </c>
      <c r="AB213" s="2">
        <v>2</v>
      </c>
      <c r="AC213" s="2">
        <v>16.899999999999999</v>
      </c>
      <c r="AD213" s="2">
        <v>6.7000000000000028</v>
      </c>
      <c r="AE213" s="2">
        <v>0</v>
      </c>
    </row>
    <row r="214" spans="1:31" x14ac:dyDescent="0.25">
      <c r="A214" s="2" t="s">
        <v>358</v>
      </c>
      <c r="B214" s="2">
        <v>2016</v>
      </c>
      <c r="C214" s="2" t="s">
        <v>359</v>
      </c>
      <c r="D214" s="2" t="s">
        <v>297</v>
      </c>
      <c r="E214" s="2">
        <v>7.3522999999999996</v>
      </c>
      <c r="F214" s="2">
        <v>11.463800000000001</v>
      </c>
      <c r="G214" s="2">
        <v>7.0130999999999997</v>
      </c>
      <c r="H214" s="2">
        <v>0.51759999999999995</v>
      </c>
      <c r="I214" s="2">
        <v>0.38150000000000001</v>
      </c>
      <c r="J214">
        <f>0.304884519913344*(100)</f>
        <v>30.488451991334397</v>
      </c>
      <c r="K214">
        <f>0.0992098296373943*(100)</f>
        <v>9.92098296373943</v>
      </c>
      <c r="L214" s="2">
        <v>9.1629000000000005</v>
      </c>
      <c r="M214" s="2">
        <v>3.0238999999999998</v>
      </c>
      <c r="N214" s="2">
        <v>1.1859</v>
      </c>
      <c r="O214" s="2">
        <v>0.76219999999999999</v>
      </c>
      <c r="P214" s="2">
        <v>27.8019</v>
      </c>
      <c r="Q214" s="2">
        <v>14.667</v>
      </c>
      <c r="R214" s="2">
        <v>108.49612659637801</v>
      </c>
      <c r="S214" s="2">
        <v>3.2121989114972198</v>
      </c>
      <c r="T214" s="2">
        <v>9.5995434324321796</v>
      </c>
      <c r="U214" s="2">
        <v>64.496799999999993</v>
      </c>
      <c r="V214" s="2">
        <v>22.8440628170334</v>
      </c>
      <c r="W214" s="2">
        <v>0.53183718220110399</v>
      </c>
      <c r="X214" s="2">
        <v>51.699160811078002</v>
      </c>
      <c r="Y214" s="2">
        <v>5.5898893457660801</v>
      </c>
      <c r="Z214" s="4">
        <v>6.7</v>
      </c>
      <c r="AA214" s="4">
        <v>11.3</v>
      </c>
      <c r="AB214" s="2">
        <v>2</v>
      </c>
      <c r="AC214" s="2">
        <v>15.9</v>
      </c>
      <c r="AD214" s="2">
        <v>5.7000000000000028</v>
      </c>
      <c r="AE214" s="2">
        <v>0</v>
      </c>
    </row>
    <row r="215" spans="1:31" x14ac:dyDescent="0.25">
      <c r="A215" s="2" t="s">
        <v>358</v>
      </c>
      <c r="B215" s="2">
        <v>2017</v>
      </c>
      <c r="C215" s="2" t="s">
        <v>359</v>
      </c>
      <c r="D215" s="2" t="s">
        <v>297</v>
      </c>
      <c r="E215" s="2">
        <v>12.994199999999999</v>
      </c>
      <c r="F215" s="2">
        <v>22.2636</v>
      </c>
      <c r="G215" s="2">
        <v>12.9054</v>
      </c>
      <c r="H215" s="2">
        <v>0.76370000000000005</v>
      </c>
      <c r="I215" s="2">
        <v>0.5615</v>
      </c>
      <c r="J215">
        <f>0.467001865422834*(100)</f>
        <v>46.700186542283397</v>
      </c>
      <c r="K215">
        <f>0.109535783431371*(100)</f>
        <v>10.953578343137101</v>
      </c>
      <c r="L215" s="2">
        <v>8.8033000000000001</v>
      </c>
      <c r="M215" s="2">
        <v>3.1985999999999999</v>
      </c>
      <c r="N215" s="2">
        <v>1.4911000000000001</v>
      </c>
      <c r="O215" s="2">
        <v>0.89580000000000004</v>
      </c>
      <c r="P215" s="2">
        <v>34.5184</v>
      </c>
      <c r="Q215" s="2">
        <v>28.1495</v>
      </c>
      <c r="R215" s="2">
        <v>151.47730181055499</v>
      </c>
      <c r="S215" s="2">
        <v>14.707770127832401</v>
      </c>
      <c r="T215" s="2">
        <v>43.848430166774399</v>
      </c>
      <c r="U215" s="2">
        <v>55.859000000000002</v>
      </c>
      <c r="V215" s="2">
        <v>23.677179111742401</v>
      </c>
      <c r="W215" s="2">
        <v>0.52331973172402402</v>
      </c>
      <c r="X215" s="2">
        <v>56.052310682381901</v>
      </c>
      <c r="Y215" s="2">
        <v>7.1764447227486592</v>
      </c>
      <c r="Z215" s="4">
        <v>6.9</v>
      </c>
      <c r="AA215" s="4">
        <v>8.2000000000000011</v>
      </c>
      <c r="AB215" s="2">
        <v>1.6</v>
      </c>
      <c r="AC215" s="2">
        <v>16.3</v>
      </c>
      <c r="AD215" s="2">
        <v>6.2000000000000028</v>
      </c>
      <c r="AE215" s="2">
        <v>0</v>
      </c>
    </row>
    <row r="216" spans="1:31" x14ac:dyDescent="0.25">
      <c r="A216" s="2" t="s">
        <v>358</v>
      </c>
      <c r="B216" s="2">
        <v>2018</v>
      </c>
      <c r="C216" s="2" t="s">
        <v>359</v>
      </c>
      <c r="D216" s="2" t="s">
        <v>297</v>
      </c>
      <c r="E216" s="2">
        <v>9.9229000000000003</v>
      </c>
      <c r="F216" s="2">
        <v>15.0625</v>
      </c>
      <c r="G216" s="2">
        <v>11.074</v>
      </c>
      <c r="H216" s="2">
        <v>0.871</v>
      </c>
      <c r="I216" s="2">
        <v>0.65900000000000003</v>
      </c>
      <c r="J216">
        <f>0.558654770389923*(100)</f>
        <v>55.865477038992296</v>
      </c>
      <c r="K216">
        <f>0.133089843943581*(100)</f>
        <v>13.308984394358101</v>
      </c>
      <c r="L216" s="2">
        <v>7.7747999999999999</v>
      </c>
      <c r="M216" s="2">
        <v>2.6901000000000002</v>
      </c>
      <c r="N216" s="2">
        <v>1.4008</v>
      </c>
      <c r="O216" s="2">
        <v>0.81630000000000003</v>
      </c>
      <c r="P216" s="2">
        <v>34.844099999999997</v>
      </c>
      <c r="Q216" s="2">
        <v>-0.11700000000000001</v>
      </c>
      <c r="R216" s="2">
        <v>-15.5155046494492</v>
      </c>
      <c r="S216" s="2">
        <v>5.1800600631457199</v>
      </c>
      <c r="T216" s="2">
        <v>10.373192229707</v>
      </c>
      <c r="U216" s="2">
        <v>53.510199999999998</v>
      </c>
      <c r="V216" s="2">
        <v>14.6889755044247</v>
      </c>
      <c r="W216" s="2">
        <v>0.54993034000804497</v>
      </c>
      <c r="X216" s="2">
        <v>59.353721567799603</v>
      </c>
      <c r="Y216" s="2">
        <v>8.5282855470718708</v>
      </c>
      <c r="Z216" s="4">
        <v>6.6000000000000005</v>
      </c>
      <c r="AA216" s="4">
        <v>8.1</v>
      </c>
      <c r="AB216" s="2">
        <v>2.1</v>
      </c>
      <c r="AC216" s="2">
        <v>12.5</v>
      </c>
      <c r="AD216" s="2">
        <v>6.0999999999999943</v>
      </c>
      <c r="AE216" s="2">
        <v>0</v>
      </c>
    </row>
    <row r="217" spans="1:31" x14ac:dyDescent="0.25">
      <c r="A217" s="2" t="s">
        <v>358</v>
      </c>
      <c r="B217" s="2">
        <v>2014</v>
      </c>
      <c r="C217" s="2" t="s">
        <v>359</v>
      </c>
      <c r="D217" s="2" t="s">
        <v>297</v>
      </c>
      <c r="E217" s="2">
        <v>5.7957000000000001</v>
      </c>
      <c r="F217" s="2">
        <v>8.0985999999999994</v>
      </c>
      <c r="G217" s="2">
        <v>4.9782000000000002</v>
      </c>
      <c r="H217" s="2">
        <v>0.56599999999999995</v>
      </c>
      <c r="I217" s="2">
        <v>0.41599999999999998</v>
      </c>
      <c r="J217">
        <f>0.33134092033501*(100)</f>
        <v>33.134092033500998</v>
      </c>
      <c r="K217">
        <f>0.0527903820198839*(100)</f>
        <v>5.2790382019883895</v>
      </c>
      <c r="L217" s="2">
        <v>7.9797000000000002</v>
      </c>
      <c r="M217" s="2">
        <v>2.5607000000000002</v>
      </c>
      <c r="N217" s="2">
        <v>1.1100000000000001</v>
      </c>
      <c r="O217" s="2">
        <v>0.65410000000000001</v>
      </c>
      <c r="P217" s="2">
        <v>31.2437</v>
      </c>
      <c r="Q217" s="2">
        <v>7.2114000000000003</v>
      </c>
      <c r="R217" s="2">
        <v>7.4913705591217798</v>
      </c>
      <c r="S217" s="2">
        <v>4.7074835411219897</v>
      </c>
      <c r="T217" s="2">
        <v>7.71781356447707</v>
      </c>
      <c r="U217" s="2">
        <v>67.127499999999998</v>
      </c>
      <c r="V217" s="2">
        <v>16.6498739424954</v>
      </c>
      <c r="W217" s="2">
        <v>0.78590046890952803</v>
      </c>
      <c r="X217" s="2">
        <v>54.732072264433896</v>
      </c>
      <c r="Y217" s="2">
        <v>7.2982663121334808</v>
      </c>
      <c r="Z217" s="4">
        <v>7.3</v>
      </c>
      <c r="AA217" s="4">
        <v>12.2</v>
      </c>
      <c r="AB217" s="2">
        <v>2</v>
      </c>
      <c r="AC217" s="2">
        <v>16.899999999999999</v>
      </c>
      <c r="AD217" s="2">
        <v>6.7000000000000028</v>
      </c>
      <c r="AE217" s="2">
        <v>0</v>
      </c>
    </row>
    <row r="218" spans="1:31" x14ac:dyDescent="0.25">
      <c r="A218" s="2" t="s">
        <v>358</v>
      </c>
      <c r="B218" s="2">
        <v>2015</v>
      </c>
      <c r="C218" s="2" t="s">
        <v>359</v>
      </c>
      <c r="D218" s="2" t="s">
        <v>297</v>
      </c>
      <c r="E218" s="2">
        <v>5.1330999999999998</v>
      </c>
      <c r="F218" s="2">
        <v>6.6341999999999999</v>
      </c>
      <c r="G218" s="2">
        <v>3.8837999999999999</v>
      </c>
      <c r="H218" s="2">
        <v>0.57430000000000003</v>
      </c>
      <c r="I218" s="2">
        <v>0.44140000000000001</v>
      </c>
      <c r="J218">
        <f>0.355350756630404*(100)</f>
        <v>35.535075663040402</v>
      </c>
      <c r="K218">
        <f>0.0726019606896392*(100)</f>
        <v>7.2601960689639196</v>
      </c>
      <c r="L218" s="2">
        <v>8.6141000000000005</v>
      </c>
      <c r="M218" s="2">
        <v>2.7315</v>
      </c>
      <c r="N218" s="2">
        <v>1.0785</v>
      </c>
      <c r="O218" s="2">
        <v>0.6784</v>
      </c>
      <c r="P218" s="2">
        <v>27.408899999999999</v>
      </c>
      <c r="Q218" s="2">
        <v>7.6764000000000001</v>
      </c>
      <c r="R218" s="2">
        <v>-20.808548596531502</v>
      </c>
      <c r="S218" s="2">
        <v>1.6044978880793599</v>
      </c>
      <c r="T218" s="2">
        <v>4.2822280260110599</v>
      </c>
      <c r="U218" s="2">
        <v>66.5244</v>
      </c>
      <c r="V218" s="2">
        <v>18.232549102914998</v>
      </c>
      <c r="W218" s="2">
        <v>0.77129561818483605</v>
      </c>
      <c r="X218" s="2">
        <v>64.242952207598606</v>
      </c>
      <c r="Y218" s="2">
        <v>8.94454278946254</v>
      </c>
      <c r="Z218" s="4">
        <v>6.9099999999999993</v>
      </c>
      <c r="AA218" s="4">
        <v>13.3</v>
      </c>
      <c r="AB218" s="2">
        <v>1.4</v>
      </c>
      <c r="AC218" s="2">
        <v>17.600000000000001</v>
      </c>
      <c r="AD218" s="2">
        <v>5.7000000000000028</v>
      </c>
      <c r="AE218" s="2">
        <v>0</v>
      </c>
    </row>
    <row r="219" spans="1:31" x14ac:dyDescent="0.25">
      <c r="A219" s="2" t="s">
        <v>361</v>
      </c>
      <c r="B219" s="2">
        <v>2014</v>
      </c>
      <c r="C219" s="2" t="s">
        <v>362</v>
      </c>
      <c r="D219" s="2" t="s">
        <v>337</v>
      </c>
      <c r="E219" s="2">
        <v>5.6147</v>
      </c>
      <c r="F219" s="2">
        <v>7.2519999999999998</v>
      </c>
      <c r="G219" s="2">
        <v>1.8569</v>
      </c>
      <c r="H219" s="2">
        <v>1.1877</v>
      </c>
      <c r="I219" s="2">
        <v>0.59819999999999995</v>
      </c>
      <c r="J219">
        <f>0.211767752118394*(100)</f>
        <v>21.176775211839399</v>
      </c>
      <c r="K219">
        <f>0.206178828422899*(100)</f>
        <v>20.617882842289902</v>
      </c>
      <c r="L219" s="2">
        <v>3.6425999999999998</v>
      </c>
      <c r="M219" s="2">
        <v>1.9475</v>
      </c>
      <c r="N219" s="2">
        <v>5.2899000000000003</v>
      </c>
      <c r="O219" s="2">
        <v>1.3536999999999999</v>
      </c>
      <c r="P219" s="2">
        <v>256.99419999999998</v>
      </c>
      <c r="Q219" s="2">
        <v>29.915099999999999</v>
      </c>
      <c r="R219" s="2">
        <v>6.8248375873343301</v>
      </c>
      <c r="S219" s="2">
        <v>-0.84595865209777898</v>
      </c>
      <c r="T219" s="2">
        <v>6.2181145274443201</v>
      </c>
      <c r="U219" s="2">
        <v>68.028300000000002</v>
      </c>
      <c r="V219" s="2">
        <v>10.108532371120701</v>
      </c>
      <c r="W219" s="2">
        <v>1.2465339110371401</v>
      </c>
      <c r="X219" s="2">
        <v>106.258549412462</v>
      </c>
      <c r="Y219" s="2">
        <v>10.2272956216548</v>
      </c>
      <c r="Z219" s="4">
        <v>7.3</v>
      </c>
      <c r="AA219" s="4">
        <v>12.2</v>
      </c>
      <c r="AB219" s="2">
        <v>2</v>
      </c>
      <c r="AC219" s="2">
        <v>16.899999999999999</v>
      </c>
      <c r="AD219" s="2">
        <v>6.7000000000000028</v>
      </c>
      <c r="AE219" s="2">
        <v>0</v>
      </c>
    </row>
    <row r="220" spans="1:31" x14ac:dyDescent="0.25">
      <c r="A220" s="2" t="s">
        <v>361</v>
      </c>
      <c r="B220" s="2">
        <v>2015</v>
      </c>
      <c r="C220" s="2" t="s">
        <v>362</v>
      </c>
      <c r="D220" s="2" t="s">
        <v>337</v>
      </c>
      <c r="E220" s="2">
        <v>3.8214999999999999</v>
      </c>
      <c r="F220" s="2">
        <v>5.0087000000000002</v>
      </c>
      <c r="G220" s="2">
        <v>1.4192</v>
      </c>
      <c r="H220" s="2">
        <v>1.1529</v>
      </c>
      <c r="I220" s="2">
        <v>0.50619999999999998</v>
      </c>
      <c r="J220">
        <f>0.232048734156107*(100)</f>
        <v>23.204873415610699</v>
      </c>
      <c r="K220">
        <f>0.10807858270314*(100)</f>
        <v>10.807858270314</v>
      </c>
      <c r="L220" s="2">
        <v>3.2132999999999998</v>
      </c>
      <c r="M220" s="2">
        <v>1.8115000000000001</v>
      </c>
      <c r="N220" s="2">
        <v>4.7683</v>
      </c>
      <c r="O220" s="2">
        <v>1.2296</v>
      </c>
      <c r="P220" s="2">
        <v>190.66069999999999</v>
      </c>
      <c r="Q220" s="2">
        <v>-8.0561000000000007</v>
      </c>
      <c r="R220" s="2">
        <v>-31.5461540682902</v>
      </c>
      <c r="S220" s="2">
        <v>5.0833248904669697</v>
      </c>
      <c r="T220" s="2">
        <v>2.8738671395530901</v>
      </c>
      <c r="U220" s="2">
        <v>68.8583</v>
      </c>
      <c r="V220" s="2">
        <v>10.739249314215799</v>
      </c>
      <c r="W220" s="2">
        <v>1.20157845727993</v>
      </c>
      <c r="X220" s="2">
        <v>105.47667200581901</v>
      </c>
      <c r="Y220" s="2">
        <v>6.2026871912865298</v>
      </c>
      <c r="Z220" s="4">
        <v>6.9099999999999993</v>
      </c>
      <c r="AA220" s="4">
        <v>13.3</v>
      </c>
      <c r="AB220" s="2">
        <v>1.4</v>
      </c>
      <c r="AC220" s="2">
        <v>17.600000000000001</v>
      </c>
      <c r="AD220" s="2">
        <v>5.7000000000000028</v>
      </c>
      <c r="AE220" s="2">
        <v>0</v>
      </c>
    </row>
    <row r="221" spans="1:31" x14ac:dyDescent="0.25">
      <c r="A221" s="2" t="s">
        <v>361</v>
      </c>
      <c r="B221" s="2">
        <v>2016</v>
      </c>
      <c r="C221" s="2" t="s">
        <v>362</v>
      </c>
      <c r="D221" s="2" t="s">
        <v>337</v>
      </c>
      <c r="E221" s="2">
        <v>3.6133999999999999</v>
      </c>
      <c r="F221" s="2">
        <v>5.4398999999999997</v>
      </c>
      <c r="G221" s="2">
        <v>2.2536999999999998</v>
      </c>
      <c r="H221" s="2">
        <v>0.98939999999999995</v>
      </c>
      <c r="I221" s="2">
        <v>0.43569999999999998</v>
      </c>
      <c r="J221">
        <f>0.197775842002029*(100)</f>
        <v>19.777584200202899</v>
      </c>
      <c r="K221">
        <f>0.0274728189312353*(100)</f>
        <v>2.7472818931235299</v>
      </c>
      <c r="L221" s="2">
        <v>3.1995</v>
      </c>
      <c r="M221" s="2">
        <v>1.9229000000000001</v>
      </c>
      <c r="N221" s="2">
        <v>4.9541000000000004</v>
      </c>
      <c r="O221" s="2">
        <v>1.3080000000000001</v>
      </c>
      <c r="P221" s="2">
        <v>214.08260000000001</v>
      </c>
      <c r="Q221" s="2">
        <v>15.7255</v>
      </c>
      <c r="R221" s="2">
        <v>25.287921590871701</v>
      </c>
      <c r="S221" s="2">
        <v>12.695316597689001</v>
      </c>
      <c r="T221" s="2">
        <v>4.2779463326192397</v>
      </c>
      <c r="U221" s="2">
        <v>71.178299999999993</v>
      </c>
      <c r="V221" s="2">
        <v>1.5182635533214699</v>
      </c>
      <c r="W221" s="2">
        <v>1.0741879600512401</v>
      </c>
      <c r="X221" s="2">
        <v>108.21813441247099</v>
      </c>
      <c r="Y221" s="2">
        <v>1.58430060799712</v>
      </c>
      <c r="Z221" s="4">
        <v>6.7</v>
      </c>
      <c r="AA221" s="4">
        <v>11.3</v>
      </c>
      <c r="AB221" s="2">
        <v>2</v>
      </c>
      <c r="AC221" s="2">
        <v>15.9</v>
      </c>
      <c r="AD221" s="2">
        <v>5.7000000000000028</v>
      </c>
      <c r="AE221" s="2">
        <v>0</v>
      </c>
    </row>
    <row r="222" spans="1:31" x14ac:dyDescent="0.25">
      <c r="A222" s="2" t="s">
        <v>361</v>
      </c>
      <c r="B222" s="2">
        <v>2017</v>
      </c>
      <c r="C222" s="2" t="s">
        <v>362</v>
      </c>
      <c r="D222" s="2" t="s">
        <v>337</v>
      </c>
      <c r="E222" s="2">
        <v>5.4318999999999997</v>
      </c>
      <c r="F222" s="2">
        <v>8.9977999999999998</v>
      </c>
      <c r="G222" s="2">
        <v>2.2633999999999999</v>
      </c>
      <c r="H222" s="2">
        <v>0.97629999999999995</v>
      </c>
      <c r="I222" s="2">
        <v>0.41060000000000002</v>
      </c>
      <c r="J222">
        <f>0.165339680676449*(100)</f>
        <v>16.533968067644899</v>
      </c>
      <c r="K222">
        <f>0.0797998810075287*(100)</f>
        <v>7.9799881007528706</v>
      </c>
      <c r="L222" s="2">
        <v>3.6368</v>
      </c>
      <c r="M222" s="2">
        <v>2.2313000000000001</v>
      </c>
      <c r="N222" s="2">
        <v>5.4653</v>
      </c>
      <c r="O222" s="2">
        <v>1.4895</v>
      </c>
      <c r="P222" s="2">
        <v>1507.3344</v>
      </c>
      <c r="Q222" s="2">
        <v>19.039300000000001</v>
      </c>
      <c r="R222" s="2">
        <v>74.753216634080502</v>
      </c>
      <c r="S222" s="2">
        <v>-2.6698294080276099</v>
      </c>
      <c r="T222" s="2">
        <v>10.265362502696901</v>
      </c>
      <c r="U222" s="2">
        <v>67.390500000000003</v>
      </c>
      <c r="V222" s="2">
        <v>1.2958203937803401</v>
      </c>
      <c r="W222" s="2">
        <v>1.17779468798096</v>
      </c>
      <c r="X222" s="2">
        <v>106.31847081256601</v>
      </c>
      <c r="Y222" s="2">
        <v>3.5616847139516099</v>
      </c>
      <c r="Z222" s="4">
        <v>6.9</v>
      </c>
      <c r="AA222" s="4">
        <v>8.2000000000000011</v>
      </c>
      <c r="AB222" s="2">
        <v>1.6</v>
      </c>
      <c r="AC222" s="2">
        <v>16.3</v>
      </c>
      <c r="AD222" s="2">
        <v>6.2000000000000028</v>
      </c>
      <c r="AE222" s="2">
        <v>0</v>
      </c>
    </row>
    <row r="223" spans="1:31" x14ac:dyDescent="0.25">
      <c r="A223" s="2" t="s">
        <v>361</v>
      </c>
      <c r="B223" s="2">
        <v>2018</v>
      </c>
      <c r="C223" s="2" t="s">
        <v>362</v>
      </c>
      <c r="D223" s="2" t="s">
        <v>337</v>
      </c>
      <c r="E223" s="2">
        <v>4.7484999999999999</v>
      </c>
      <c r="F223" s="2">
        <v>9.4760000000000009</v>
      </c>
      <c r="G223" s="2">
        <v>2.3382000000000001</v>
      </c>
      <c r="H223" s="2">
        <v>0.94179999999999997</v>
      </c>
      <c r="I223" s="2">
        <v>0.42199999999999999</v>
      </c>
      <c r="J223">
        <f>0.217084972427083*(100)</f>
        <v>21.708497242708301</v>
      </c>
      <c r="K223">
        <f>0.109602846909806*(100)</f>
        <v>10.9602846909806</v>
      </c>
      <c r="L223" s="2">
        <v>3.8795000000000002</v>
      </c>
      <c r="M223" s="2">
        <v>2.3559999999999999</v>
      </c>
      <c r="N223" s="2">
        <v>5.3615000000000004</v>
      </c>
      <c r="O223" s="2">
        <v>1.5225</v>
      </c>
      <c r="P223" s="2">
        <v>527.60440000000006</v>
      </c>
      <c r="Q223" s="2">
        <v>7.1879999999999997</v>
      </c>
      <c r="R223" s="2">
        <v>-0.54068460413873598</v>
      </c>
      <c r="S223" s="2">
        <v>11.0595530717824</v>
      </c>
      <c r="T223" s="2">
        <v>-4.2268350446825398</v>
      </c>
      <c r="U223" s="2">
        <v>70.756900000000002</v>
      </c>
      <c r="V223" s="2">
        <v>2.05726898011405</v>
      </c>
      <c r="W223" s="2">
        <v>1.00796063297266</v>
      </c>
      <c r="X223" s="2">
        <v>110.567258242417</v>
      </c>
      <c r="Y223" s="2">
        <v>5.4576012640368896</v>
      </c>
      <c r="Z223" s="4">
        <v>6.6000000000000005</v>
      </c>
      <c r="AA223" s="4">
        <v>8.1</v>
      </c>
      <c r="AB223" s="2">
        <v>2.1</v>
      </c>
      <c r="AC223" s="2">
        <v>12.5</v>
      </c>
      <c r="AD223" s="2">
        <v>6.0999999999999943</v>
      </c>
      <c r="AE223" s="2">
        <v>0</v>
      </c>
    </row>
    <row r="224" spans="1:31" x14ac:dyDescent="0.25">
      <c r="A224" s="2" t="s">
        <v>361</v>
      </c>
      <c r="B224" s="2">
        <v>2019</v>
      </c>
      <c r="C224" s="2" t="s">
        <v>362</v>
      </c>
      <c r="D224" s="2" t="s">
        <v>337</v>
      </c>
      <c r="E224" s="2">
        <v>4.3452999999999999</v>
      </c>
      <c r="F224" s="2">
        <v>6.7785000000000002</v>
      </c>
      <c r="G224" s="2">
        <v>1.3705000000000001</v>
      </c>
      <c r="H224" s="2">
        <v>0.99309999999999998</v>
      </c>
      <c r="I224" s="2">
        <v>0.31359999999999999</v>
      </c>
      <c r="J224">
        <f>0.157192726227284*(100)</f>
        <v>15.719272622728401</v>
      </c>
      <c r="K224">
        <f>0.0449244707036231*(100)</f>
        <v>4.4924470703623101</v>
      </c>
      <c r="L224" s="2">
        <v>4.2302999999999997</v>
      </c>
      <c r="M224" s="2">
        <v>2.7846000000000002</v>
      </c>
      <c r="N224" s="2">
        <v>6.4503000000000004</v>
      </c>
      <c r="O224" s="2">
        <v>1.8373999999999999</v>
      </c>
      <c r="P224" s="2">
        <v>394.48180000000002</v>
      </c>
      <c r="Q224" s="2">
        <v>34.722099999999998</v>
      </c>
      <c r="R224" s="2">
        <v>-25.884165008743999</v>
      </c>
      <c r="S224" s="2">
        <v>8.1827530456606805</v>
      </c>
      <c r="T224" s="2">
        <v>6.9214906689135596</v>
      </c>
      <c r="U224" s="2">
        <v>71.191100000000006</v>
      </c>
      <c r="V224" s="2">
        <v>3.55244469875388</v>
      </c>
      <c r="W224" s="2">
        <v>1.02889712994316</v>
      </c>
      <c r="X224" s="2">
        <v>105.50012312019199</v>
      </c>
      <c r="Y224" s="2">
        <v>1.8090042909327302</v>
      </c>
      <c r="Z224" s="4">
        <v>6</v>
      </c>
      <c r="AA224" s="4">
        <v>8.6999999999999993</v>
      </c>
      <c r="AB224" s="2">
        <v>2.9</v>
      </c>
      <c r="AC224" s="2">
        <v>15.6</v>
      </c>
      <c r="AD224" s="2">
        <v>4.7999999999999972</v>
      </c>
      <c r="AE224" s="2">
        <v>0</v>
      </c>
    </row>
    <row r="225" spans="1:31" x14ac:dyDescent="0.25">
      <c r="A225" s="2" t="s">
        <v>363</v>
      </c>
      <c r="B225" s="2">
        <v>2014</v>
      </c>
      <c r="C225" s="2" t="s">
        <v>588</v>
      </c>
      <c r="D225" s="2" t="s">
        <v>337</v>
      </c>
      <c r="E225" s="2">
        <v>6.9215</v>
      </c>
      <c r="F225" s="2">
        <v>9.4080999999999992</v>
      </c>
      <c r="G225" s="2">
        <v>2.4847000000000001</v>
      </c>
      <c r="H225" s="2">
        <v>0.23130000000000001</v>
      </c>
      <c r="I225" s="2">
        <v>0.157</v>
      </c>
      <c r="J225">
        <f>0.0630587950131144*(100)</f>
        <v>6.3058795013114395</v>
      </c>
      <c r="K225">
        <f>0.195170751798579*(100)</f>
        <v>19.517075179857901</v>
      </c>
      <c r="L225" s="2">
        <v>60.174599999999998</v>
      </c>
      <c r="M225" s="2">
        <v>22.1798</v>
      </c>
      <c r="N225" s="2">
        <v>5.8783000000000003</v>
      </c>
      <c r="O225" s="2">
        <v>2.0586000000000002</v>
      </c>
      <c r="P225" s="2">
        <v>868.32619999999997</v>
      </c>
      <c r="Q225" s="2">
        <v>-0.81369999999999998</v>
      </c>
      <c r="R225" s="2">
        <v>-23.844792356471</v>
      </c>
      <c r="S225" s="2">
        <v>3.2290181413559602</v>
      </c>
      <c r="T225" s="2">
        <v>8.1197041369444705</v>
      </c>
      <c r="U225" s="2">
        <v>56.296799999999998</v>
      </c>
      <c r="V225" s="2">
        <v>20.084599565273201</v>
      </c>
      <c r="W225" s="2">
        <v>1.2365037205934</v>
      </c>
      <c r="X225" s="2">
        <v>99.637478021435399</v>
      </c>
      <c r="Y225" s="2">
        <v>5.4222192654843502</v>
      </c>
      <c r="Z225" s="4">
        <v>7.3</v>
      </c>
      <c r="AA225" s="4">
        <v>12.2</v>
      </c>
      <c r="AB225" s="2">
        <v>2</v>
      </c>
      <c r="AC225" s="2">
        <v>16.899999999999999</v>
      </c>
      <c r="AD225" s="2">
        <v>6.7000000000000028</v>
      </c>
      <c r="AE225" s="2">
        <v>0</v>
      </c>
    </row>
    <row r="226" spans="1:31" x14ac:dyDescent="0.25">
      <c r="A226" s="2" t="s">
        <v>363</v>
      </c>
      <c r="B226" s="2">
        <v>2015</v>
      </c>
      <c r="C226" s="2" t="s">
        <v>364</v>
      </c>
      <c r="D226" s="2" t="s">
        <v>337</v>
      </c>
      <c r="E226" s="2">
        <v>5.3224999999999998</v>
      </c>
      <c r="F226" s="2">
        <v>6.2240000000000002</v>
      </c>
      <c r="G226" s="2">
        <v>2.2201</v>
      </c>
      <c r="H226" s="2">
        <v>0.2235</v>
      </c>
      <c r="I226" s="2">
        <v>0.13800000000000001</v>
      </c>
      <c r="J226">
        <f>0.0726890829981306*(100)</f>
        <v>7.2689082998130594</v>
      </c>
      <c r="K226">
        <f>0.168009643251863*(100)</f>
        <v>16.8009643251863</v>
      </c>
      <c r="L226" s="2">
        <v>56.705399999999997</v>
      </c>
      <c r="M226" s="2">
        <v>21.527799999999999</v>
      </c>
      <c r="N226" s="2">
        <v>4.5599999999999996</v>
      </c>
      <c r="O226" s="2">
        <v>1.7039</v>
      </c>
      <c r="P226" s="2">
        <v>721.10350000000005</v>
      </c>
      <c r="Q226" s="2">
        <v>-15.3124</v>
      </c>
      <c r="R226" s="2">
        <v>-29.496742790277601</v>
      </c>
      <c r="S226" s="2">
        <v>0.34796001256236703</v>
      </c>
      <c r="T226" s="2">
        <v>4.85458589285067</v>
      </c>
      <c r="U226" s="2">
        <v>54.638199999999998</v>
      </c>
      <c r="V226" s="2">
        <v>18.492480825665698</v>
      </c>
      <c r="W226" s="2">
        <v>1.38978858138356</v>
      </c>
      <c r="X226" s="2">
        <v>100.01336476407101</v>
      </c>
      <c r="Y226" s="2">
        <v>6.2801850941615598</v>
      </c>
      <c r="Z226" s="4">
        <v>6.9099999999999993</v>
      </c>
      <c r="AA226" s="4">
        <v>13.3</v>
      </c>
      <c r="AB226" s="2">
        <v>1.4</v>
      </c>
      <c r="AC226" s="2">
        <v>17.600000000000001</v>
      </c>
      <c r="AD226" s="2">
        <v>5.7000000000000028</v>
      </c>
      <c r="AE226" s="2">
        <v>0</v>
      </c>
    </row>
    <row r="227" spans="1:31" x14ac:dyDescent="0.25">
      <c r="A227" s="2" t="s">
        <v>363</v>
      </c>
      <c r="B227" s="2">
        <v>2016</v>
      </c>
      <c r="C227" s="2" t="s">
        <v>364</v>
      </c>
      <c r="D227" s="2" t="s">
        <v>337</v>
      </c>
      <c r="E227" s="2">
        <v>7.8947000000000003</v>
      </c>
      <c r="F227" s="2">
        <v>10.2706</v>
      </c>
      <c r="G227" s="2">
        <v>3.3834</v>
      </c>
      <c r="H227" s="2">
        <v>0.42170000000000002</v>
      </c>
      <c r="I227" s="2">
        <v>0.23250000000000001</v>
      </c>
      <c r="J227">
        <f>0.180618542498887*(100)</f>
        <v>18.0618542498887</v>
      </c>
      <c r="K227">
        <f>0.226762016090453*(100)</f>
        <v>22.6762016090453</v>
      </c>
      <c r="L227" s="2">
        <v>45.414200000000001</v>
      </c>
      <c r="M227" s="2">
        <v>21.1648</v>
      </c>
      <c r="N227" s="2">
        <v>5.0091000000000001</v>
      </c>
      <c r="O227" s="2">
        <v>1.9672000000000001</v>
      </c>
      <c r="P227" s="2">
        <v>1705.0057999999999</v>
      </c>
      <c r="Q227" s="2">
        <v>26.038599999999999</v>
      </c>
      <c r="R227" s="2">
        <v>87.954590185813998</v>
      </c>
      <c r="S227" s="2">
        <v>13.019400461228599</v>
      </c>
      <c r="T227" s="2">
        <v>40.023113982952502</v>
      </c>
      <c r="U227" s="2">
        <v>42.360900000000001</v>
      </c>
      <c r="V227" s="2">
        <v>16.249771604275502</v>
      </c>
      <c r="W227" s="2">
        <v>1.5014976817064001</v>
      </c>
      <c r="X227" s="2">
        <v>103.150710855619</v>
      </c>
      <c r="Y227" s="2">
        <v>5.5946338480431796</v>
      </c>
      <c r="Z227" s="4">
        <v>6.7</v>
      </c>
      <c r="AA227" s="4">
        <v>11.3</v>
      </c>
      <c r="AB227" s="2">
        <v>2</v>
      </c>
      <c r="AC227" s="2">
        <v>15.9</v>
      </c>
      <c r="AD227" s="2">
        <v>5.7000000000000028</v>
      </c>
      <c r="AE227" s="2">
        <v>0</v>
      </c>
    </row>
    <row r="228" spans="1:31" x14ac:dyDescent="0.25">
      <c r="A228" s="2" t="s">
        <v>363</v>
      </c>
      <c r="B228" s="2">
        <v>2017</v>
      </c>
      <c r="C228" s="2" t="s">
        <v>364</v>
      </c>
      <c r="D228" s="2" t="s">
        <v>337</v>
      </c>
      <c r="E228" s="2">
        <v>5.8240999999999996</v>
      </c>
      <c r="F228" s="2">
        <v>7.1437999999999997</v>
      </c>
      <c r="G228" s="2">
        <v>3.2349999999999999</v>
      </c>
      <c r="H228" s="2">
        <v>0.64729999999999999</v>
      </c>
      <c r="I228" s="2">
        <v>0.35670000000000002</v>
      </c>
      <c r="J228">
        <f>0.289668183102641*(100)</f>
        <v>28.966818310264099</v>
      </c>
      <c r="K228">
        <f>0.148261435895303*(100)</f>
        <v>14.8261435895303</v>
      </c>
      <c r="L228" s="2">
        <v>20.756</v>
      </c>
      <c r="M228" s="2">
        <v>10.2471</v>
      </c>
      <c r="N228" s="2">
        <v>3.4557000000000002</v>
      </c>
      <c r="O228" s="2">
        <v>1.4484999999999999</v>
      </c>
      <c r="P228" s="2">
        <v>661.29290000000003</v>
      </c>
      <c r="Q228" s="2">
        <v>2.0453999999999999</v>
      </c>
      <c r="R228" s="2">
        <v>-8.8185151054662096</v>
      </c>
      <c r="S228" s="2">
        <v>48.520554965621201</v>
      </c>
      <c r="T228" s="2">
        <v>5.1876410115106397</v>
      </c>
      <c r="U228" s="2">
        <v>59.233600000000003</v>
      </c>
      <c r="V228" s="2">
        <v>33.092445005197</v>
      </c>
      <c r="W228" s="2">
        <v>0.94880290355268904</v>
      </c>
      <c r="X228" s="2">
        <v>104.08507003971701</v>
      </c>
      <c r="Y228" s="2">
        <v>7.5438394884353803</v>
      </c>
      <c r="Z228" s="4">
        <v>6.9</v>
      </c>
      <c r="AA228" s="4">
        <v>8.2000000000000011</v>
      </c>
      <c r="AB228" s="2">
        <v>1.6</v>
      </c>
      <c r="AC228" s="2">
        <v>16.3</v>
      </c>
      <c r="AD228" s="2">
        <v>6.2000000000000028</v>
      </c>
      <c r="AE228" s="2">
        <v>0</v>
      </c>
    </row>
    <row r="229" spans="1:31" x14ac:dyDescent="0.25">
      <c r="A229" s="2" t="s">
        <v>365</v>
      </c>
      <c r="B229" s="2">
        <v>2014</v>
      </c>
      <c r="C229" s="2" t="s">
        <v>366</v>
      </c>
      <c r="D229" s="2" t="s">
        <v>329</v>
      </c>
      <c r="E229" s="2">
        <v>3.5516000000000001</v>
      </c>
      <c r="F229" s="2">
        <v>1.3425</v>
      </c>
      <c r="G229" s="2">
        <v>0.19969999999999999</v>
      </c>
      <c r="H229" s="2">
        <v>0.90229999999999999</v>
      </c>
      <c r="I229" s="2">
        <v>0.30580000000000002</v>
      </c>
      <c r="J229">
        <f>0.143268509379343*(100)</f>
        <v>14.326850937934299</v>
      </c>
      <c r="K229">
        <f>0.246997975531274*(100)</f>
        <v>24.6997975531274</v>
      </c>
      <c r="L229" s="2">
        <v>6.9532999999999996</v>
      </c>
      <c r="M229" s="2">
        <v>4.6721000000000004</v>
      </c>
      <c r="N229" s="2">
        <v>7.9657</v>
      </c>
      <c r="O229" s="2">
        <v>2.4253</v>
      </c>
      <c r="P229" s="2">
        <v>101.7239</v>
      </c>
      <c r="Q229" s="2">
        <v>24.841799999999999</v>
      </c>
      <c r="R229" s="2">
        <v>109.09848430410101</v>
      </c>
      <c r="S229" s="2">
        <v>-6.4651129136183298</v>
      </c>
      <c r="T229" s="2">
        <v>2.1609249877724599</v>
      </c>
      <c r="U229" s="2">
        <v>72.619699999999995</v>
      </c>
      <c r="V229" s="2">
        <v>17.424962704607399</v>
      </c>
      <c r="W229" s="2">
        <v>0.85299486944520897</v>
      </c>
      <c r="X229" s="2">
        <v>113.98854200528</v>
      </c>
      <c r="Y229" s="2">
        <v>7.1486135011157703</v>
      </c>
      <c r="Z229" s="4">
        <v>7.3</v>
      </c>
      <c r="AA229" s="4">
        <v>12.2</v>
      </c>
      <c r="AB229" s="2">
        <v>2</v>
      </c>
      <c r="AC229" s="2">
        <v>16.899999999999999</v>
      </c>
      <c r="AD229" s="2">
        <v>6.7000000000000028</v>
      </c>
      <c r="AE229" s="2">
        <v>0</v>
      </c>
    </row>
    <row r="230" spans="1:31" x14ac:dyDescent="0.25">
      <c r="A230" s="2" t="s">
        <v>365</v>
      </c>
      <c r="B230" s="2">
        <v>2015</v>
      </c>
      <c r="C230" s="2" t="s">
        <v>366</v>
      </c>
      <c r="D230" s="2" t="s">
        <v>329</v>
      </c>
      <c r="E230" s="2">
        <v>3.1488</v>
      </c>
      <c r="F230" s="2">
        <v>0.48249999999999998</v>
      </c>
      <c r="G230" s="2">
        <v>-0.2009</v>
      </c>
      <c r="H230" s="2">
        <v>0.76829999999999998</v>
      </c>
      <c r="I230" s="2">
        <v>0.30380000000000001</v>
      </c>
      <c r="J230">
        <f>0.129355672384839*(100)</f>
        <v>12.9355672384839</v>
      </c>
      <c r="K230">
        <f>0.0654909977749228*(100)</f>
        <v>6.5490997774922803</v>
      </c>
      <c r="L230" s="2">
        <v>7.4476000000000004</v>
      </c>
      <c r="M230" s="2">
        <v>4.8682999999999996</v>
      </c>
      <c r="N230" s="2">
        <v>7.2473999999999998</v>
      </c>
      <c r="O230" s="2">
        <v>2.3517999999999999</v>
      </c>
      <c r="P230" s="2">
        <v>103.1164</v>
      </c>
      <c r="Q230" s="2">
        <v>-9.2185000000000006</v>
      </c>
      <c r="R230" s="2">
        <v>-50.268578682836598</v>
      </c>
      <c r="S230" s="2">
        <v>-6.2796188564413802</v>
      </c>
      <c r="T230" s="2">
        <v>-4.9613691709648702</v>
      </c>
      <c r="U230" s="2">
        <v>72.919799999999995</v>
      </c>
      <c r="V230" s="2">
        <v>12.1187969095936</v>
      </c>
      <c r="W230" s="2">
        <v>0.82487410068647904</v>
      </c>
      <c r="X230" s="2">
        <v>115.97125976843301</v>
      </c>
      <c r="Y230" s="2">
        <v>1.9647550734368802</v>
      </c>
      <c r="Z230" s="4">
        <v>6.9099999999999993</v>
      </c>
      <c r="AA230" s="4">
        <v>13.3</v>
      </c>
      <c r="AB230" s="2">
        <v>1.4</v>
      </c>
      <c r="AC230" s="2">
        <v>17.600000000000001</v>
      </c>
      <c r="AD230" s="2">
        <v>5.7000000000000028</v>
      </c>
      <c r="AE230" s="2">
        <v>0</v>
      </c>
    </row>
    <row r="231" spans="1:31" x14ac:dyDescent="0.25">
      <c r="A231" s="2" t="s">
        <v>367</v>
      </c>
      <c r="B231" s="2">
        <v>2015</v>
      </c>
      <c r="C231" s="2" t="s">
        <v>368</v>
      </c>
      <c r="D231" s="2" t="s">
        <v>329</v>
      </c>
      <c r="E231" s="2">
        <v>1.2336</v>
      </c>
      <c r="F231" s="2">
        <v>1.3907</v>
      </c>
      <c r="G231" s="2">
        <v>0.53349999999999997</v>
      </c>
      <c r="H231" s="2">
        <v>1.482</v>
      </c>
      <c r="I231" s="2">
        <v>1.1518999999999999</v>
      </c>
      <c r="J231">
        <f>0.607973567370934*(100)</f>
        <v>60.797356737093402</v>
      </c>
      <c r="K231">
        <f>0.0453708220491981*(100)</f>
        <v>4.5370822049198098</v>
      </c>
      <c r="L231" s="2">
        <v>13.1701</v>
      </c>
      <c r="M231" s="2">
        <v>2.9321999999999999</v>
      </c>
      <c r="N231" s="2">
        <v>9.9543999999999997</v>
      </c>
      <c r="O231" s="2">
        <v>2.0076000000000001</v>
      </c>
      <c r="P231" s="2">
        <v>19.3857</v>
      </c>
      <c r="Q231" s="2">
        <v>-6.5750999999999999</v>
      </c>
      <c r="R231" s="2">
        <v>-75.969777080159005</v>
      </c>
      <c r="S231" s="2">
        <v>-5.8403536181128901</v>
      </c>
      <c r="T231" s="2">
        <v>0.377190626468492</v>
      </c>
      <c r="U231" s="2">
        <v>46.706699999999998</v>
      </c>
      <c r="V231" s="2">
        <v>1.5796366813799998</v>
      </c>
      <c r="W231" s="2">
        <v>2.54208489316084</v>
      </c>
      <c r="X231" s="2">
        <v>114.84458797378301</v>
      </c>
      <c r="Y231" s="2">
        <v>1.2208696221200099</v>
      </c>
      <c r="Z231" s="4">
        <v>6.9099999999999993</v>
      </c>
      <c r="AA231" s="4">
        <v>13.3</v>
      </c>
      <c r="AB231" s="2">
        <v>1.4</v>
      </c>
      <c r="AC231" s="2">
        <v>17.600000000000001</v>
      </c>
      <c r="AD231" s="2">
        <v>5.7000000000000028</v>
      </c>
      <c r="AE231" s="2">
        <v>0</v>
      </c>
    </row>
    <row r="232" spans="1:31" x14ac:dyDescent="0.25">
      <c r="A232" s="2" t="s">
        <v>367</v>
      </c>
      <c r="B232" s="2">
        <v>2016</v>
      </c>
      <c r="C232" s="2" t="s">
        <v>368</v>
      </c>
      <c r="D232" s="2" t="s">
        <v>329</v>
      </c>
      <c r="E232" s="2">
        <v>2.8397999999999999</v>
      </c>
      <c r="F232" s="2">
        <v>1.7027000000000001</v>
      </c>
      <c r="G232" s="2">
        <v>0.97309999999999997</v>
      </c>
      <c r="H232" s="2">
        <v>1.4428000000000001</v>
      </c>
      <c r="I232" s="2">
        <v>1.0301</v>
      </c>
      <c r="J232">
        <f>0.444142692569148*(100)</f>
        <v>44.4142692569148</v>
      </c>
      <c r="K232">
        <f>0.112185147620025*(100)</f>
        <v>11.218514762002501</v>
      </c>
      <c r="L232" s="2">
        <v>13.572100000000001</v>
      </c>
      <c r="M232" s="2">
        <v>3.5524</v>
      </c>
      <c r="N232" s="2">
        <v>10.998699999999999</v>
      </c>
      <c r="O232" s="2">
        <v>2.2841999999999998</v>
      </c>
      <c r="P232" s="2">
        <v>17.448599999999999</v>
      </c>
      <c r="Q232" s="2">
        <v>8.9079999999999995</v>
      </c>
      <c r="R232" s="2">
        <v>37.392969670217703</v>
      </c>
      <c r="S232" s="2">
        <v>-2.6417617648665699</v>
      </c>
      <c r="T232" s="2">
        <v>1.50631166990629</v>
      </c>
      <c r="U232" s="2">
        <v>44.128399999999999</v>
      </c>
      <c r="V232" s="2">
        <v>1.3985553342719499</v>
      </c>
      <c r="W232" s="2">
        <v>2.7165228369165102</v>
      </c>
      <c r="X232" s="2">
        <v>115.72646695833799</v>
      </c>
      <c r="Y232" s="2">
        <v>1.9817484408203598</v>
      </c>
      <c r="Z232" s="4">
        <v>6.7</v>
      </c>
      <c r="AA232" s="4">
        <v>11.3</v>
      </c>
      <c r="AB232" s="2">
        <v>2</v>
      </c>
      <c r="AC232" s="2">
        <v>15.9</v>
      </c>
      <c r="AD232" s="2">
        <v>5.7000000000000028</v>
      </c>
      <c r="AE232" s="2">
        <v>0</v>
      </c>
    </row>
    <row r="233" spans="1:31" x14ac:dyDescent="0.25">
      <c r="A233" s="2" t="s">
        <v>369</v>
      </c>
      <c r="B233" s="2">
        <v>2014</v>
      </c>
      <c r="C233" s="2" t="s">
        <v>370</v>
      </c>
      <c r="D233" s="2" t="s">
        <v>323</v>
      </c>
      <c r="E233" s="2">
        <v>-5.2606999999999999</v>
      </c>
      <c r="F233" s="2">
        <v>-44.654000000000003</v>
      </c>
      <c r="G233" s="2">
        <v>-11.862399999999999</v>
      </c>
      <c r="H233" s="2">
        <v>0.60899999999999999</v>
      </c>
      <c r="I233" s="2">
        <v>0.39369999999999999</v>
      </c>
      <c r="J233">
        <f>0.195576766954957*(100)</f>
        <v>19.557676695495697</v>
      </c>
      <c r="K233">
        <f>0.09001808714644*(100)</f>
        <v>9.0018087146439996</v>
      </c>
      <c r="L233" s="2">
        <v>6.0791000000000004</v>
      </c>
      <c r="M233" s="2">
        <v>2.2408000000000001</v>
      </c>
      <c r="N233" s="2">
        <v>1.6798</v>
      </c>
      <c r="O233" s="2">
        <v>0.72309999999999997</v>
      </c>
      <c r="P233" s="2">
        <v>40.542499999999997</v>
      </c>
      <c r="Q233" s="2">
        <v>-16.376000000000001</v>
      </c>
      <c r="R233" s="2">
        <v>-2456.5898941088799</v>
      </c>
      <c r="S233" s="2">
        <v>-3.4460350459588298</v>
      </c>
      <c r="T233" s="2">
        <v>-36.255326439757702</v>
      </c>
      <c r="U233" s="2">
        <v>79.427700000000002</v>
      </c>
      <c r="V233" s="2">
        <v>25.316442928365202</v>
      </c>
      <c r="W233" s="2">
        <v>0.472180010145197</v>
      </c>
      <c r="X233" s="2">
        <v>128.91027818045001</v>
      </c>
      <c r="Y233" s="2">
        <v>9.7149088906596806</v>
      </c>
      <c r="Z233" s="4">
        <v>7.3</v>
      </c>
      <c r="AA233" s="4">
        <v>12.2</v>
      </c>
      <c r="AB233" s="2">
        <v>2</v>
      </c>
      <c r="AC233" s="2">
        <v>16.899999999999999</v>
      </c>
      <c r="AD233" s="2">
        <v>6.7000000000000028</v>
      </c>
      <c r="AE233" s="2">
        <v>0</v>
      </c>
    </row>
    <row r="234" spans="1:31" x14ac:dyDescent="0.25">
      <c r="A234" s="2" t="s">
        <v>369</v>
      </c>
      <c r="B234" s="2">
        <v>2015</v>
      </c>
      <c r="C234" s="2" t="s">
        <v>370</v>
      </c>
      <c r="D234" s="2" t="s">
        <v>323</v>
      </c>
      <c r="E234" s="2">
        <v>2.5924</v>
      </c>
      <c r="F234" s="2">
        <v>0.61480000000000001</v>
      </c>
      <c r="G234" s="2">
        <v>-3.1034000000000002</v>
      </c>
      <c r="H234" s="2">
        <v>0.79279999999999995</v>
      </c>
      <c r="I234" s="2">
        <v>0.54349999999999998</v>
      </c>
      <c r="J234">
        <f>0.293517141058185*(100)</f>
        <v>29.351714105818498</v>
      </c>
      <c r="K234">
        <f>0.0520353713449018*(100)</f>
        <v>5.2035371344901797</v>
      </c>
      <c r="L234" s="2">
        <v>5.5918000000000001</v>
      </c>
      <c r="M234" s="2">
        <v>1.9341999999999999</v>
      </c>
      <c r="N234" s="2">
        <v>1.5270999999999999</v>
      </c>
      <c r="O234" s="2">
        <v>0.64649999999999996</v>
      </c>
      <c r="P234" s="2">
        <v>35.968600000000002</v>
      </c>
      <c r="Q234" s="2">
        <v>-13.3651</v>
      </c>
      <c r="R234" s="2">
        <v>102.486473138493</v>
      </c>
      <c r="S234" s="2">
        <v>-1.8534998673821701</v>
      </c>
      <c r="T234" s="2">
        <v>37.240808007125999</v>
      </c>
      <c r="U234" s="2">
        <v>73.4255</v>
      </c>
      <c r="V234" s="2">
        <v>30.662394284003401</v>
      </c>
      <c r="W234" s="2">
        <v>0.64246865030650302</v>
      </c>
      <c r="X234" s="2">
        <v>114.250226204405</v>
      </c>
      <c r="Y234" s="2">
        <v>5.8579925621166202</v>
      </c>
      <c r="Z234" s="4">
        <v>6.9099999999999993</v>
      </c>
      <c r="AA234" s="4">
        <v>13.3</v>
      </c>
      <c r="AB234" s="2">
        <v>1.4</v>
      </c>
      <c r="AC234" s="2">
        <v>17.600000000000001</v>
      </c>
      <c r="AD234" s="2">
        <v>5.7000000000000028</v>
      </c>
      <c r="AE234" s="2">
        <v>0</v>
      </c>
    </row>
    <row r="235" spans="1:31" x14ac:dyDescent="0.25">
      <c r="A235" s="2" t="s">
        <v>369</v>
      </c>
      <c r="B235" s="2">
        <v>2016</v>
      </c>
      <c r="C235" s="2" t="s">
        <v>370</v>
      </c>
      <c r="D235" s="2" t="s">
        <v>323</v>
      </c>
      <c r="E235" s="2">
        <v>2.9441000000000002</v>
      </c>
      <c r="F235" s="2">
        <v>1.0461</v>
      </c>
      <c r="G235" s="2">
        <v>-8.2000000000000003E-2</v>
      </c>
      <c r="H235" s="2">
        <v>0.80079999999999996</v>
      </c>
      <c r="I235" s="2">
        <v>0.58499999999999996</v>
      </c>
      <c r="J235">
        <f>0.350996394415438*(100)</f>
        <v>35.0996394415438</v>
      </c>
      <c r="K235">
        <f>0.0856474124956873*(100)</f>
        <v>8.5647412495687298</v>
      </c>
      <c r="L235" s="2">
        <v>6.9962</v>
      </c>
      <c r="M235" s="2">
        <v>2.2063000000000001</v>
      </c>
      <c r="N235" s="2">
        <v>1.8909</v>
      </c>
      <c r="O235" s="2">
        <v>0.75949999999999995</v>
      </c>
      <c r="P235" s="2">
        <v>35.7988</v>
      </c>
      <c r="Q235" s="2">
        <v>16.8293</v>
      </c>
      <c r="R235" s="2">
        <v>242.07371401013</v>
      </c>
      <c r="S235" s="2">
        <v>-1.0316955461110699</v>
      </c>
      <c r="T235" s="2">
        <v>-4.6257082685076796</v>
      </c>
      <c r="U235" s="2">
        <v>70.755300000000005</v>
      </c>
      <c r="V235" s="2">
        <v>27.1178562601695</v>
      </c>
      <c r="W235" s="2">
        <v>0.74460379977271296</v>
      </c>
      <c r="X235" s="2">
        <v>97.239592058385512</v>
      </c>
      <c r="Y235" s="2">
        <v>7.9954413518993501</v>
      </c>
      <c r="Z235" s="4">
        <v>6.7</v>
      </c>
      <c r="AA235" s="4">
        <v>11.3</v>
      </c>
      <c r="AB235" s="2">
        <v>2</v>
      </c>
      <c r="AC235" s="2">
        <v>15.9</v>
      </c>
      <c r="AD235" s="2">
        <v>5.7000000000000028</v>
      </c>
      <c r="AE235" s="2">
        <v>0</v>
      </c>
    </row>
    <row r="236" spans="1:31" x14ac:dyDescent="0.25">
      <c r="A236" s="2" t="s">
        <v>369</v>
      </c>
      <c r="B236" s="2">
        <v>2017</v>
      </c>
      <c r="C236" s="2" t="s">
        <v>370</v>
      </c>
      <c r="D236" s="2" t="s">
        <v>323</v>
      </c>
      <c r="E236" s="2">
        <v>3.6476999999999999</v>
      </c>
      <c r="F236" s="2">
        <v>3.5533000000000001</v>
      </c>
      <c r="G236" s="2">
        <v>1.7382</v>
      </c>
      <c r="H236" s="2">
        <v>0.75960000000000005</v>
      </c>
      <c r="I236" s="2">
        <v>0.53349999999999997</v>
      </c>
      <c r="J236">
        <f>0.37372840420756*(100)</f>
        <v>37.372840420755999</v>
      </c>
      <c r="K236">
        <f>0.0975080600196073*(100)</f>
        <v>9.7508060019607292</v>
      </c>
      <c r="L236" s="2">
        <v>8.6331000000000007</v>
      </c>
      <c r="M236" s="2">
        <v>2.6722999999999999</v>
      </c>
      <c r="N236" s="2">
        <v>2.2431000000000001</v>
      </c>
      <c r="O236" s="2">
        <v>0.92300000000000004</v>
      </c>
      <c r="P236" s="2">
        <v>42.491199999999999</v>
      </c>
      <c r="Q236" s="2">
        <v>25.674299999999999</v>
      </c>
      <c r="R236" s="2">
        <v>93.548490100894597</v>
      </c>
      <c r="S236" s="2">
        <v>5.0575303503292997</v>
      </c>
      <c r="T236" s="2">
        <v>3.4325659477925901</v>
      </c>
      <c r="U236" s="2">
        <v>67.267099999999999</v>
      </c>
      <c r="V236" s="2">
        <v>22.3115613406124</v>
      </c>
      <c r="W236" s="2">
        <v>0.75611671844276496</v>
      </c>
      <c r="X236" s="2">
        <v>90.127829321012896</v>
      </c>
      <c r="Y236" s="2">
        <v>7.28993909676631</v>
      </c>
      <c r="Z236" s="4">
        <v>6.9</v>
      </c>
      <c r="AA236" s="4">
        <v>8.2000000000000011</v>
      </c>
      <c r="AB236" s="2">
        <v>1.6</v>
      </c>
      <c r="AC236" s="2">
        <v>16.3</v>
      </c>
      <c r="AD236" s="2">
        <v>6.2000000000000028</v>
      </c>
      <c r="AE236" s="2">
        <v>0</v>
      </c>
    </row>
    <row r="237" spans="1:31" x14ac:dyDescent="0.25">
      <c r="A237" s="2" t="s">
        <v>369</v>
      </c>
      <c r="B237" s="2">
        <v>2018</v>
      </c>
      <c r="C237" s="2" t="s">
        <v>370</v>
      </c>
      <c r="D237" s="2" t="s">
        <v>323</v>
      </c>
      <c r="E237" s="2">
        <v>3.3031000000000001</v>
      </c>
      <c r="F237" s="2">
        <v>1.8939999999999999</v>
      </c>
      <c r="G237" s="2">
        <v>1.345</v>
      </c>
      <c r="H237" s="2">
        <v>0.78790000000000004</v>
      </c>
      <c r="I237" s="2">
        <v>0.51419999999999999</v>
      </c>
      <c r="J237">
        <f>0.323839870246592*(100)</f>
        <v>32.383987024659199</v>
      </c>
      <c r="K237">
        <f>0.0989850286447598*(100)</f>
        <v>9.8985028644759812</v>
      </c>
      <c r="L237" s="2">
        <v>8.0531000000000006</v>
      </c>
      <c r="M237" s="2">
        <v>2.8330000000000002</v>
      </c>
      <c r="N237" s="2">
        <v>2.0091000000000001</v>
      </c>
      <c r="O237" s="2">
        <v>0.89890000000000003</v>
      </c>
      <c r="P237" s="2">
        <v>37.8733</v>
      </c>
      <c r="Q237" s="2">
        <v>-0.43099999999999999</v>
      </c>
      <c r="R237" s="2">
        <v>-33.154116201217697</v>
      </c>
      <c r="S237" s="2">
        <v>0.53014311374290402</v>
      </c>
      <c r="T237" s="2">
        <v>32.067253831123701</v>
      </c>
      <c r="U237" s="2">
        <v>66.313000000000002</v>
      </c>
      <c r="V237" s="2">
        <v>29.101695485805699</v>
      </c>
      <c r="W237" s="2">
        <v>0.71932153923358499</v>
      </c>
      <c r="X237" s="2">
        <v>86.203374526632899</v>
      </c>
      <c r="Y237" s="2">
        <v>7.2226835758251697</v>
      </c>
      <c r="Z237" s="4">
        <v>6.6000000000000005</v>
      </c>
      <c r="AA237" s="4">
        <v>8.1</v>
      </c>
      <c r="AB237" s="2">
        <v>2.1</v>
      </c>
      <c r="AC237" s="2">
        <v>12.5</v>
      </c>
      <c r="AD237" s="2">
        <v>6.0999999999999943</v>
      </c>
      <c r="AE237" s="2">
        <v>0</v>
      </c>
    </row>
    <row r="238" spans="1:31" x14ac:dyDescent="0.25">
      <c r="A238" s="2" t="s">
        <v>369</v>
      </c>
      <c r="B238" s="2">
        <v>2019</v>
      </c>
      <c r="C238" s="2" t="s">
        <v>370</v>
      </c>
      <c r="D238" s="2" t="s">
        <v>323</v>
      </c>
      <c r="E238" s="2">
        <v>3.355</v>
      </c>
      <c r="F238" s="2">
        <v>1.5894999999999999</v>
      </c>
      <c r="G238" s="2">
        <v>1.0298</v>
      </c>
      <c r="H238" s="2">
        <v>0.70430000000000004</v>
      </c>
      <c r="I238" s="2">
        <v>0.42209999999999998</v>
      </c>
      <c r="J238">
        <f>0.181700092849866*(100)</f>
        <v>18.170009284986598</v>
      </c>
      <c r="K238">
        <f>0.0950304477056903*(100)</f>
        <v>9.50304477056903</v>
      </c>
      <c r="L238" s="2">
        <v>8.8183000000000007</v>
      </c>
      <c r="M238" s="2">
        <v>3.5327000000000002</v>
      </c>
      <c r="N238" s="2">
        <v>2.0640000000000001</v>
      </c>
      <c r="O238" s="2">
        <v>0.94110000000000005</v>
      </c>
      <c r="P238" s="2">
        <v>38.929000000000002</v>
      </c>
      <c r="Q238" s="2">
        <v>5.4553000000000003</v>
      </c>
      <c r="R238" s="2">
        <v>-5.1459353612385401</v>
      </c>
      <c r="S238" s="2">
        <v>1.0479016790362401</v>
      </c>
      <c r="T238" s="2">
        <v>4.28181408915529</v>
      </c>
      <c r="U238" s="2">
        <v>65.172200000000004</v>
      </c>
      <c r="V238" s="2">
        <v>31.110291735688598</v>
      </c>
      <c r="W238" s="2">
        <v>0.77490891226010505</v>
      </c>
      <c r="X238" s="2">
        <v>81.396178831482501</v>
      </c>
      <c r="Y238" s="2">
        <v>6.5624327548656103</v>
      </c>
      <c r="Z238" s="4">
        <v>6</v>
      </c>
      <c r="AA238" s="4">
        <v>8.6999999999999993</v>
      </c>
      <c r="AB238" s="2">
        <v>2.9</v>
      </c>
      <c r="AC238" s="2">
        <v>15.6</v>
      </c>
      <c r="AD238" s="2">
        <v>4.7999999999999972</v>
      </c>
      <c r="AE238" s="2">
        <v>0</v>
      </c>
    </row>
    <row r="239" spans="1:31" x14ac:dyDescent="0.25">
      <c r="A239" s="2" t="s">
        <v>369</v>
      </c>
      <c r="B239" s="2">
        <v>2020</v>
      </c>
      <c r="C239" s="2" t="s">
        <v>370</v>
      </c>
      <c r="D239" s="2" t="s">
        <v>323</v>
      </c>
      <c r="E239" s="2">
        <v>3.1522000000000001</v>
      </c>
      <c r="F239" s="2">
        <v>1.3596999999999999</v>
      </c>
      <c r="G239" s="2">
        <v>1.2381</v>
      </c>
      <c r="H239" s="2">
        <v>0.73780000000000001</v>
      </c>
      <c r="I239" s="2">
        <v>0.42070000000000002</v>
      </c>
      <c r="J239">
        <f>0.170924064240048*(100)</f>
        <v>17.0924064240048</v>
      </c>
      <c r="K239">
        <f>0.120657139424783*(100)</f>
        <v>12.0657139424783</v>
      </c>
      <c r="L239" s="2">
        <v>8.6698000000000004</v>
      </c>
      <c r="M239" s="2">
        <v>3.9190999999999998</v>
      </c>
      <c r="N239" s="2">
        <v>2.0228000000000002</v>
      </c>
      <c r="O239" s="2">
        <v>0.93469999999999998</v>
      </c>
      <c r="P239" s="2">
        <v>39.972499999999997</v>
      </c>
      <c r="Q239" s="2">
        <v>-2.2191000000000001</v>
      </c>
      <c r="R239" s="2">
        <v>5.53098280205423</v>
      </c>
      <c r="S239" s="2">
        <v>-4.0543018226015199</v>
      </c>
      <c r="T239" s="2">
        <v>-0.62183408433047604</v>
      </c>
      <c r="U239" s="2">
        <v>63.4833</v>
      </c>
      <c r="V239" s="2">
        <v>31.350545950131497</v>
      </c>
      <c r="W239" s="2">
        <v>0.73370491699716101</v>
      </c>
      <c r="X239" s="2">
        <v>79.868967241692104</v>
      </c>
      <c r="Y239" s="2">
        <v>8.0009708687074301</v>
      </c>
      <c r="Z239" s="4">
        <v>2.2999999999999998</v>
      </c>
      <c r="AA239" s="4">
        <v>10.100000000000001</v>
      </c>
      <c r="AB239" s="2">
        <v>2.5</v>
      </c>
      <c r="AC239" s="2">
        <v>16.100000000000001</v>
      </c>
      <c r="AD239" s="2">
        <v>2.4000000000000057</v>
      </c>
      <c r="AE239" s="2">
        <v>0</v>
      </c>
    </row>
    <row r="240" spans="1:31" x14ac:dyDescent="0.25">
      <c r="A240" s="2" t="s">
        <v>369</v>
      </c>
      <c r="B240" s="2">
        <v>2021</v>
      </c>
      <c r="C240" s="2" t="s">
        <v>370</v>
      </c>
      <c r="D240" s="2" t="s">
        <v>323</v>
      </c>
      <c r="E240" s="2">
        <v>7.1397000000000004</v>
      </c>
      <c r="F240" s="2">
        <v>9.1034000000000006</v>
      </c>
      <c r="G240" s="2">
        <v>4.1550000000000002</v>
      </c>
      <c r="H240" s="2">
        <v>0.93359999999999999</v>
      </c>
      <c r="I240" s="2">
        <v>0.5756</v>
      </c>
      <c r="J240">
        <f>0.389394664611453*(100)</f>
        <v>38.939466461145301</v>
      </c>
      <c r="K240">
        <f>0.236688278784615*(100)</f>
        <v>23.668827878461503</v>
      </c>
      <c r="L240" s="2">
        <v>12.5403</v>
      </c>
      <c r="M240" s="2">
        <v>5.6837999999999997</v>
      </c>
      <c r="N240" s="2">
        <v>2.9914999999999998</v>
      </c>
      <c r="O240" s="2">
        <v>1.393</v>
      </c>
      <c r="P240" s="2">
        <v>69.045400000000001</v>
      </c>
      <c r="Q240" s="2">
        <v>45.033299999999997</v>
      </c>
      <c r="R240" s="2">
        <v>387.04259752083499</v>
      </c>
      <c r="S240" s="2">
        <v>-1.36587446517823</v>
      </c>
      <c r="T240" s="2">
        <v>5.1706250052686604</v>
      </c>
      <c r="U240" s="2">
        <v>62.166200000000003</v>
      </c>
      <c r="V240" s="2">
        <v>35.041945811195802</v>
      </c>
      <c r="W240" s="2">
        <v>0.79904679548940805</v>
      </c>
      <c r="X240" s="2">
        <v>85.080811947638608</v>
      </c>
      <c r="Y240" s="2">
        <v>10.4654569153951</v>
      </c>
      <c r="Z240" s="4">
        <v>8.4</v>
      </c>
      <c r="AA240" s="4">
        <v>9</v>
      </c>
      <c r="AB240" s="2">
        <v>0.9</v>
      </c>
      <c r="AC240" s="2">
        <v>20.9</v>
      </c>
      <c r="AD240" s="2">
        <v>10.400000000000006</v>
      </c>
      <c r="AE240" s="2">
        <v>0</v>
      </c>
    </row>
    <row r="241" spans="1:31" x14ac:dyDescent="0.25">
      <c r="A241" s="2" t="s">
        <v>371</v>
      </c>
      <c r="B241" s="2">
        <v>2017</v>
      </c>
      <c r="C241" s="2" t="s">
        <v>372</v>
      </c>
      <c r="D241" s="2" t="s">
        <v>373</v>
      </c>
      <c r="E241" s="2">
        <v>11.7239</v>
      </c>
      <c r="F241" s="2">
        <v>21.494700000000002</v>
      </c>
      <c r="G241" s="2">
        <v>13.1167</v>
      </c>
      <c r="H241" s="2">
        <v>0.74409999999999998</v>
      </c>
      <c r="I241" s="2">
        <v>0.55530000000000002</v>
      </c>
      <c r="J241">
        <f>0.265404306130438*(100)</f>
        <v>26.540430613043796</v>
      </c>
      <c r="K241">
        <f>0.168627208272651*(100)</f>
        <v>16.8627208272651</v>
      </c>
      <c r="L241" s="2">
        <v>6.7013999999999996</v>
      </c>
      <c r="M241" s="2">
        <v>2.1002000000000001</v>
      </c>
      <c r="N241" s="2">
        <v>1.7194</v>
      </c>
      <c r="O241" s="2">
        <v>0.74370000000000003</v>
      </c>
      <c r="P241" s="2">
        <v>9.3108000000000004</v>
      </c>
      <c r="Q241" s="2">
        <v>43.824800000000003</v>
      </c>
      <c r="R241" s="2">
        <v>462.91139544435299</v>
      </c>
      <c r="S241" s="2">
        <v>34.324250582248197</v>
      </c>
      <c r="T241" s="2">
        <v>23.772071680769699</v>
      </c>
      <c r="U241" s="2">
        <v>61.214100000000002</v>
      </c>
      <c r="V241" s="2">
        <v>15.426725893371602</v>
      </c>
      <c r="W241" s="2">
        <v>0.97756216216352698</v>
      </c>
      <c r="X241" s="2">
        <v>86.946729633899693</v>
      </c>
      <c r="Y241" s="2">
        <v>15.912537758292499</v>
      </c>
      <c r="Z241" s="4">
        <v>6.9</v>
      </c>
      <c r="AA241" s="4">
        <v>8.2000000000000011</v>
      </c>
      <c r="AB241" s="2">
        <v>1.6</v>
      </c>
      <c r="AC241" s="2">
        <v>16.3</v>
      </c>
      <c r="AD241" s="2">
        <v>6.2000000000000028</v>
      </c>
      <c r="AE241" s="2">
        <v>0</v>
      </c>
    </row>
    <row r="242" spans="1:31" x14ac:dyDescent="0.25">
      <c r="A242" s="2" t="s">
        <v>371</v>
      </c>
      <c r="B242" s="2">
        <v>2018</v>
      </c>
      <c r="C242" s="2" t="s">
        <v>372</v>
      </c>
      <c r="D242" s="2" t="s">
        <v>591</v>
      </c>
      <c r="E242" s="2">
        <v>14.3832</v>
      </c>
      <c r="F242" s="2">
        <v>27.21</v>
      </c>
      <c r="G242" s="2">
        <v>13.7042</v>
      </c>
      <c r="H242" s="2">
        <v>0.79620000000000002</v>
      </c>
      <c r="I242" s="2">
        <v>0.63239999999999996</v>
      </c>
      <c r="J242">
        <f>0.265953939085933*(100)</f>
        <v>26.595393908593302</v>
      </c>
      <c r="K242">
        <f>0.145188441869421*(100)</f>
        <v>14.518844186942101</v>
      </c>
      <c r="L242" s="2">
        <v>7.8070000000000004</v>
      </c>
      <c r="M242" s="2">
        <v>2.2978000000000001</v>
      </c>
      <c r="N242" s="2">
        <v>2.0718999999999999</v>
      </c>
      <c r="O242" s="2">
        <v>0.77549999999999997</v>
      </c>
      <c r="P242" s="2">
        <v>9.4578000000000007</v>
      </c>
      <c r="Q242" s="2">
        <v>39.3626</v>
      </c>
      <c r="R242" s="2">
        <v>70.114277134424597</v>
      </c>
      <c r="S242" s="2">
        <v>33.329387221691</v>
      </c>
      <c r="T242" s="2">
        <v>27.137512909263599</v>
      </c>
      <c r="U242" s="2">
        <v>62.303400000000003</v>
      </c>
      <c r="V242" s="2">
        <v>20.210657492350101</v>
      </c>
      <c r="W242" s="2">
        <v>1.0545144476771999</v>
      </c>
      <c r="X242" s="2">
        <v>91.829378836075108</v>
      </c>
      <c r="Y242" s="2">
        <v>13.3297413863954</v>
      </c>
      <c r="Z242" s="4">
        <v>6.6000000000000005</v>
      </c>
      <c r="AA242" s="4">
        <v>8.1</v>
      </c>
      <c r="AB242" s="2">
        <v>2.1</v>
      </c>
      <c r="AC242" s="2">
        <v>12.5</v>
      </c>
      <c r="AD242" s="2">
        <v>6.0999999999999943</v>
      </c>
      <c r="AE242" s="2">
        <v>0</v>
      </c>
    </row>
    <row r="243" spans="1:31" x14ac:dyDescent="0.25">
      <c r="A243" s="2" t="s">
        <v>374</v>
      </c>
      <c r="B243" s="2">
        <v>2014</v>
      </c>
      <c r="C243" s="2" t="s">
        <v>375</v>
      </c>
      <c r="D243" s="2" t="s">
        <v>296</v>
      </c>
      <c r="E243" s="2">
        <v>15.510899999999999</v>
      </c>
      <c r="F243" s="2">
        <v>22.334099999999999</v>
      </c>
      <c r="G243" s="2">
        <v>49.408099999999997</v>
      </c>
      <c r="H243" s="2">
        <v>1.0495000000000001</v>
      </c>
      <c r="I243" s="2">
        <v>0.66300000000000003</v>
      </c>
      <c r="J243">
        <f>0.289452066935404*(100)</f>
        <v>28.945206693540399</v>
      </c>
      <c r="K243">
        <f>0.176760123814535*(100)</f>
        <v>17.6760123814535</v>
      </c>
      <c r="L243" s="2">
        <v>0.52290000000000003</v>
      </c>
      <c r="M243" s="2">
        <v>0.69310000000000005</v>
      </c>
      <c r="N243" s="2">
        <v>4.7485999999999997</v>
      </c>
      <c r="O243" s="2">
        <v>0.30109999999999998</v>
      </c>
      <c r="P243" s="2">
        <v>13.440899999999999</v>
      </c>
      <c r="Q243" s="2">
        <v>-7.4869000000000003</v>
      </c>
      <c r="R243" s="2">
        <v>-8.77121323565407</v>
      </c>
      <c r="S243" s="2">
        <v>15.422410284027301</v>
      </c>
      <c r="T243" s="2">
        <v>20.175842748119099</v>
      </c>
      <c r="U243" s="2">
        <v>44.685000000000002</v>
      </c>
      <c r="V243" s="2">
        <v>9.4338784942789804</v>
      </c>
      <c r="W243" s="2">
        <v>7.5725878837601099</v>
      </c>
      <c r="X243" s="2">
        <v>80.054763234407901</v>
      </c>
      <c r="Y243" s="2">
        <v>28.250271135479899</v>
      </c>
      <c r="Z243" s="4">
        <v>7.3</v>
      </c>
      <c r="AA243" s="4">
        <v>12.2</v>
      </c>
      <c r="AB243" s="2">
        <v>2</v>
      </c>
      <c r="AC243" s="2">
        <v>16.899999999999999</v>
      </c>
      <c r="AD243" s="2">
        <v>2.0999999999999943</v>
      </c>
      <c r="AE243" s="2">
        <v>0</v>
      </c>
    </row>
    <row r="244" spans="1:31" x14ac:dyDescent="0.25">
      <c r="A244" s="2" t="s">
        <v>376</v>
      </c>
      <c r="B244" s="2">
        <v>2014</v>
      </c>
      <c r="C244" s="2" t="s">
        <v>377</v>
      </c>
      <c r="D244" s="2" t="s">
        <v>295</v>
      </c>
      <c r="E244" s="2">
        <v>4.0651999999999999</v>
      </c>
      <c r="F244" s="2">
        <v>10.507300000000001</v>
      </c>
      <c r="G244" s="2">
        <v>15.4536</v>
      </c>
      <c r="H244" s="2">
        <v>1.7185999999999999</v>
      </c>
      <c r="I244" s="2">
        <v>0.3377</v>
      </c>
      <c r="J244">
        <f>0.308127891170095*(100)</f>
        <v>30.812789117009498</v>
      </c>
      <c r="K244">
        <f>-0.0578409672164483*(100)</f>
        <v>-5.78409672164483</v>
      </c>
      <c r="L244" s="2">
        <v>0.1822</v>
      </c>
      <c r="M244" s="2">
        <v>0.2329</v>
      </c>
      <c r="N244" s="2">
        <v>15.3408</v>
      </c>
      <c r="O244" s="2">
        <v>0.20799999999999999</v>
      </c>
      <c r="P244" s="2">
        <v>42.846499999999999</v>
      </c>
      <c r="Q244" s="2">
        <v>-13.449199999999999</v>
      </c>
      <c r="R244" s="2">
        <v>-1.7818209672543199</v>
      </c>
      <c r="S244" s="2">
        <v>14.060034596250199</v>
      </c>
      <c r="T244" s="2">
        <v>10.671871850695499</v>
      </c>
      <c r="U244" s="2">
        <v>76.971100000000007</v>
      </c>
      <c r="V244" s="2">
        <v>25.880161239979099</v>
      </c>
      <c r="W244" s="2">
        <v>18.1584551039297</v>
      </c>
      <c r="X244" s="2">
        <v>110.60904709867201</v>
      </c>
      <c r="Y244" s="2">
        <v>-22.8056889555582</v>
      </c>
      <c r="Z244" s="4">
        <v>7.3</v>
      </c>
      <c r="AA244" s="4">
        <v>12.2</v>
      </c>
      <c r="AB244" s="2">
        <v>2</v>
      </c>
      <c r="AC244" s="2">
        <v>16.899999999999999</v>
      </c>
      <c r="AD244" s="2">
        <v>2.0999999999999943</v>
      </c>
      <c r="AE244" s="2">
        <v>0</v>
      </c>
    </row>
    <row r="245" spans="1:31" x14ac:dyDescent="0.25">
      <c r="A245" s="2" t="s">
        <v>376</v>
      </c>
      <c r="B245" s="2">
        <v>2015</v>
      </c>
      <c r="C245" s="2" t="s">
        <v>377</v>
      </c>
      <c r="D245" s="2" t="s">
        <v>295</v>
      </c>
      <c r="E245" s="2">
        <v>3.6341000000000001</v>
      </c>
      <c r="F245" s="2">
        <v>12.067</v>
      </c>
      <c r="G245" s="2">
        <v>10.2685</v>
      </c>
      <c r="H245" s="2">
        <v>1.8704000000000001</v>
      </c>
      <c r="I245" s="2">
        <v>0.439</v>
      </c>
      <c r="J245">
        <f>0.352391287059746*(100)</f>
        <v>35.239128705974601</v>
      </c>
      <c r="K245">
        <f>-0.0410578077226644*(100)</f>
        <v>-4.1057807722664403</v>
      </c>
      <c r="L245" s="2">
        <v>0.28129999999999999</v>
      </c>
      <c r="M245" s="2">
        <v>0.29930000000000001</v>
      </c>
      <c r="N245" s="2">
        <v>23.3919</v>
      </c>
      <c r="O245" s="2">
        <v>0.26569999999999999</v>
      </c>
      <c r="P245" s="2">
        <v>69.747100000000003</v>
      </c>
      <c r="Q245" s="2">
        <v>51.938899999999997</v>
      </c>
      <c r="R245" s="2">
        <v>10.900882023445201</v>
      </c>
      <c r="S245" s="2">
        <v>19.455605929648598</v>
      </c>
      <c r="T245" s="2">
        <v>-0.10450839682556599</v>
      </c>
      <c r="U245" s="2">
        <v>79.960999999999999</v>
      </c>
      <c r="V245" s="2">
        <v>32.0766711494757</v>
      </c>
      <c r="W245" s="2">
        <v>19.556111151077399</v>
      </c>
      <c r="X245" s="2">
        <v>119.153544886289</v>
      </c>
      <c r="Y245" s="2">
        <v>-13.453958369668001</v>
      </c>
      <c r="Z245" s="4">
        <v>6.9099999999999993</v>
      </c>
      <c r="AA245" s="4">
        <v>13.3</v>
      </c>
      <c r="AB245" s="2">
        <v>1.4</v>
      </c>
      <c r="AC245" s="2">
        <v>17.600000000000001</v>
      </c>
      <c r="AD245" s="2">
        <v>3.7999999999999972</v>
      </c>
      <c r="AE245" s="2">
        <v>0</v>
      </c>
    </row>
    <row r="246" spans="1:31" x14ac:dyDescent="0.25">
      <c r="A246" s="2" t="s">
        <v>376</v>
      </c>
      <c r="B246" s="2">
        <v>2016</v>
      </c>
      <c r="C246" s="2" t="s">
        <v>377</v>
      </c>
      <c r="D246" s="2" t="s">
        <v>295</v>
      </c>
      <c r="E246" s="2">
        <v>4.5909000000000004</v>
      </c>
      <c r="F246" s="2">
        <v>12.1333</v>
      </c>
      <c r="G246" s="2">
        <v>12.3385</v>
      </c>
      <c r="H246" s="2">
        <v>1.6456999999999999</v>
      </c>
      <c r="I246" s="2">
        <v>0.68920000000000003</v>
      </c>
      <c r="J246">
        <f>0.428386440943274*(100)</f>
        <v>42.8386440943274</v>
      </c>
      <c r="K246">
        <f>0.136780913451134*(100)</f>
        <v>13.678091345113399</v>
      </c>
      <c r="L246" s="2">
        <v>0.3468</v>
      </c>
      <c r="M246" s="2">
        <v>0.3538</v>
      </c>
      <c r="N246" s="2">
        <v>30.157900000000001</v>
      </c>
      <c r="O246" s="2">
        <v>0.30919999999999997</v>
      </c>
      <c r="P246" s="2">
        <v>96.544899999999998</v>
      </c>
      <c r="Q246" s="2">
        <v>27.197099999999999</v>
      </c>
      <c r="R246" s="2">
        <v>43.562623611513601</v>
      </c>
      <c r="S246" s="2">
        <v>7.4609182335306903</v>
      </c>
      <c r="T246" s="2">
        <v>-3.8474797579314202</v>
      </c>
      <c r="U246" s="2">
        <v>81.579499999999996</v>
      </c>
      <c r="V246" s="2">
        <v>29.683929378166201</v>
      </c>
      <c r="W246" s="2">
        <v>17.9591249414404</v>
      </c>
      <c r="X246" s="2">
        <v>122.016577587445</v>
      </c>
      <c r="Y246" s="2">
        <v>37.933570100991595</v>
      </c>
      <c r="Z246" s="4">
        <v>6.7</v>
      </c>
      <c r="AA246" s="4">
        <v>11.3</v>
      </c>
      <c r="AB246" s="2">
        <v>2</v>
      </c>
      <c r="AC246" s="2">
        <v>15.9</v>
      </c>
      <c r="AD246" s="2">
        <v>8.7999999999999972</v>
      </c>
      <c r="AE246" s="2">
        <v>0</v>
      </c>
    </row>
    <row r="247" spans="1:31" x14ac:dyDescent="0.25">
      <c r="A247" s="2" t="s">
        <v>376</v>
      </c>
      <c r="B247" s="2">
        <v>2017</v>
      </c>
      <c r="C247" s="2" t="s">
        <v>377</v>
      </c>
      <c r="D247" s="2" t="s">
        <v>295</v>
      </c>
      <c r="E247" s="2">
        <v>4.7736000000000001</v>
      </c>
      <c r="F247" s="2">
        <v>15.098000000000001</v>
      </c>
      <c r="G247" s="2">
        <v>17.0303</v>
      </c>
      <c r="H247" s="2">
        <v>1.3469</v>
      </c>
      <c r="I247" s="2">
        <v>0.63170000000000004</v>
      </c>
      <c r="J247">
        <f>0.212361794842148*(100)</f>
        <v>21.236179484214802</v>
      </c>
      <c r="K247">
        <f>0.0268376651231634*(100)</f>
        <v>2.6837665123163399</v>
      </c>
      <c r="L247" s="2">
        <v>0.27489999999999998</v>
      </c>
      <c r="M247" s="2">
        <v>0.2389</v>
      </c>
      <c r="N247" s="2">
        <v>23.4633</v>
      </c>
      <c r="O247" s="2">
        <v>0.20499999999999999</v>
      </c>
      <c r="P247" s="2">
        <v>71.552599999999998</v>
      </c>
      <c r="Q247" s="2">
        <v>-17.622</v>
      </c>
      <c r="R247" s="2">
        <v>30.100610806422502</v>
      </c>
      <c r="S247" s="2">
        <v>23.621485260104102</v>
      </c>
      <c r="T247" s="2">
        <v>12.531260451187</v>
      </c>
      <c r="U247" s="2">
        <v>84.495900000000006</v>
      </c>
      <c r="V247" s="2">
        <v>20.576357290628099</v>
      </c>
      <c r="W247" s="2">
        <v>20.660593439893798</v>
      </c>
      <c r="X247" s="2">
        <v>136.65345122316299</v>
      </c>
      <c r="Y247" s="2">
        <v>12.2329571864702</v>
      </c>
      <c r="Z247" s="4">
        <v>6.9</v>
      </c>
      <c r="AA247" s="4">
        <v>8.2000000000000011</v>
      </c>
      <c r="AB247" s="2">
        <v>1.6</v>
      </c>
      <c r="AC247" s="2">
        <v>16.3</v>
      </c>
      <c r="AD247" s="2">
        <v>7</v>
      </c>
      <c r="AE247" s="2">
        <v>0</v>
      </c>
    </row>
    <row r="248" spans="1:31" x14ac:dyDescent="0.25">
      <c r="A248" s="2" t="s">
        <v>376</v>
      </c>
      <c r="B248" s="2">
        <v>2018</v>
      </c>
      <c r="C248" s="2" t="s">
        <v>377</v>
      </c>
      <c r="D248" s="2" t="s">
        <v>295</v>
      </c>
      <c r="E248" s="2">
        <v>4.6562000000000001</v>
      </c>
      <c r="F248" s="2">
        <v>19.167100000000001</v>
      </c>
      <c r="G248" s="2">
        <v>20.246500000000001</v>
      </c>
      <c r="H248" s="2">
        <v>1.7825</v>
      </c>
      <c r="I248" s="2">
        <v>0.83650000000000002</v>
      </c>
      <c r="J248">
        <f>0.265048026777156*(100)</f>
        <v>26.504802677715599</v>
      </c>
      <c r="K248">
        <f>-0.0240771417922963*(100)</f>
        <v>-2.4077141792296302</v>
      </c>
      <c r="L248" s="2">
        <v>0.20960000000000001</v>
      </c>
      <c r="M248" s="2">
        <v>0.19350000000000001</v>
      </c>
      <c r="N248" s="2">
        <v>25.282399999999999</v>
      </c>
      <c r="O248" s="2">
        <v>0.16919999999999999</v>
      </c>
      <c r="P248" s="2">
        <v>65.728800000000007</v>
      </c>
      <c r="Q248" s="2">
        <v>-1.5084</v>
      </c>
      <c r="R248" s="2">
        <v>15.5360462783062</v>
      </c>
      <c r="S248" s="2">
        <v>20.356638632395899</v>
      </c>
      <c r="T248" s="2">
        <v>18.553958887988699</v>
      </c>
      <c r="U248" s="2">
        <v>84.907899999999998</v>
      </c>
      <c r="V248" s="2">
        <v>35.243791993304299</v>
      </c>
      <c r="W248" s="2">
        <v>25.083278737539501</v>
      </c>
      <c r="X248" s="2">
        <v>125.93572547416301</v>
      </c>
      <c r="Y248" s="2">
        <v>-13.2005613652278</v>
      </c>
      <c r="Z248" s="4">
        <v>6.6000000000000005</v>
      </c>
      <c r="AA248" s="4">
        <v>8.1</v>
      </c>
      <c r="AB248" s="2">
        <v>2.1</v>
      </c>
      <c r="AC248" s="2">
        <v>12.5</v>
      </c>
      <c r="AD248" s="2">
        <v>3.5</v>
      </c>
      <c r="AE248" s="2">
        <v>0</v>
      </c>
    </row>
    <row r="249" spans="1:31" x14ac:dyDescent="0.25">
      <c r="A249" s="2" t="s">
        <v>378</v>
      </c>
      <c r="B249" s="2">
        <v>2014</v>
      </c>
      <c r="C249" s="2" t="s">
        <v>379</v>
      </c>
      <c r="D249" s="2" t="s">
        <v>295</v>
      </c>
      <c r="E249" s="2">
        <v>5.9370000000000003</v>
      </c>
      <c r="F249" s="2">
        <v>12.5916</v>
      </c>
      <c r="G249" s="2">
        <v>18.6797</v>
      </c>
      <c r="H249" s="2">
        <v>2.0596000000000001</v>
      </c>
      <c r="I249" s="2">
        <v>0.53490000000000004</v>
      </c>
      <c r="J249">
        <f>0.242688483550497*(100)</f>
        <v>24.268848355049698</v>
      </c>
      <c r="K249">
        <f>-0.00528390091291973*(100)</f>
        <v>-0.52839009129197301</v>
      </c>
      <c r="L249" s="2">
        <v>0.32719999999999999</v>
      </c>
      <c r="M249" s="2">
        <v>0.34239999999999998</v>
      </c>
      <c r="N249" s="2">
        <v>8.0490999999999993</v>
      </c>
      <c r="O249" s="2">
        <v>0.26929999999999998</v>
      </c>
      <c r="P249" s="2">
        <v>21.3095</v>
      </c>
      <c r="Q249" s="2">
        <v>14.4824</v>
      </c>
      <c r="R249" s="2">
        <v>-11.5765059059267</v>
      </c>
      <c r="S249" s="2">
        <v>15.1397080656937</v>
      </c>
      <c r="T249" s="2">
        <v>8.6868286694692092</v>
      </c>
      <c r="U249" s="2">
        <v>69.398700000000005</v>
      </c>
      <c r="V249" s="2">
        <v>31.471824994392101</v>
      </c>
      <c r="W249" s="2">
        <v>9.3338810688058498</v>
      </c>
      <c r="X249" s="2">
        <v>81.454749944309896</v>
      </c>
      <c r="Y249" s="2">
        <v>-1.45753012610632</v>
      </c>
      <c r="Z249" s="4">
        <v>7.3</v>
      </c>
      <c r="AA249" s="4">
        <v>12.2</v>
      </c>
      <c r="AB249" s="2">
        <v>2</v>
      </c>
      <c r="AC249" s="2">
        <v>16.899999999999999</v>
      </c>
      <c r="AD249" s="2">
        <v>2.0999999999999943</v>
      </c>
      <c r="AE249" s="2">
        <v>0</v>
      </c>
    </row>
    <row r="250" spans="1:31" x14ac:dyDescent="0.25">
      <c r="A250" s="2" t="s">
        <v>392</v>
      </c>
      <c r="B250" s="2">
        <v>2014</v>
      </c>
      <c r="C250" s="2" t="s">
        <v>393</v>
      </c>
      <c r="D250" s="2" t="s">
        <v>295</v>
      </c>
      <c r="E250" s="2">
        <v>5.4478999999999997</v>
      </c>
      <c r="F250" s="2">
        <v>8.9197000000000006</v>
      </c>
      <c r="G250" s="2">
        <v>10.776999999999999</v>
      </c>
      <c r="H250" s="2">
        <v>3.8475999999999999</v>
      </c>
      <c r="I250" s="2">
        <v>0.39860000000000001</v>
      </c>
      <c r="J250">
        <f>0.237217630557036*(100)</f>
        <v>23.721763055703601</v>
      </c>
      <c r="K250">
        <f>-0.275336500146062*(100)</f>
        <v>-27.533650014606199</v>
      </c>
      <c r="L250" s="2">
        <v>0.5524</v>
      </c>
      <c r="M250" s="2">
        <v>0.53920000000000001</v>
      </c>
      <c r="N250" s="2">
        <v>428.99090000000001</v>
      </c>
      <c r="O250" s="2">
        <v>0.4864</v>
      </c>
      <c r="P250" s="2">
        <v>171.30950000000001</v>
      </c>
      <c r="Q250" s="2">
        <v>-23.177199999999999</v>
      </c>
      <c r="R250" s="2">
        <v>-31.7912540761644</v>
      </c>
      <c r="S250" s="2">
        <v>-27.015995179041798</v>
      </c>
      <c r="T250" s="2">
        <v>13.0309404124051</v>
      </c>
      <c r="U250" s="2">
        <v>38.711599999999997</v>
      </c>
      <c r="V250" s="2">
        <v>15.618541556163901</v>
      </c>
      <c r="W250" s="2">
        <v>510.52329200405097</v>
      </c>
      <c r="X250" s="2">
        <v>25.271160870132199</v>
      </c>
      <c r="Y250" s="2">
        <v>-18.4918567849063</v>
      </c>
      <c r="Z250" s="4">
        <v>7.3</v>
      </c>
      <c r="AA250" s="4">
        <v>12.2</v>
      </c>
      <c r="AB250" s="2">
        <v>2</v>
      </c>
      <c r="AC250" s="2">
        <v>16.899999999999999</v>
      </c>
      <c r="AD250" s="2">
        <v>2.0999999999999943</v>
      </c>
      <c r="AE250" s="2">
        <v>0</v>
      </c>
    </row>
    <row r="251" spans="1:31" x14ac:dyDescent="0.25">
      <c r="A251" s="2" t="s">
        <v>392</v>
      </c>
      <c r="B251" s="2">
        <v>2015</v>
      </c>
      <c r="C251" s="2" t="s">
        <v>393</v>
      </c>
      <c r="D251" s="2" t="s">
        <v>295</v>
      </c>
      <c r="E251" s="2">
        <v>2.5095000000000001</v>
      </c>
      <c r="F251" s="2">
        <v>2.8283</v>
      </c>
      <c r="G251" s="2">
        <v>10.3674</v>
      </c>
      <c r="H251" s="2">
        <v>3.0383</v>
      </c>
      <c r="I251" s="2">
        <v>0.94879999999999998</v>
      </c>
      <c r="J251">
        <f>0.118370703310918*(100)</f>
        <v>11.8370703310918</v>
      </c>
      <c r="K251">
        <f>0.153175704930127*(100)</f>
        <v>15.317570493012699</v>
      </c>
      <c r="L251" s="2">
        <v>0.1636</v>
      </c>
      <c r="M251" s="2">
        <v>0.17899999999999999</v>
      </c>
      <c r="N251" s="2">
        <v>175.91399999999999</v>
      </c>
      <c r="O251" s="2">
        <v>0.16139999999999999</v>
      </c>
      <c r="P251" s="2">
        <v>29.6265</v>
      </c>
      <c r="Q251" s="2">
        <v>-67.127600000000001</v>
      </c>
      <c r="R251" s="2">
        <v>-66.608356373865604</v>
      </c>
      <c r="S251" s="2">
        <v>32.177151552634797</v>
      </c>
      <c r="T251" s="2">
        <v>-1.5202117829775399</v>
      </c>
      <c r="U251" s="2">
        <v>54.336500000000001</v>
      </c>
      <c r="V251" s="2">
        <v>24.346867648534001</v>
      </c>
      <c r="W251" s="2">
        <v>649.60521521599196</v>
      </c>
      <c r="X251" s="2">
        <v>191.47047607659701</v>
      </c>
      <c r="Y251" s="2">
        <v>58.730405070365002</v>
      </c>
      <c r="Z251" s="4">
        <v>6.9099999999999993</v>
      </c>
      <c r="AA251" s="4">
        <v>13.3</v>
      </c>
      <c r="AB251" s="2">
        <v>1.4</v>
      </c>
      <c r="AC251" s="2">
        <v>17.600000000000001</v>
      </c>
      <c r="AD251" s="2">
        <v>3.7999999999999972</v>
      </c>
      <c r="AE251" s="2">
        <v>0</v>
      </c>
    </row>
    <row r="252" spans="1:31" x14ac:dyDescent="0.25">
      <c r="A252" s="2" t="s">
        <v>392</v>
      </c>
      <c r="B252" s="2">
        <v>2016</v>
      </c>
      <c r="C252" s="2" t="s">
        <v>393</v>
      </c>
      <c r="D252" s="2" t="s">
        <v>295</v>
      </c>
      <c r="E252" s="2">
        <v>3.1472000000000002</v>
      </c>
      <c r="F252" s="2">
        <v>4.0804999999999998</v>
      </c>
      <c r="G252" s="2">
        <v>11.4056</v>
      </c>
      <c r="H252" s="2">
        <v>1.7775000000000001</v>
      </c>
      <c r="I252" s="2">
        <v>0.48899999999999999</v>
      </c>
      <c r="J252">
        <f>0.139854461485514*(100)</f>
        <v>13.9854461485514</v>
      </c>
      <c r="K252">
        <f>0.0244331471056298*(100)</f>
        <v>2.44331471056298</v>
      </c>
      <c r="L252" s="2">
        <v>0.21299999999999999</v>
      </c>
      <c r="M252" s="2">
        <v>0.1996</v>
      </c>
      <c r="N252" s="2">
        <v>324.94349999999997</v>
      </c>
      <c r="O252" s="2">
        <v>0.18149999999999999</v>
      </c>
      <c r="P252" s="2">
        <v>33.0441</v>
      </c>
      <c r="Q252" s="2">
        <v>55.233499999999999</v>
      </c>
      <c r="R252" s="2">
        <v>44.225199191807398</v>
      </c>
      <c r="S252" s="2">
        <v>39.976960280723098</v>
      </c>
      <c r="T252" s="2">
        <v>1.4743123681295001</v>
      </c>
      <c r="U252" s="2">
        <v>66.896900000000002</v>
      </c>
      <c r="V252" s="2">
        <v>15.8349409791641</v>
      </c>
      <c r="W252" s="2">
        <v>727.19919341422997</v>
      </c>
      <c r="X252" s="2">
        <v>204.788071244836</v>
      </c>
      <c r="Y252" s="2">
        <v>10.5078733121535</v>
      </c>
      <c r="Z252" s="4">
        <v>6.7</v>
      </c>
      <c r="AA252" s="4">
        <v>11.3</v>
      </c>
      <c r="AB252" s="2">
        <v>2</v>
      </c>
      <c r="AC252" s="2">
        <v>15.9</v>
      </c>
      <c r="AD252" s="2">
        <v>8.7999999999999972</v>
      </c>
      <c r="AE252" s="2">
        <v>0</v>
      </c>
    </row>
    <row r="253" spans="1:31" x14ac:dyDescent="0.25">
      <c r="A253" s="2" t="s">
        <v>380</v>
      </c>
      <c r="B253" s="2">
        <v>2014</v>
      </c>
      <c r="C253" s="2" t="s">
        <v>381</v>
      </c>
      <c r="D253" s="2" t="s">
        <v>295</v>
      </c>
      <c r="E253" s="2">
        <v>5.5903</v>
      </c>
      <c r="F253" s="2">
        <v>29.9679</v>
      </c>
      <c r="G253" s="2">
        <v>14.6157</v>
      </c>
      <c r="H253" s="2">
        <v>1.3825000000000001</v>
      </c>
      <c r="I253" s="2">
        <v>0.28249999999999997</v>
      </c>
      <c r="J253">
        <f>0.189931934765562*(100)</f>
        <v>18.9931934765562</v>
      </c>
      <c r="K253">
        <f>0.0447145983699412*(100)</f>
        <v>4.4714598369941196</v>
      </c>
      <c r="L253" s="2">
        <v>0.28210000000000002</v>
      </c>
      <c r="M253" s="2">
        <v>0.3286</v>
      </c>
      <c r="N253" s="2">
        <v>3.5922000000000001</v>
      </c>
      <c r="O253" s="2">
        <v>0.2853</v>
      </c>
      <c r="P253" s="2">
        <v>12.6899</v>
      </c>
      <c r="Q253" s="2">
        <v>54.258200000000002</v>
      </c>
      <c r="R253" s="2">
        <v>48.125463462385198</v>
      </c>
      <c r="S253" s="2">
        <v>19.051786052084999</v>
      </c>
      <c r="T253" s="2">
        <v>114.61075457049</v>
      </c>
      <c r="U253" s="2">
        <v>82.405100000000004</v>
      </c>
      <c r="V253" s="2">
        <v>19.267293898731701</v>
      </c>
      <c r="W253" s="2">
        <v>2.1959860921594201</v>
      </c>
      <c r="X253" s="2">
        <v>98.933636349058901</v>
      </c>
      <c r="Y253" s="2">
        <v>14.037316564983801</v>
      </c>
      <c r="Z253" s="4">
        <v>7.3</v>
      </c>
      <c r="AA253" s="4">
        <v>12.2</v>
      </c>
      <c r="AB253" s="2">
        <v>2</v>
      </c>
      <c r="AC253" s="2">
        <v>16.899999999999999</v>
      </c>
      <c r="AD253" s="2">
        <v>2.0999999999999943</v>
      </c>
      <c r="AE253" s="2">
        <v>0</v>
      </c>
    </row>
    <row r="254" spans="1:31" x14ac:dyDescent="0.25">
      <c r="A254" s="2" t="s">
        <v>380</v>
      </c>
      <c r="B254" s="2">
        <v>2015</v>
      </c>
      <c r="C254" s="2" t="s">
        <v>381</v>
      </c>
      <c r="D254" s="2" t="s">
        <v>295</v>
      </c>
      <c r="E254" s="2">
        <v>6.2298</v>
      </c>
      <c r="F254" s="2">
        <v>26.177800000000001</v>
      </c>
      <c r="G254" s="2">
        <v>17.465699999999998</v>
      </c>
      <c r="H254" s="2">
        <v>1.5071000000000001</v>
      </c>
      <c r="I254" s="2">
        <v>0.37230000000000002</v>
      </c>
      <c r="J254">
        <f>0.287223117658303*(100)</f>
        <v>28.722311765830298</v>
      </c>
      <c r="K254">
        <f>-0.00229368714438456*(100)</f>
        <v>-0.229368714438456</v>
      </c>
      <c r="L254" s="2">
        <v>0.31459999999999999</v>
      </c>
      <c r="M254" s="2">
        <v>0.3765</v>
      </c>
      <c r="N254" s="2">
        <v>4.4912000000000001</v>
      </c>
      <c r="O254" s="2">
        <v>0.3115</v>
      </c>
      <c r="P254" s="2">
        <v>14.817</v>
      </c>
      <c r="Q254" s="2">
        <v>33.460900000000002</v>
      </c>
      <c r="R254" s="2">
        <v>63.160739526226003</v>
      </c>
      <c r="S254" s="2">
        <v>27.6649339982431</v>
      </c>
      <c r="T254" s="2">
        <v>73.250683575371596</v>
      </c>
      <c r="U254" s="2">
        <v>76.609800000000007</v>
      </c>
      <c r="V254" s="2">
        <v>24.099906796846199</v>
      </c>
      <c r="W254" s="2">
        <v>3.8398500710874699</v>
      </c>
      <c r="X254" s="2">
        <v>68.741482708694804</v>
      </c>
      <c r="Y254" s="2">
        <v>-0.63270487309217704</v>
      </c>
      <c r="Z254" s="4">
        <v>6.9099999999999993</v>
      </c>
      <c r="AA254" s="4">
        <v>13.3</v>
      </c>
      <c r="AB254" s="2">
        <v>1.4</v>
      </c>
      <c r="AC254" s="2">
        <v>17.600000000000001</v>
      </c>
      <c r="AD254" s="2">
        <v>3.7999999999999972</v>
      </c>
      <c r="AE254" s="2">
        <v>0</v>
      </c>
    </row>
    <row r="255" spans="1:31" x14ac:dyDescent="0.25">
      <c r="A255" s="2" t="s">
        <v>382</v>
      </c>
      <c r="B255" s="2">
        <v>2018</v>
      </c>
      <c r="C255" s="2" t="s">
        <v>383</v>
      </c>
      <c r="D255" s="2" t="s">
        <v>295</v>
      </c>
      <c r="E255" s="2">
        <v>4.0058999999999996</v>
      </c>
      <c r="F255" s="2">
        <v>36.976300000000002</v>
      </c>
      <c r="G255" s="2">
        <v>17.186699999999998</v>
      </c>
      <c r="H255" s="2">
        <v>1.4316</v>
      </c>
      <c r="I255" s="2">
        <v>0.49109999999999998</v>
      </c>
      <c r="J255">
        <f>0.237081610859942*(100)</f>
        <v>23.708161085994199</v>
      </c>
      <c r="K255">
        <f>0.161016587287687*(100)</f>
        <v>16.101658728768701</v>
      </c>
      <c r="L255" s="2">
        <v>0.25659999999999999</v>
      </c>
      <c r="M255" s="2">
        <v>0.26479999999999998</v>
      </c>
      <c r="N255" s="2">
        <v>156.52080000000001</v>
      </c>
      <c r="O255" s="2">
        <v>0.24529999999999999</v>
      </c>
      <c r="P255" s="2">
        <v>195.31880000000001</v>
      </c>
      <c r="Q255" s="2">
        <v>36.707000000000001</v>
      </c>
      <c r="R255" s="2">
        <v>52.433099046261503</v>
      </c>
      <c r="S255" s="2">
        <v>17.008369813251299</v>
      </c>
      <c r="T255" s="2">
        <v>-20.5210421174231</v>
      </c>
      <c r="U255" s="2">
        <v>89.484300000000005</v>
      </c>
      <c r="V255" s="2">
        <v>24.507967035166899</v>
      </c>
      <c r="W255" s="2">
        <v>73.544520307384801</v>
      </c>
      <c r="X255" s="2">
        <v>175.98608764417099</v>
      </c>
      <c r="Y255" s="2">
        <v>64.782848728841302</v>
      </c>
      <c r="Z255" s="4">
        <v>6.6000000000000005</v>
      </c>
      <c r="AA255" s="4">
        <v>8.1</v>
      </c>
      <c r="AB255" s="2">
        <v>2.1</v>
      </c>
      <c r="AC255" s="2">
        <v>12.5</v>
      </c>
      <c r="AD255" s="2">
        <v>3.5</v>
      </c>
      <c r="AE255" s="2">
        <v>0</v>
      </c>
    </row>
    <row r="256" spans="1:31" x14ac:dyDescent="0.25">
      <c r="A256" s="2" t="s">
        <v>382</v>
      </c>
      <c r="B256" s="2">
        <v>2019</v>
      </c>
      <c r="C256" s="2" t="s">
        <v>383</v>
      </c>
      <c r="D256" s="2" t="s">
        <v>295</v>
      </c>
      <c r="E256" s="2">
        <v>4.1269999999999998</v>
      </c>
      <c r="F256" s="2">
        <v>21.615300000000001</v>
      </c>
      <c r="G256" s="2">
        <v>12.735300000000001</v>
      </c>
      <c r="H256" s="2">
        <v>1.5757000000000001</v>
      </c>
      <c r="I256" s="2">
        <v>0.53259999999999996</v>
      </c>
      <c r="J256">
        <f>0.278884984015217*(100)</f>
        <v>27.888498401521701</v>
      </c>
      <c r="K256">
        <f>-0.111849938947203*(100)</f>
        <v>-11.1849938947203</v>
      </c>
      <c r="L256" s="2">
        <v>0.3881</v>
      </c>
      <c r="M256" s="2">
        <v>0.34300000000000003</v>
      </c>
      <c r="N256" s="2">
        <v>233.49420000000001</v>
      </c>
      <c r="O256" s="2">
        <v>0.3206</v>
      </c>
      <c r="P256" s="2">
        <v>252.8569</v>
      </c>
      <c r="Q256" s="2">
        <v>65.591099999999997</v>
      </c>
      <c r="R256" s="2">
        <v>-2.6173222967096299</v>
      </c>
      <c r="S256" s="2">
        <v>18.0527911471865</v>
      </c>
      <c r="T256" s="2">
        <v>19.677287316974699</v>
      </c>
      <c r="U256" s="2">
        <v>86.816699999999997</v>
      </c>
      <c r="V256" s="2">
        <v>27.249514476994602</v>
      </c>
      <c r="W256" s="2">
        <v>99.481450720268199</v>
      </c>
      <c r="X256" s="2">
        <v>74.537528683226597</v>
      </c>
      <c r="Y256" s="2">
        <v>-32.792675127518798</v>
      </c>
      <c r="Z256" s="4">
        <v>6</v>
      </c>
      <c r="AA256" s="4">
        <v>8.6999999999999993</v>
      </c>
      <c r="AB256" s="2">
        <v>2.9</v>
      </c>
      <c r="AC256" s="2">
        <v>15.6</v>
      </c>
      <c r="AD256" s="2">
        <v>2.5999999999999943</v>
      </c>
      <c r="AE256" s="2">
        <v>0</v>
      </c>
    </row>
    <row r="257" spans="1:31" x14ac:dyDescent="0.25">
      <c r="A257" s="2" t="s">
        <v>384</v>
      </c>
      <c r="B257" s="2">
        <v>2016</v>
      </c>
      <c r="C257" s="2" t="s">
        <v>385</v>
      </c>
      <c r="D257" s="2" t="s">
        <v>295</v>
      </c>
      <c r="E257" s="2">
        <v>0.82320000000000004</v>
      </c>
      <c r="F257" s="2">
        <v>3.0059</v>
      </c>
      <c r="G257" s="2">
        <v>1.7894000000000001</v>
      </c>
      <c r="H257" s="2">
        <v>1.5768</v>
      </c>
      <c r="I257" s="2">
        <v>0.50849999999999995</v>
      </c>
      <c r="J257">
        <f>0.136338561121771*(100)</f>
        <v>13.633856112177101</v>
      </c>
      <c r="K257">
        <f>-0.0445548708952601*(100)</f>
        <v>-4.4554870895260095</v>
      </c>
      <c r="L257" s="2">
        <v>0.41299999999999998</v>
      </c>
      <c r="M257" s="2">
        <v>0.34910000000000002</v>
      </c>
      <c r="N257" s="2">
        <v>17.247199999999999</v>
      </c>
      <c r="O257" s="2">
        <v>0.32279999999999998</v>
      </c>
      <c r="P257" s="2">
        <v>5.4858000000000002</v>
      </c>
      <c r="Q257" s="2">
        <v>69.584199999999996</v>
      </c>
      <c r="R257" s="2">
        <v>-18.671014691868201</v>
      </c>
      <c r="S257" s="2">
        <v>21.729275300459399</v>
      </c>
      <c r="T257" s="2">
        <v>49.234156611292498</v>
      </c>
      <c r="U257" s="2">
        <v>86.225099999999998</v>
      </c>
      <c r="V257" s="2">
        <v>26.985865624725804</v>
      </c>
      <c r="W257" s="2">
        <v>8.6328677619307808</v>
      </c>
      <c r="X257" s="2">
        <v>109.546777772583</v>
      </c>
      <c r="Y257" s="2">
        <v>-13.066502305974101</v>
      </c>
      <c r="Z257" s="4">
        <v>6.7</v>
      </c>
      <c r="AA257" s="4">
        <v>11.3</v>
      </c>
      <c r="AB257" s="2">
        <v>2</v>
      </c>
      <c r="AC257" s="2">
        <v>15.9</v>
      </c>
      <c r="AD257" s="2">
        <v>8.7999999999999972</v>
      </c>
      <c r="AE257" s="2">
        <v>0</v>
      </c>
    </row>
    <row r="258" spans="1:31" x14ac:dyDescent="0.25">
      <c r="A258" s="2" t="s">
        <v>384</v>
      </c>
      <c r="B258" s="2">
        <v>2017</v>
      </c>
      <c r="C258" s="2" t="s">
        <v>385</v>
      </c>
      <c r="D258" s="2" t="s">
        <v>295</v>
      </c>
      <c r="E258" s="2">
        <v>0.77159999999999995</v>
      </c>
      <c r="F258" s="2">
        <v>4.3764000000000003</v>
      </c>
      <c r="G258" s="2">
        <v>3.4365999999999999</v>
      </c>
      <c r="H258" s="2">
        <v>1.3997999999999999</v>
      </c>
      <c r="I258" s="2">
        <v>0.45779999999999998</v>
      </c>
      <c r="J258">
        <f>0.128755823179405*(100)</f>
        <v>12.8755823179405</v>
      </c>
      <c r="K258">
        <f>-0.0185468826658233*(100)</f>
        <v>-1.8546882665823299</v>
      </c>
      <c r="L258" s="2">
        <v>0.27629999999999999</v>
      </c>
      <c r="M258" s="2">
        <v>0.22270000000000001</v>
      </c>
      <c r="N258" s="2">
        <v>12.055999999999999</v>
      </c>
      <c r="O258" s="2">
        <v>0.2092</v>
      </c>
      <c r="P258" s="2">
        <v>4.4150999999999998</v>
      </c>
      <c r="Q258" s="2">
        <v>-10.187099999999999</v>
      </c>
      <c r="R258" s="2">
        <v>49.748352776842999</v>
      </c>
      <c r="S258" s="2">
        <v>49.403176195244498</v>
      </c>
      <c r="T258" s="2">
        <v>4.1780550641940302</v>
      </c>
      <c r="U258" s="2">
        <v>90.515500000000003</v>
      </c>
      <c r="V258" s="2">
        <v>23.197505526032998</v>
      </c>
      <c r="W258" s="2">
        <v>5.1880111588018796</v>
      </c>
      <c r="X258" s="2">
        <v>169.141348986428</v>
      </c>
      <c r="Y258" s="2">
        <v>-9.6160742730095095</v>
      </c>
      <c r="Z258" s="4">
        <v>6.9</v>
      </c>
      <c r="AA258" s="4">
        <v>8.2000000000000011</v>
      </c>
      <c r="AB258" s="2">
        <v>1.6</v>
      </c>
      <c r="AC258" s="2">
        <v>16.3</v>
      </c>
      <c r="AD258" s="2">
        <v>7</v>
      </c>
      <c r="AE258" s="2">
        <v>0</v>
      </c>
    </row>
    <row r="259" spans="1:31" x14ac:dyDescent="0.25">
      <c r="A259" s="2" t="s">
        <v>384</v>
      </c>
      <c r="B259" s="2">
        <v>2018</v>
      </c>
      <c r="C259" s="2" t="s">
        <v>385</v>
      </c>
      <c r="D259" s="2" t="s">
        <v>295</v>
      </c>
      <c r="E259" s="2">
        <v>1.657</v>
      </c>
      <c r="F259" s="2">
        <v>13.946199999999999</v>
      </c>
      <c r="G259" s="2">
        <v>7.8693999999999997</v>
      </c>
      <c r="H259" s="2">
        <v>1.21</v>
      </c>
      <c r="I259" s="2">
        <v>0.43909999999999999</v>
      </c>
      <c r="J259">
        <f>0.123082245809603*(100)</f>
        <v>12.308224580960299</v>
      </c>
      <c r="K259">
        <f>0.0899191067113783*(100)</f>
        <v>8.9919106711378305</v>
      </c>
      <c r="L259" s="2">
        <v>0.26229999999999998</v>
      </c>
      <c r="M259" s="2">
        <v>0.21290000000000001</v>
      </c>
      <c r="N259" s="2">
        <v>12.7979</v>
      </c>
      <c r="O259" s="2">
        <v>0.1953</v>
      </c>
      <c r="P259" s="2">
        <v>5.0465</v>
      </c>
      <c r="Q259" s="2">
        <v>33.268099999999997</v>
      </c>
      <c r="R259" s="2">
        <v>271.60435801421198</v>
      </c>
      <c r="S259" s="2">
        <v>33.238521145647397</v>
      </c>
      <c r="T259" s="2">
        <v>12.462127056325</v>
      </c>
      <c r="U259" s="2">
        <v>91.686899999999994</v>
      </c>
      <c r="V259" s="2">
        <v>17.388527377374199</v>
      </c>
      <c r="W259" s="2">
        <v>6.3845244121013902</v>
      </c>
      <c r="X259" s="2">
        <v>224.93758274486103</v>
      </c>
      <c r="Y259" s="2">
        <v>48.445566768209503</v>
      </c>
      <c r="Z259" s="4">
        <v>6.6000000000000005</v>
      </c>
      <c r="AA259" s="4">
        <v>8.1</v>
      </c>
      <c r="AB259" s="2">
        <v>2.1</v>
      </c>
      <c r="AC259" s="2">
        <v>12.5</v>
      </c>
      <c r="AD259" s="2">
        <v>3.5</v>
      </c>
      <c r="AE259" s="2">
        <v>0</v>
      </c>
    </row>
    <row r="260" spans="1:31" x14ac:dyDescent="0.25">
      <c r="A260" s="2" t="s">
        <v>384</v>
      </c>
      <c r="B260" s="2">
        <v>2019</v>
      </c>
      <c r="C260" s="2" t="s">
        <v>385</v>
      </c>
      <c r="D260" s="2" t="s">
        <v>295</v>
      </c>
      <c r="E260" s="2">
        <v>2.5442999999999998</v>
      </c>
      <c r="F260" s="2">
        <v>21.438400000000001</v>
      </c>
      <c r="G260" s="2">
        <v>8.7835000000000001</v>
      </c>
      <c r="H260" s="2">
        <v>1.1664000000000001</v>
      </c>
      <c r="I260" s="2">
        <v>0.40129999999999999</v>
      </c>
      <c r="J260">
        <f>0.130851128495531*(100)</f>
        <v>13.085112849553099</v>
      </c>
      <c r="K260">
        <f>0.0310763738602648*(100)</f>
        <v>3.1076373860264801</v>
      </c>
      <c r="L260" s="2">
        <v>0.39789999999999998</v>
      </c>
      <c r="M260" s="2">
        <v>0.30940000000000001</v>
      </c>
      <c r="N260" s="2">
        <v>22.674700000000001</v>
      </c>
      <c r="O260" s="2">
        <v>0.27300000000000002</v>
      </c>
      <c r="P260" s="2">
        <v>7.0780000000000003</v>
      </c>
      <c r="Q260" s="2">
        <v>80.959199999999996</v>
      </c>
      <c r="R260" s="2">
        <v>99.890381056588396</v>
      </c>
      <c r="S260" s="2">
        <v>23.282934882842799</v>
      </c>
      <c r="T260" s="2">
        <v>23.225943874949898</v>
      </c>
      <c r="U260" s="2">
        <v>90.769000000000005</v>
      </c>
      <c r="V260" s="2">
        <v>16.2890931521017</v>
      </c>
      <c r="W260" s="2">
        <v>8.2104595831483103</v>
      </c>
      <c r="X260" s="2">
        <v>109.497971249429</v>
      </c>
      <c r="Y260" s="2">
        <v>11.410610009739299</v>
      </c>
      <c r="Z260" s="4">
        <v>6</v>
      </c>
      <c r="AA260" s="4">
        <v>8.6999999999999993</v>
      </c>
      <c r="AB260" s="2">
        <v>2.9</v>
      </c>
      <c r="AC260" s="2">
        <v>15.6</v>
      </c>
      <c r="AD260" s="2">
        <v>2.5999999999999943</v>
      </c>
      <c r="AE260" s="2">
        <v>0</v>
      </c>
    </row>
    <row r="261" spans="1:31" x14ac:dyDescent="0.25">
      <c r="A261" s="2" t="s">
        <v>384</v>
      </c>
      <c r="B261" s="2">
        <v>2020</v>
      </c>
      <c r="C261" s="2" t="s">
        <v>385</v>
      </c>
      <c r="D261" s="2" t="s">
        <v>295</v>
      </c>
      <c r="E261" s="2">
        <v>3.3849</v>
      </c>
      <c r="F261" s="2">
        <v>28.2319</v>
      </c>
      <c r="G261" s="2">
        <v>13.5707</v>
      </c>
      <c r="H261" s="2">
        <v>1.1840999999999999</v>
      </c>
      <c r="I261" s="2">
        <v>0.45600000000000002</v>
      </c>
      <c r="J261">
        <f>0.14030837825898*(100)</f>
        <v>14.030837825897999</v>
      </c>
      <c r="K261">
        <f>0.0272361318301922*(100)</f>
        <v>2.7236131830192201</v>
      </c>
      <c r="L261" s="2">
        <v>0.35260000000000002</v>
      </c>
      <c r="M261" s="2">
        <v>0.28470000000000001</v>
      </c>
      <c r="N261" s="2">
        <v>24.172699999999999</v>
      </c>
      <c r="O261" s="2">
        <v>0.2419</v>
      </c>
      <c r="P261" s="2">
        <v>8.3429000000000002</v>
      </c>
      <c r="Q261" s="2">
        <v>9.5673999999999992</v>
      </c>
      <c r="R261" s="2">
        <v>68.825383043531104</v>
      </c>
      <c r="S261" s="2">
        <v>23.637239206028099</v>
      </c>
      <c r="T261" s="2">
        <v>33.871741207521602</v>
      </c>
      <c r="U261" s="2">
        <v>86.537899999999993</v>
      </c>
      <c r="V261" s="2">
        <v>16.058200504497101</v>
      </c>
      <c r="W261" s="2">
        <v>14.9435923632039</v>
      </c>
      <c r="X261" s="2">
        <v>113.20529273169998</v>
      </c>
      <c r="Y261" s="2">
        <v>10.772719401438801</v>
      </c>
      <c r="Z261" s="4">
        <v>2.2999999999999998</v>
      </c>
      <c r="AA261" s="4">
        <v>10.100000000000001</v>
      </c>
      <c r="AB261" s="2">
        <v>2.5</v>
      </c>
      <c r="AC261" s="2">
        <v>16.100000000000001</v>
      </c>
      <c r="AD261" s="2">
        <v>1.2999999999999972</v>
      </c>
      <c r="AE261" s="2">
        <v>0</v>
      </c>
    </row>
    <row r="262" spans="1:31" x14ac:dyDescent="0.25">
      <c r="A262" s="2" t="s">
        <v>384</v>
      </c>
      <c r="B262" s="2">
        <v>2021</v>
      </c>
      <c r="C262" s="2" t="s">
        <v>385</v>
      </c>
      <c r="D262" s="2" t="s">
        <v>295</v>
      </c>
      <c r="E262" s="2">
        <v>-0.50190000000000001</v>
      </c>
      <c r="F262" s="2">
        <v>-12.9787</v>
      </c>
      <c r="G262" s="2">
        <v>-3.2875000000000001</v>
      </c>
      <c r="H262" s="2">
        <v>1.0592999999999999</v>
      </c>
      <c r="I262" s="2">
        <v>0.38940000000000002</v>
      </c>
      <c r="J262">
        <f>0.0854245080766297*(100)</f>
        <v>8.5424508076629699</v>
      </c>
      <c r="K262">
        <f>0.0515771808104217*(100)</f>
        <v>5.1577180810421703</v>
      </c>
      <c r="L262" s="2">
        <v>0.34520000000000001</v>
      </c>
      <c r="M262" s="2">
        <v>0.26379999999999998</v>
      </c>
      <c r="N262" s="2">
        <v>22.378900000000002</v>
      </c>
      <c r="O262" s="2">
        <v>0.21779999999999999</v>
      </c>
      <c r="P262" s="2">
        <v>11.3873</v>
      </c>
      <c r="Q262" s="2">
        <v>0.35210000000000002</v>
      </c>
      <c r="R262" s="2">
        <v>-142.35803719482001</v>
      </c>
      <c r="S262" s="2">
        <v>2.42811001940587</v>
      </c>
      <c r="T262" s="2">
        <v>-18.419464429884702</v>
      </c>
      <c r="U262" s="2">
        <v>88.370400000000004</v>
      </c>
      <c r="V262" s="2">
        <v>11.2389840476612</v>
      </c>
      <c r="W262" s="2">
        <v>11.1366988565916</v>
      </c>
      <c r="X262" s="2">
        <v>125.55579766274701</v>
      </c>
      <c r="Y262" s="2">
        <v>21.1739342802524</v>
      </c>
      <c r="Z262" s="4">
        <v>8.4</v>
      </c>
      <c r="AA262" s="4">
        <v>9</v>
      </c>
      <c r="AB262" s="2">
        <v>0.9</v>
      </c>
      <c r="AC262" s="2">
        <v>20.9</v>
      </c>
      <c r="AD262" s="2">
        <v>3.5</v>
      </c>
      <c r="AE262" s="2">
        <v>0</v>
      </c>
    </row>
    <row r="263" spans="1:31" x14ac:dyDescent="0.25">
      <c r="A263" s="2" t="s">
        <v>386</v>
      </c>
      <c r="B263" s="2">
        <v>2014</v>
      </c>
      <c r="C263" s="2" t="s">
        <v>387</v>
      </c>
      <c r="D263" s="2" t="s">
        <v>295</v>
      </c>
      <c r="E263" s="2">
        <v>6.5876999999999999</v>
      </c>
      <c r="F263" s="2">
        <v>20.757999999999999</v>
      </c>
      <c r="G263" s="2">
        <v>21.215399999999999</v>
      </c>
      <c r="H263" s="2">
        <v>1.6418999999999999</v>
      </c>
      <c r="I263" s="2">
        <v>0.49540000000000001</v>
      </c>
      <c r="J263">
        <f>0.297642077329786*(100)</f>
        <v>29.764207732978598</v>
      </c>
      <c r="K263">
        <f>-0.0402179628035452*(100)</f>
        <v>-4.0217962803545202</v>
      </c>
      <c r="L263" s="2">
        <v>0.30180000000000001</v>
      </c>
      <c r="M263" s="2">
        <v>0.33139999999999997</v>
      </c>
      <c r="N263" s="2">
        <v>17.9879</v>
      </c>
      <c r="O263" s="2">
        <v>0.28360000000000002</v>
      </c>
      <c r="P263" s="2">
        <v>451.28109999999998</v>
      </c>
      <c r="Q263" s="2">
        <v>31.695499999999999</v>
      </c>
      <c r="R263" s="2">
        <v>6.3661945184462203</v>
      </c>
      <c r="S263" s="2">
        <v>10.347668886116701</v>
      </c>
      <c r="T263" s="2">
        <v>19.544222490528</v>
      </c>
      <c r="U263" s="2">
        <v>73.018799999999999</v>
      </c>
      <c r="V263" s="2">
        <v>20.829949943817301</v>
      </c>
      <c r="W263" s="2">
        <v>19.1788564823357</v>
      </c>
      <c r="X263" s="2">
        <v>95.461490456620297</v>
      </c>
      <c r="Y263" s="2">
        <v>-10.863453734805899</v>
      </c>
      <c r="Z263" s="4">
        <v>7.3</v>
      </c>
      <c r="AA263" s="4">
        <v>12.2</v>
      </c>
      <c r="AB263" s="2">
        <v>2</v>
      </c>
      <c r="AC263" s="2">
        <v>16.899999999999999</v>
      </c>
      <c r="AD263" s="2">
        <v>2.0999999999999943</v>
      </c>
      <c r="AE263" s="2">
        <v>0</v>
      </c>
    </row>
    <row r="264" spans="1:31" x14ac:dyDescent="0.25">
      <c r="A264" s="2" t="s">
        <v>386</v>
      </c>
      <c r="B264" s="2">
        <v>2015</v>
      </c>
      <c r="C264" s="2" t="s">
        <v>387</v>
      </c>
      <c r="D264" s="2" t="s">
        <v>295</v>
      </c>
      <c r="E264" s="2">
        <v>5.9550999999999998</v>
      </c>
      <c r="F264" s="2">
        <v>15.291</v>
      </c>
      <c r="G264" s="2">
        <v>20.371300000000002</v>
      </c>
      <c r="H264" s="2">
        <v>1.8132999999999999</v>
      </c>
      <c r="I264" s="2">
        <v>0.63360000000000005</v>
      </c>
      <c r="J264">
        <f>0.395352839610331*(100)</f>
        <v>39.535283961033102</v>
      </c>
      <c r="K264">
        <f>0.0140132394559707*(100)</f>
        <v>1.4013239455970701</v>
      </c>
      <c r="L264" s="2">
        <v>0.27629999999999999</v>
      </c>
      <c r="M264" s="2">
        <v>0.29759999999999998</v>
      </c>
      <c r="N264" s="2">
        <v>20.044499999999999</v>
      </c>
      <c r="O264" s="2">
        <v>0.2596</v>
      </c>
      <c r="P264" s="2">
        <v>521.37890000000004</v>
      </c>
      <c r="Q264" s="2">
        <v>10.6645</v>
      </c>
      <c r="R264" s="2">
        <v>22.181159768561699</v>
      </c>
      <c r="S264" s="2">
        <v>25.338550759629001</v>
      </c>
      <c r="T264" s="2">
        <v>177.34973152996301</v>
      </c>
      <c r="U264" s="2">
        <v>70.524600000000007</v>
      </c>
      <c r="V264" s="2">
        <v>21.7364785331268</v>
      </c>
      <c r="W264" s="2">
        <v>24.433742475892799</v>
      </c>
      <c r="X264" s="2">
        <v>124.44402803098301</v>
      </c>
      <c r="Y264" s="2">
        <v>4.2343965218944906</v>
      </c>
      <c r="Z264" s="4">
        <v>6.9099999999999993</v>
      </c>
      <c r="AA264" s="4">
        <v>13.3</v>
      </c>
      <c r="AB264" s="2">
        <v>1.4</v>
      </c>
      <c r="AC264" s="2">
        <v>17.600000000000001</v>
      </c>
      <c r="AD264" s="2">
        <v>3.7999999999999972</v>
      </c>
      <c r="AE264" s="2">
        <v>0</v>
      </c>
    </row>
    <row r="265" spans="1:31" x14ac:dyDescent="0.25">
      <c r="A265" s="2" t="s">
        <v>386</v>
      </c>
      <c r="B265" s="2">
        <v>2016</v>
      </c>
      <c r="C265" s="2" t="s">
        <v>387</v>
      </c>
      <c r="D265" s="2" t="s">
        <v>295</v>
      </c>
      <c r="E265" s="2">
        <v>7.5362</v>
      </c>
      <c r="F265" s="2">
        <v>18.594100000000001</v>
      </c>
      <c r="G265" s="2">
        <v>25.7</v>
      </c>
      <c r="H265" s="2">
        <v>1.7464999999999999</v>
      </c>
      <c r="I265" s="2">
        <v>0.80110000000000003</v>
      </c>
      <c r="J265">
        <f>0.3775802655239*(100)</f>
        <v>37.75802655239</v>
      </c>
      <c r="K265">
        <f>-0.0735355339630252*(100)</f>
        <v>-7.3535533963025204</v>
      </c>
      <c r="L265" s="2">
        <v>0.3533</v>
      </c>
      <c r="M265" s="2">
        <v>0.31979999999999997</v>
      </c>
      <c r="N265" s="2">
        <v>24.600200000000001</v>
      </c>
      <c r="O265" s="2">
        <v>0.27539999999999998</v>
      </c>
      <c r="P265" s="2">
        <v>392.53</v>
      </c>
      <c r="Q265" s="2">
        <v>30.403400000000001</v>
      </c>
      <c r="R265" s="2">
        <v>51.454336619286401</v>
      </c>
      <c r="S265" s="2">
        <v>18.886961846232101</v>
      </c>
      <c r="T265" s="2">
        <v>21.021485289600001</v>
      </c>
      <c r="U265" s="2">
        <v>68.960599999999999</v>
      </c>
      <c r="V265" s="2">
        <v>20.7863836780928</v>
      </c>
      <c r="W265" s="2">
        <v>29.6554612651647</v>
      </c>
      <c r="X265" s="2">
        <v>100.26740183917001</v>
      </c>
      <c r="Y265" s="2">
        <v>-20.000267068627998</v>
      </c>
      <c r="Z265" s="4">
        <v>6.7</v>
      </c>
      <c r="AA265" s="4">
        <v>11.3</v>
      </c>
      <c r="AB265" s="2">
        <v>2</v>
      </c>
      <c r="AC265" s="2">
        <v>15.9</v>
      </c>
      <c r="AD265" s="2">
        <v>8.7999999999999972</v>
      </c>
      <c r="AE265" s="2">
        <v>0</v>
      </c>
    </row>
    <row r="266" spans="1:31" x14ac:dyDescent="0.25">
      <c r="A266" s="2" t="s">
        <v>386</v>
      </c>
      <c r="B266" s="2">
        <v>2017</v>
      </c>
      <c r="C266" s="2" t="s">
        <v>387</v>
      </c>
      <c r="D266" s="2" t="s">
        <v>295</v>
      </c>
      <c r="E266" s="2">
        <v>7.5265000000000004</v>
      </c>
      <c r="F266" s="2">
        <v>19.584099999999999</v>
      </c>
      <c r="G266" s="2">
        <v>27.502600000000001</v>
      </c>
      <c r="H266" s="2">
        <v>1.7129000000000001</v>
      </c>
      <c r="I266" s="2">
        <v>0.73129999999999995</v>
      </c>
      <c r="J266">
        <f>0.270628247334366*(100)</f>
        <v>27.062824733436603</v>
      </c>
      <c r="K266">
        <f>-0.0196327603357586*(100)</f>
        <v>-1.9632760335758601</v>
      </c>
      <c r="L266" s="2">
        <v>0.33789999999999998</v>
      </c>
      <c r="M266" s="2">
        <v>0.30330000000000001</v>
      </c>
      <c r="N266" s="2">
        <v>27.623000000000001</v>
      </c>
      <c r="O266" s="2">
        <v>0.25869999999999999</v>
      </c>
      <c r="P266" s="2">
        <v>337.62729999999999</v>
      </c>
      <c r="Q266" s="2">
        <v>19.823399999999999</v>
      </c>
      <c r="R266" s="2">
        <v>23.5254540219237</v>
      </c>
      <c r="S266" s="2">
        <v>30.068945362587598</v>
      </c>
      <c r="T266" s="2">
        <v>21.051163929221499</v>
      </c>
      <c r="U266" s="2">
        <v>72.105599999999995</v>
      </c>
      <c r="V266" s="2">
        <v>21.805208999880598</v>
      </c>
      <c r="W266" s="2">
        <v>32.683100863658801</v>
      </c>
      <c r="X266" s="2">
        <v>107.44358306259301</v>
      </c>
      <c r="Y266" s="2">
        <v>-6.2404160883756301</v>
      </c>
      <c r="Z266" s="4">
        <v>6.9</v>
      </c>
      <c r="AA266" s="4">
        <v>8.2000000000000011</v>
      </c>
      <c r="AB266" s="2">
        <v>1.6</v>
      </c>
      <c r="AC266" s="2">
        <v>16.3</v>
      </c>
      <c r="AD266" s="2">
        <v>7</v>
      </c>
      <c r="AE266" s="2">
        <v>0</v>
      </c>
    </row>
    <row r="267" spans="1:31" x14ac:dyDescent="0.25">
      <c r="A267" s="2" t="s">
        <v>386</v>
      </c>
      <c r="B267" s="2">
        <v>2018</v>
      </c>
      <c r="C267" s="2" t="s">
        <v>387</v>
      </c>
      <c r="D267" s="2" t="s">
        <v>295</v>
      </c>
      <c r="E267" s="2">
        <v>7.5206999999999997</v>
      </c>
      <c r="F267" s="2">
        <v>21.126100000000001</v>
      </c>
      <c r="G267" s="2">
        <v>30.147200000000002</v>
      </c>
      <c r="H267" s="2">
        <v>1.5368999999999999</v>
      </c>
      <c r="I267" s="2">
        <v>0.62270000000000003</v>
      </c>
      <c r="J267">
        <f>0.29216629536646*(100)</f>
        <v>29.216629536646</v>
      </c>
      <c r="K267">
        <f>0.0333317810904841*(100)</f>
        <v>3.3331781090484096</v>
      </c>
      <c r="L267" s="2">
        <v>0.2848</v>
      </c>
      <c r="M267" s="2">
        <v>0.27539999999999998</v>
      </c>
      <c r="N267" s="2">
        <v>28.345800000000001</v>
      </c>
      <c r="O267" s="2">
        <v>0.2336</v>
      </c>
      <c r="P267" s="2">
        <v>124.0282</v>
      </c>
      <c r="Q267" s="2">
        <v>15.428000000000001</v>
      </c>
      <c r="R267" s="2">
        <v>26.0344956626687</v>
      </c>
      <c r="S267" s="2">
        <v>24.786830103119399</v>
      </c>
      <c r="T267" s="2">
        <v>6.75294358100387</v>
      </c>
      <c r="U267" s="2">
        <v>74.277600000000007</v>
      </c>
      <c r="V267" s="2">
        <v>19.7872295891639</v>
      </c>
      <c r="W267" s="2">
        <v>32.009742730768103</v>
      </c>
      <c r="X267" s="2">
        <v>114.75239051972099</v>
      </c>
      <c r="Y267" s="2">
        <v>11.869497286265201</v>
      </c>
      <c r="Z267" s="4">
        <v>6.6000000000000005</v>
      </c>
      <c r="AA267" s="4">
        <v>8.1</v>
      </c>
      <c r="AB267" s="2">
        <v>2.1</v>
      </c>
      <c r="AC267" s="2">
        <v>12.5</v>
      </c>
      <c r="AD267" s="2">
        <v>3.5</v>
      </c>
      <c r="AE267" s="2">
        <v>0</v>
      </c>
    </row>
    <row r="268" spans="1:31" x14ac:dyDescent="0.25">
      <c r="A268" s="2" t="s">
        <v>386</v>
      </c>
      <c r="B268" s="2">
        <v>2019</v>
      </c>
      <c r="C268" s="2" t="s">
        <v>387</v>
      </c>
      <c r="D268" s="2" t="s">
        <v>295</v>
      </c>
      <c r="E268" s="2">
        <v>5.5381</v>
      </c>
      <c r="F268" s="2">
        <v>18.779199999999999</v>
      </c>
      <c r="G268" s="2">
        <v>26.947299999999998</v>
      </c>
      <c r="H268" s="2">
        <v>1.6176999999999999</v>
      </c>
      <c r="I268" s="2">
        <v>0.55940000000000001</v>
      </c>
      <c r="J268">
        <f>0.255382907491777*(100)</f>
        <v>25.538290749177701</v>
      </c>
      <c r="K268">
        <f>0.0353867411033341*(100)</f>
        <v>3.5386741103334098</v>
      </c>
      <c r="L268" s="2">
        <v>0.24410000000000001</v>
      </c>
      <c r="M268" s="2">
        <v>0.2349</v>
      </c>
      <c r="N268" s="2">
        <v>24.426200000000001</v>
      </c>
      <c r="O268" s="2">
        <v>0.18770000000000001</v>
      </c>
      <c r="P268" s="2">
        <v>65.150800000000004</v>
      </c>
      <c r="Q268" s="2">
        <v>10.6546</v>
      </c>
      <c r="R268" s="2">
        <v>-3.1031561241966701</v>
      </c>
      <c r="S268" s="2">
        <v>45.949146199781303</v>
      </c>
      <c r="T268" s="2">
        <v>24.946782462854099</v>
      </c>
      <c r="U268" s="2">
        <v>63.190100000000001</v>
      </c>
      <c r="V268" s="2">
        <v>15.429999026180599</v>
      </c>
      <c r="W268" s="2">
        <v>49.347355721448501</v>
      </c>
      <c r="X268" s="2">
        <v>128.93424035982298</v>
      </c>
      <c r="Y268" s="2">
        <v>14.1412513145637</v>
      </c>
      <c r="Z268" s="4">
        <v>6</v>
      </c>
      <c r="AA268" s="4">
        <v>8.6999999999999993</v>
      </c>
      <c r="AB268" s="2">
        <v>2.9</v>
      </c>
      <c r="AC268" s="2">
        <v>15.6</v>
      </c>
      <c r="AD268" s="2">
        <v>2.5999999999999943</v>
      </c>
      <c r="AE268" s="2">
        <v>0</v>
      </c>
    </row>
    <row r="269" spans="1:31" x14ac:dyDescent="0.25">
      <c r="A269" s="2" t="s">
        <v>388</v>
      </c>
      <c r="B269" s="2">
        <v>2018</v>
      </c>
      <c r="C269" s="2" t="s">
        <v>389</v>
      </c>
      <c r="D269" s="2" t="s">
        <v>295</v>
      </c>
      <c r="E269" s="2">
        <v>5.5685000000000002</v>
      </c>
      <c r="F269" s="2">
        <v>24.7636</v>
      </c>
      <c r="G269" s="2">
        <v>19.6372</v>
      </c>
      <c r="H269" s="2">
        <v>1.3741000000000001</v>
      </c>
      <c r="I269" s="2">
        <v>0.4879</v>
      </c>
      <c r="J269">
        <f>0.197594419914245*(100)</f>
        <v>19.759441991424502</v>
      </c>
      <c r="K269">
        <f>0.091491578435884*(100)</f>
        <v>9.1491578435883998</v>
      </c>
      <c r="L269" s="2">
        <v>0.30180000000000001</v>
      </c>
      <c r="M269" s="2">
        <v>0.28739999999999999</v>
      </c>
      <c r="N269" s="2">
        <v>17.340599999999998</v>
      </c>
      <c r="O269" s="2">
        <v>0.26869999999999999</v>
      </c>
      <c r="P269" s="2">
        <v>30.4298</v>
      </c>
      <c r="Q269" s="2">
        <v>44.997599999999998</v>
      </c>
      <c r="R269" s="2">
        <v>36.148656609663099</v>
      </c>
      <c r="S269" s="2">
        <v>18.791344575991399</v>
      </c>
      <c r="T269" s="2">
        <v>22.0796920374266</v>
      </c>
      <c r="U269" s="2">
        <v>84.035799999999995</v>
      </c>
      <c r="V269" s="2">
        <v>16.3098278005453</v>
      </c>
      <c r="W269" s="2">
        <v>8.4915534235252306</v>
      </c>
      <c r="X269" s="2">
        <v>127.41033616543301</v>
      </c>
      <c r="Y269" s="2">
        <v>31.066877529453901</v>
      </c>
      <c r="Z269" s="4">
        <v>6.6000000000000005</v>
      </c>
      <c r="AA269" s="4">
        <v>8.1</v>
      </c>
      <c r="AB269" s="2">
        <v>2.1</v>
      </c>
      <c r="AC269" s="2">
        <v>12.5</v>
      </c>
      <c r="AD269" s="2">
        <v>3.5</v>
      </c>
      <c r="AE269" s="2">
        <v>0</v>
      </c>
    </row>
    <row r="270" spans="1:31" x14ac:dyDescent="0.25">
      <c r="A270" s="2" t="s">
        <v>388</v>
      </c>
      <c r="B270" s="2">
        <v>2019</v>
      </c>
      <c r="C270" s="2" t="s">
        <v>389</v>
      </c>
      <c r="D270" s="2" t="s">
        <v>295</v>
      </c>
      <c r="E270" s="2">
        <v>5.7511000000000001</v>
      </c>
      <c r="F270" s="2">
        <v>24.493400000000001</v>
      </c>
      <c r="G270" s="2">
        <v>18.751300000000001</v>
      </c>
      <c r="H270" s="2">
        <v>1.3207</v>
      </c>
      <c r="I270" s="2">
        <v>0.41439999999999999</v>
      </c>
      <c r="J270">
        <f>0.170957337297941*(100)</f>
        <v>17.095733729794098</v>
      </c>
      <c r="K270">
        <f>0.0100977290792401*(100)</f>
        <v>1.0097729079240101</v>
      </c>
      <c r="L270" s="2">
        <v>0.33310000000000001</v>
      </c>
      <c r="M270" s="2">
        <v>0.31759999999999999</v>
      </c>
      <c r="N270" s="2">
        <v>14.3081</v>
      </c>
      <c r="O270" s="2">
        <v>0.29399999999999998</v>
      </c>
      <c r="P270" s="2">
        <v>19.937200000000001</v>
      </c>
      <c r="Q270" s="2">
        <v>27.063400000000001</v>
      </c>
      <c r="R270" s="2">
        <v>15.8332721719094</v>
      </c>
      <c r="S270" s="2">
        <v>11.780848699518399</v>
      </c>
      <c r="T270" s="2">
        <v>21.745870111839899</v>
      </c>
      <c r="U270" s="2">
        <v>82.453500000000005</v>
      </c>
      <c r="V270" s="2">
        <v>12.704235574564601</v>
      </c>
      <c r="W270" s="2">
        <v>7.9345106619604602</v>
      </c>
      <c r="X270" s="2">
        <v>106.331960014429</v>
      </c>
      <c r="Y270" s="2">
        <v>2.9892569181013502</v>
      </c>
      <c r="Z270" s="4">
        <v>6</v>
      </c>
      <c r="AA270" s="4">
        <v>8.6999999999999993</v>
      </c>
      <c r="AB270" s="2">
        <v>2.9</v>
      </c>
      <c r="AC270" s="2">
        <v>15.6</v>
      </c>
      <c r="AD270" s="2">
        <v>2.5999999999999943</v>
      </c>
      <c r="AE270" s="2">
        <v>0</v>
      </c>
    </row>
    <row r="271" spans="1:31" x14ac:dyDescent="0.25">
      <c r="A271" s="2" t="s">
        <v>388</v>
      </c>
      <c r="B271" s="2">
        <v>2020</v>
      </c>
      <c r="C271" s="2" t="s">
        <v>389</v>
      </c>
      <c r="D271" s="2" t="s">
        <v>295</v>
      </c>
      <c r="E271" s="2">
        <v>4.2169999999999996</v>
      </c>
      <c r="F271" s="2">
        <v>17.1998</v>
      </c>
      <c r="G271" s="2">
        <v>15.4467</v>
      </c>
      <c r="H271" s="2">
        <v>1.4198999999999999</v>
      </c>
      <c r="I271" s="2">
        <v>0.4214</v>
      </c>
      <c r="J271">
        <f>0.168261703201833*(100)</f>
        <v>16.826170320183301</v>
      </c>
      <c r="K271">
        <f>0.00577015589362906*(100)</f>
        <v>0.57701558936290609</v>
      </c>
      <c r="L271" s="2">
        <v>0.29620000000000002</v>
      </c>
      <c r="M271" s="2">
        <v>0.2853</v>
      </c>
      <c r="N271" s="2">
        <v>11.5251</v>
      </c>
      <c r="O271" s="2">
        <v>0.26329999999999998</v>
      </c>
      <c r="P271" s="2">
        <v>14.9117</v>
      </c>
      <c r="Q271" s="2">
        <v>0.47220000000000001</v>
      </c>
      <c r="R271" s="2">
        <v>-18.915759980959599</v>
      </c>
      <c r="S271" s="2">
        <v>13.3608992068728</v>
      </c>
      <c r="T271" s="2">
        <v>13.3338809380699</v>
      </c>
      <c r="U271" s="2">
        <v>82.065299999999993</v>
      </c>
      <c r="V271" s="2">
        <v>16.984081201680301</v>
      </c>
      <c r="W271" s="2">
        <v>7.6349157919771899</v>
      </c>
      <c r="X271" s="2">
        <v>116.36799184445701</v>
      </c>
      <c r="Y271" s="2">
        <v>1.91110798469793</v>
      </c>
      <c r="Z271" s="4">
        <v>2.2999999999999998</v>
      </c>
      <c r="AA271" s="4">
        <v>10.100000000000001</v>
      </c>
      <c r="AB271" s="2">
        <v>2.5</v>
      </c>
      <c r="AC271" s="2">
        <v>16.100000000000001</v>
      </c>
      <c r="AD271" s="2">
        <v>1.2999999999999972</v>
      </c>
      <c r="AE271" s="2">
        <v>0</v>
      </c>
    </row>
    <row r="272" spans="1:31" x14ac:dyDescent="0.25">
      <c r="A272" s="2" t="s">
        <v>388</v>
      </c>
      <c r="B272" s="2">
        <v>2021</v>
      </c>
      <c r="C272" s="2" t="s">
        <v>389</v>
      </c>
      <c r="D272" s="2" t="s">
        <v>295</v>
      </c>
      <c r="E272" s="2">
        <v>-0.86660000000000004</v>
      </c>
      <c r="F272" s="2">
        <v>-11.4998</v>
      </c>
      <c r="G272" s="2">
        <v>-8.5144000000000002</v>
      </c>
      <c r="H272" s="2">
        <v>1.2433000000000001</v>
      </c>
      <c r="I272" s="2">
        <v>0.33910000000000001</v>
      </c>
      <c r="J272">
        <f>0.094114133230738*(100)</f>
        <v>9.4114133230738002</v>
      </c>
      <c r="K272">
        <f>0.0683834390409028*(100)</f>
        <v>6.83834390409028</v>
      </c>
      <c r="L272" s="2">
        <v>0.2</v>
      </c>
      <c r="M272" s="2">
        <v>0.17780000000000001</v>
      </c>
      <c r="N272" s="2">
        <v>7.1847000000000003</v>
      </c>
      <c r="O272" s="2">
        <v>0.16250000000000001</v>
      </c>
      <c r="P272" s="2">
        <v>7.9588000000000001</v>
      </c>
      <c r="Q272" s="2">
        <v>-34.764299999999999</v>
      </c>
      <c r="R272" s="2">
        <v>-164.35278359787199</v>
      </c>
      <c r="S272" s="2">
        <v>1.4429690078000399</v>
      </c>
      <c r="T272" s="2">
        <v>-14.020403341561201</v>
      </c>
      <c r="U272" s="2">
        <v>84.487099999999998</v>
      </c>
      <c r="V272" s="2">
        <v>11.7469531119102</v>
      </c>
      <c r="W272" s="2">
        <v>7.12811369335782</v>
      </c>
      <c r="X272" s="2">
        <v>161.89822613928101</v>
      </c>
      <c r="Y272" s="2">
        <v>35.803842921264199</v>
      </c>
      <c r="Z272" s="4">
        <v>8.4</v>
      </c>
      <c r="AA272" s="4">
        <v>9</v>
      </c>
      <c r="AB272" s="2">
        <v>0.9</v>
      </c>
      <c r="AC272" s="2">
        <v>20.9</v>
      </c>
      <c r="AD272" s="2">
        <v>3.5</v>
      </c>
      <c r="AE272" s="2">
        <v>0</v>
      </c>
    </row>
    <row r="273" spans="1:31" x14ac:dyDescent="0.25">
      <c r="A273" s="2" t="s">
        <v>390</v>
      </c>
      <c r="B273" s="2">
        <v>2014</v>
      </c>
      <c r="C273" s="2" t="s">
        <v>391</v>
      </c>
      <c r="D273" s="2" t="s">
        <v>295</v>
      </c>
      <c r="E273" s="2">
        <v>5.2614000000000001</v>
      </c>
      <c r="F273" s="2">
        <v>12.157999999999999</v>
      </c>
      <c r="G273" s="2">
        <v>13.0481</v>
      </c>
      <c r="H273" s="2">
        <v>1.44</v>
      </c>
      <c r="I273" s="2">
        <v>0.33279999999999998</v>
      </c>
      <c r="J273">
        <f>0.200959051897888*(100)</f>
        <v>20.095905189788802</v>
      </c>
      <c r="K273">
        <f>-0.111309664989366*(100)</f>
        <v>-11.1309664989366</v>
      </c>
      <c r="L273" s="2">
        <v>0.31769999999999998</v>
      </c>
      <c r="M273" s="2">
        <v>0.33050000000000002</v>
      </c>
      <c r="N273" s="2">
        <v>110.3695</v>
      </c>
      <c r="O273" s="2">
        <v>0.3251</v>
      </c>
      <c r="P273" s="2">
        <v>979.50810000000001</v>
      </c>
      <c r="Q273" s="2">
        <v>10.199</v>
      </c>
      <c r="R273" s="2">
        <v>9.1449328059808099</v>
      </c>
      <c r="S273" s="2">
        <v>14.9855663054056</v>
      </c>
      <c r="T273" s="2">
        <v>10.4195254552038</v>
      </c>
      <c r="U273" s="2">
        <v>74.025099999999995</v>
      </c>
      <c r="V273" s="2">
        <v>5.6242919115627004</v>
      </c>
      <c r="W273" s="2">
        <v>96.579351236666795</v>
      </c>
      <c r="X273" s="2">
        <v>96.886398773135696</v>
      </c>
      <c r="Y273" s="2">
        <v>-27.114262851762199</v>
      </c>
      <c r="Z273" s="4">
        <v>7.3</v>
      </c>
      <c r="AA273" s="4">
        <v>12.2</v>
      </c>
      <c r="AB273" s="2">
        <v>2</v>
      </c>
      <c r="AC273" s="2">
        <v>16.899999999999999</v>
      </c>
      <c r="AD273" s="2">
        <v>2.0999999999999943</v>
      </c>
      <c r="AE273" s="2">
        <v>0</v>
      </c>
    </row>
    <row r="274" spans="1:31" x14ac:dyDescent="0.25">
      <c r="A274" s="2" t="s">
        <v>390</v>
      </c>
      <c r="B274" s="2">
        <v>2020</v>
      </c>
      <c r="C274" s="2" t="s">
        <v>391</v>
      </c>
      <c r="D274" s="2" t="s">
        <v>295</v>
      </c>
      <c r="E274" s="2">
        <v>7.7417999999999996</v>
      </c>
      <c r="F274" s="2">
        <v>20.4163</v>
      </c>
      <c r="G274" s="2">
        <v>21.936699999999998</v>
      </c>
      <c r="H274" s="2">
        <v>1.6007</v>
      </c>
      <c r="I274" s="2">
        <v>0.3982</v>
      </c>
      <c r="J274">
        <f>0.308086708192275*(100)</f>
        <v>30.808670819227501</v>
      </c>
      <c r="K274">
        <f>0.00601212237775444*(100)</f>
        <v>0.60121223777544397</v>
      </c>
      <c r="L274" s="2">
        <v>0.28220000000000001</v>
      </c>
      <c r="M274" s="2">
        <v>0.3271</v>
      </c>
      <c r="N274" s="2">
        <v>57.209000000000003</v>
      </c>
      <c r="O274" s="2">
        <v>0.31080000000000002</v>
      </c>
      <c r="P274" s="2">
        <v>108.5215</v>
      </c>
      <c r="Q274" s="2">
        <v>60.486699999999999</v>
      </c>
      <c r="R274" s="2">
        <v>23.9918165721447</v>
      </c>
      <c r="S274" s="2">
        <v>-4.6112662406150804</v>
      </c>
      <c r="T274" s="2">
        <v>51.584088879499298</v>
      </c>
      <c r="U274" s="2">
        <v>67.842799999999997</v>
      </c>
      <c r="V274" s="2">
        <v>10.3070626250594</v>
      </c>
      <c r="W274" s="2">
        <v>47.538704421187397</v>
      </c>
      <c r="X274" s="2">
        <v>62.823366591745199</v>
      </c>
      <c r="Y274" s="2">
        <v>1.4202574200970601</v>
      </c>
      <c r="Z274" s="4">
        <v>2.2999999999999998</v>
      </c>
      <c r="AA274" s="4">
        <v>10.100000000000001</v>
      </c>
      <c r="AB274" s="2">
        <v>2.5</v>
      </c>
      <c r="AC274" s="2">
        <v>16.100000000000001</v>
      </c>
      <c r="AD274" s="2">
        <v>1.2999999999999972</v>
      </c>
      <c r="AE274" s="2">
        <v>0</v>
      </c>
    </row>
    <row r="275" spans="1:31" x14ac:dyDescent="0.25">
      <c r="A275" s="2" t="s">
        <v>390</v>
      </c>
      <c r="B275" s="2">
        <v>2021</v>
      </c>
      <c r="C275" s="2" t="s">
        <v>391</v>
      </c>
      <c r="D275" s="2" t="s">
        <v>295</v>
      </c>
      <c r="E275" s="2">
        <v>5.9574999999999996</v>
      </c>
      <c r="F275" s="2">
        <v>15.2178</v>
      </c>
      <c r="G275" s="2">
        <v>14.8611</v>
      </c>
      <c r="H275" s="2">
        <v>1.6400999999999999</v>
      </c>
      <c r="I275" s="2">
        <v>0.37230000000000002</v>
      </c>
      <c r="J275">
        <f>0.280014250709716*(100)</f>
        <v>28.001425070971596</v>
      </c>
      <c r="K275">
        <f>-0.168660402571814*(100)</f>
        <v>-16.8660402571814</v>
      </c>
      <c r="L275" s="2">
        <v>0.37190000000000001</v>
      </c>
      <c r="M275" s="2">
        <v>0.39579999999999999</v>
      </c>
      <c r="N275" s="2">
        <v>64.621899999999997</v>
      </c>
      <c r="O275" s="2">
        <v>0.36670000000000003</v>
      </c>
      <c r="P275" s="2">
        <v>148.28569999999999</v>
      </c>
      <c r="Q275" s="2">
        <v>41.543700000000001</v>
      </c>
      <c r="R275" s="2">
        <v>1.1874842070934101E-2</v>
      </c>
      <c r="S275" s="2">
        <v>20.877580915543898</v>
      </c>
      <c r="T275" s="2">
        <v>14.807991012932501</v>
      </c>
      <c r="U275" s="2">
        <v>68.480099999999993</v>
      </c>
      <c r="V275" s="2">
        <v>11.718133816185599</v>
      </c>
      <c r="W275" s="2">
        <v>66.041939162683406</v>
      </c>
      <c r="X275" s="2">
        <v>108.870845410595</v>
      </c>
      <c r="Y275" s="2">
        <v>-34.474547819431997</v>
      </c>
      <c r="Z275" s="4">
        <v>8.4</v>
      </c>
      <c r="AA275" s="4">
        <v>9</v>
      </c>
      <c r="AB275" s="2">
        <v>0.9</v>
      </c>
      <c r="AC275" s="2">
        <v>20.9</v>
      </c>
      <c r="AD275" s="2">
        <v>3.5</v>
      </c>
      <c r="AE275" s="2">
        <v>0</v>
      </c>
    </row>
    <row r="276" spans="1:31" x14ac:dyDescent="0.25">
      <c r="A276" s="2" t="s">
        <v>394</v>
      </c>
      <c r="B276" s="2">
        <v>2016</v>
      </c>
      <c r="C276" s="2" t="s">
        <v>395</v>
      </c>
      <c r="D276" s="2" t="s">
        <v>295</v>
      </c>
      <c r="E276" s="2">
        <v>6.4261999999999997</v>
      </c>
      <c r="F276" s="2">
        <v>12.9763</v>
      </c>
      <c r="G276" s="2">
        <v>14.5486</v>
      </c>
      <c r="H276" s="2">
        <v>1.6214</v>
      </c>
      <c r="I276" s="2">
        <v>0.65400000000000003</v>
      </c>
      <c r="J276">
        <f>0.337189382949162*(100)</f>
        <v>33.7189382949162</v>
      </c>
      <c r="K276">
        <f>0.388358360019183*(100)</f>
        <v>38.835836001918302</v>
      </c>
      <c r="L276" s="2">
        <v>0.51329999999999998</v>
      </c>
      <c r="M276" s="2">
        <v>0.46910000000000002</v>
      </c>
      <c r="N276" s="2">
        <v>69.165700000000001</v>
      </c>
      <c r="O276" s="2">
        <v>0.4239</v>
      </c>
      <c r="P276" s="2">
        <v>187.47479999999999</v>
      </c>
      <c r="Q276" s="2">
        <v>59.144100000000002</v>
      </c>
      <c r="R276" s="2">
        <v>31.0620748284576</v>
      </c>
      <c r="S276" s="2">
        <v>17.320800761202499</v>
      </c>
      <c r="T276" s="2">
        <v>45.976566446100399</v>
      </c>
      <c r="U276" s="2">
        <v>68.245099999999994</v>
      </c>
      <c r="V276" s="2">
        <v>13.4156619299493</v>
      </c>
      <c r="W276" s="2">
        <v>60.104769490061699</v>
      </c>
      <c r="X276" s="2">
        <v>112.387813145316</v>
      </c>
      <c r="Y276" s="2">
        <v>67.504489367048507</v>
      </c>
      <c r="Z276" s="4">
        <v>6.7</v>
      </c>
      <c r="AA276" s="4">
        <v>11.3</v>
      </c>
      <c r="AB276" s="2">
        <v>2</v>
      </c>
      <c r="AC276" s="2">
        <v>15.9</v>
      </c>
      <c r="AD276" s="2">
        <v>8.7999999999999972</v>
      </c>
      <c r="AE276" s="2">
        <v>0</v>
      </c>
    </row>
    <row r="277" spans="1:31" x14ac:dyDescent="0.25">
      <c r="A277" s="2" t="s">
        <v>394</v>
      </c>
      <c r="B277" s="2">
        <v>2017</v>
      </c>
      <c r="C277" s="2" t="s">
        <v>395</v>
      </c>
      <c r="D277" s="2" t="s">
        <v>295</v>
      </c>
      <c r="E277" s="2">
        <v>5.6234999999999999</v>
      </c>
      <c r="F277" s="2">
        <v>12.642899999999999</v>
      </c>
      <c r="G277" s="2">
        <v>21.380299999999998</v>
      </c>
      <c r="H277" s="2">
        <v>1.4831000000000001</v>
      </c>
      <c r="I277" s="2">
        <v>0.80879999999999996</v>
      </c>
      <c r="J277">
        <f>0.267524390307409*(100)</f>
        <v>26.752439030740899</v>
      </c>
      <c r="K277">
        <f>0.0781577015820246*(100)</f>
        <v>7.8157701582024606</v>
      </c>
      <c r="L277" s="2">
        <v>0.38019999999999998</v>
      </c>
      <c r="M277" s="2">
        <v>0.28349999999999997</v>
      </c>
      <c r="N277" s="2">
        <v>55.4407</v>
      </c>
      <c r="O277" s="2">
        <v>0.25090000000000001</v>
      </c>
      <c r="P277" s="2">
        <v>79.054000000000002</v>
      </c>
      <c r="Q277" s="2">
        <v>-29.8751</v>
      </c>
      <c r="R277" s="2">
        <v>17.197589176039902</v>
      </c>
      <c r="S277" s="2">
        <v>21.595592258332701</v>
      </c>
      <c r="T277" s="2">
        <v>11.599881749790001</v>
      </c>
      <c r="U277" s="2">
        <v>72.843100000000007</v>
      </c>
      <c r="V277" s="2">
        <v>13.3966751662332</v>
      </c>
      <c r="W277" s="2">
        <v>69.582896284344002</v>
      </c>
      <c r="X277" s="2">
        <v>144.592272179177</v>
      </c>
      <c r="Y277" s="2">
        <v>24.901514664569099</v>
      </c>
      <c r="Z277" s="4">
        <v>6.9</v>
      </c>
      <c r="AA277" s="4">
        <v>8.2000000000000011</v>
      </c>
      <c r="AB277" s="2">
        <v>1.6</v>
      </c>
      <c r="AC277" s="2">
        <v>16.3</v>
      </c>
      <c r="AD277" s="2">
        <v>7</v>
      </c>
      <c r="AE277" s="2">
        <v>0</v>
      </c>
    </row>
    <row r="278" spans="1:31" x14ac:dyDescent="0.25">
      <c r="A278" s="2" t="s">
        <v>396</v>
      </c>
      <c r="B278" s="2">
        <v>2014</v>
      </c>
      <c r="C278" s="2" t="s">
        <v>397</v>
      </c>
      <c r="D278" s="2" t="s">
        <v>295</v>
      </c>
      <c r="E278" s="2">
        <v>5.9320000000000004</v>
      </c>
      <c r="F278" s="2">
        <v>21.560600000000001</v>
      </c>
      <c r="G278" s="2">
        <v>17.404299999999999</v>
      </c>
      <c r="H278" s="2">
        <v>1.8731</v>
      </c>
      <c r="I278" s="2">
        <v>0.44669999999999999</v>
      </c>
      <c r="J278">
        <f>0.213933667765519*(100)</f>
        <v>21.3933667765519</v>
      </c>
      <c r="K278">
        <f>-0.0367097591332285*(100)</f>
        <v>-3.6709759133228501</v>
      </c>
      <c r="L278" s="2">
        <v>0.2923</v>
      </c>
      <c r="M278" s="2">
        <v>0.33360000000000001</v>
      </c>
      <c r="N278" s="2">
        <v>48.875</v>
      </c>
      <c r="O278" s="2">
        <v>0.32090000000000002</v>
      </c>
      <c r="P278" s="2">
        <v>38.390799999999999</v>
      </c>
      <c r="Q278" s="2">
        <v>18.1996</v>
      </c>
      <c r="R278" s="2">
        <v>19.949484257880599</v>
      </c>
      <c r="S278" s="2">
        <v>16.508190437305199</v>
      </c>
      <c r="T278" s="2">
        <v>18.6362702174257</v>
      </c>
      <c r="U278" s="2">
        <v>77.889600000000002</v>
      </c>
      <c r="V278" s="2">
        <v>26.678247929412102</v>
      </c>
      <c r="W278" s="2">
        <v>32.640975418262101</v>
      </c>
      <c r="X278" s="2">
        <v>102.55494790321499</v>
      </c>
      <c r="Y278" s="2">
        <v>-9.5898610778087399</v>
      </c>
      <c r="Z278" s="4">
        <v>7.3</v>
      </c>
      <c r="AA278" s="4">
        <v>12.2</v>
      </c>
      <c r="AB278" s="2">
        <v>2</v>
      </c>
      <c r="AC278" s="2">
        <v>16.899999999999999</v>
      </c>
      <c r="AD278" s="2">
        <v>2.0999999999999943</v>
      </c>
      <c r="AE278" s="2">
        <v>0</v>
      </c>
    </row>
    <row r="279" spans="1:31" x14ac:dyDescent="0.25">
      <c r="A279" s="2" t="s">
        <v>396</v>
      </c>
      <c r="B279" s="2">
        <v>2015</v>
      </c>
      <c r="C279" s="2" t="s">
        <v>397</v>
      </c>
      <c r="D279" s="2" t="s">
        <v>295</v>
      </c>
      <c r="E279" s="2">
        <v>6.4085000000000001</v>
      </c>
      <c r="F279" s="2">
        <v>18.577300000000001</v>
      </c>
      <c r="G279" s="2">
        <v>18.410900000000002</v>
      </c>
      <c r="H279" s="2">
        <v>1.7341</v>
      </c>
      <c r="I279" s="2">
        <v>0.43459999999999999</v>
      </c>
      <c r="J279">
        <f>0.169274633310237*(100)</f>
        <v>16.927463331023702</v>
      </c>
      <c r="K279">
        <f>0.0579884713298499*(100)</f>
        <v>5.7988471329849895</v>
      </c>
      <c r="L279" s="2">
        <v>0.2969</v>
      </c>
      <c r="M279" s="2">
        <v>0.33560000000000001</v>
      </c>
      <c r="N279" s="2">
        <v>43.823999999999998</v>
      </c>
      <c r="O279" s="2">
        <v>0.32079999999999997</v>
      </c>
      <c r="P279" s="2">
        <v>38.028799999999997</v>
      </c>
      <c r="Q279" s="2">
        <v>13.6485</v>
      </c>
      <c r="R279" s="2">
        <v>18.243908345968102</v>
      </c>
      <c r="S279" s="2">
        <v>10.4076367944237</v>
      </c>
      <c r="T279" s="2">
        <v>16.468162340623699</v>
      </c>
      <c r="U279" s="2">
        <v>75.945400000000006</v>
      </c>
      <c r="V279" s="2">
        <v>21.013397515847</v>
      </c>
      <c r="W279" s="2">
        <v>30.7864406796213</v>
      </c>
      <c r="X279" s="2">
        <v>115.83716677095499</v>
      </c>
      <c r="Y279" s="2">
        <v>14.408833290976601</v>
      </c>
      <c r="Z279" s="4">
        <v>6.9099999999999993</v>
      </c>
      <c r="AA279" s="4">
        <v>13.3</v>
      </c>
      <c r="AB279" s="2">
        <v>1.4</v>
      </c>
      <c r="AC279" s="2">
        <v>17.600000000000001</v>
      </c>
      <c r="AD279" s="2">
        <v>3.7999999999999972</v>
      </c>
      <c r="AE279" s="2">
        <v>0</v>
      </c>
    </row>
    <row r="280" spans="1:31" x14ac:dyDescent="0.25">
      <c r="A280" s="2" t="s">
        <v>396</v>
      </c>
      <c r="B280" s="2">
        <v>2016</v>
      </c>
      <c r="C280" s="2" t="s">
        <v>397</v>
      </c>
      <c r="D280" s="2" t="s">
        <v>295</v>
      </c>
      <c r="E280" s="2">
        <v>5.7389999999999999</v>
      </c>
      <c r="F280" s="2">
        <v>15.452</v>
      </c>
      <c r="G280" s="2">
        <v>14.940099999999999</v>
      </c>
      <c r="H280" s="2">
        <v>1.7350000000000001</v>
      </c>
      <c r="I280" s="2">
        <v>0.52559999999999996</v>
      </c>
      <c r="J280">
        <f>0.187639844589821*(100)</f>
        <v>18.763984458982101</v>
      </c>
      <c r="K280">
        <f>0.0973262663960436*(100)</f>
        <v>9.7326266396043604</v>
      </c>
      <c r="L280" s="2">
        <v>0.3715</v>
      </c>
      <c r="M280" s="2">
        <v>0.37759999999999999</v>
      </c>
      <c r="N280" s="2">
        <v>48.554900000000004</v>
      </c>
      <c r="O280" s="2">
        <v>0.35510000000000003</v>
      </c>
      <c r="P280" s="2">
        <v>65.112300000000005</v>
      </c>
      <c r="Q280" s="2">
        <v>25.563700000000001</v>
      </c>
      <c r="R280" s="2">
        <v>1.45790332689485</v>
      </c>
      <c r="S280" s="2">
        <v>15.888632055434099</v>
      </c>
      <c r="T280" s="2">
        <v>24.790258471028199</v>
      </c>
      <c r="U280" s="2">
        <v>74.764399999999995</v>
      </c>
      <c r="V280" s="2">
        <v>21.175145219176102</v>
      </c>
      <c r="W280" s="2">
        <v>36.678922324922198</v>
      </c>
      <c r="X280" s="2">
        <v>114.312928819156</v>
      </c>
      <c r="Y280" s="2">
        <v>22.005484128068602</v>
      </c>
      <c r="Z280" s="4">
        <v>6.7</v>
      </c>
      <c r="AA280" s="4">
        <v>11.3</v>
      </c>
      <c r="AB280" s="2">
        <v>2</v>
      </c>
      <c r="AC280" s="2">
        <v>15.9</v>
      </c>
      <c r="AD280" s="2">
        <v>8.7999999999999972</v>
      </c>
      <c r="AE280" s="2">
        <v>0</v>
      </c>
    </row>
    <row r="281" spans="1:31" x14ac:dyDescent="0.25">
      <c r="A281" s="2" t="s">
        <v>398</v>
      </c>
      <c r="B281" s="2">
        <v>2018</v>
      </c>
      <c r="C281" s="2" t="s">
        <v>399</v>
      </c>
      <c r="D281" s="2" t="s">
        <v>295</v>
      </c>
      <c r="E281" s="2">
        <v>4.5239000000000003</v>
      </c>
      <c r="F281" s="2">
        <v>10.479100000000001</v>
      </c>
      <c r="G281" s="2">
        <v>16.089400000000001</v>
      </c>
      <c r="H281" s="2">
        <v>1.2765</v>
      </c>
      <c r="I281" s="2">
        <v>0.4017</v>
      </c>
      <c r="J281">
        <f>0.222309863951577*(100)</f>
        <v>22.2309863951577</v>
      </c>
      <c r="K281">
        <f>0.184370117673181*(100)</f>
        <v>18.437011767318101</v>
      </c>
      <c r="L281" s="2">
        <v>0.21010000000000001</v>
      </c>
      <c r="M281" s="2">
        <v>0.2525</v>
      </c>
      <c r="N281" s="2">
        <v>77.840400000000002</v>
      </c>
      <c r="O281" s="2">
        <v>0.22020000000000001</v>
      </c>
      <c r="P281" s="2">
        <v>366.54770000000002</v>
      </c>
      <c r="Q281" s="2">
        <v>59.203200000000002</v>
      </c>
      <c r="R281" s="2">
        <v>153.47514234324001</v>
      </c>
      <c r="S281" s="2">
        <v>36.1124652111017</v>
      </c>
      <c r="T281" s="2">
        <v>10.470062786367</v>
      </c>
      <c r="U281" s="2">
        <v>80.715900000000005</v>
      </c>
      <c r="V281" s="2">
        <v>11.766844085811599</v>
      </c>
      <c r="W281" s="2">
        <v>77.363787049259798</v>
      </c>
      <c r="X281" s="2">
        <v>206.46593679065299</v>
      </c>
      <c r="Y281" s="2">
        <v>77.9209993090018</v>
      </c>
      <c r="Z281" s="4">
        <v>6.6000000000000005</v>
      </c>
      <c r="AA281" s="4">
        <v>8.1</v>
      </c>
      <c r="AB281" s="2">
        <v>2.1</v>
      </c>
      <c r="AC281" s="2">
        <v>12.5</v>
      </c>
      <c r="AD281" s="2">
        <v>3.5</v>
      </c>
      <c r="AE281" s="2">
        <v>0</v>
      </c>
    </row>
    <row r="282" spans="1:31" x14ac:dyDescent="0.25">
      <c r="A282" s="2" t="s">
        <v>400</v>
      </c>
      <c r="B282" s="2">
        <v>2015</v>
      </c>
      <c r="C282" s="2" t="s">
        <v>401</v>
      </c>
      <c r="D282" s="2" t="s">
        <v>295</v>
      </c>
      <c r="E282" s="2">
        <v>3.7827999999999999</v>
      </c>
      <c r="F282" s="2">
        <v>8.6775000000000002</v>
      </c>
      <c r="G282" s="2">
        <v>16.648</v>
      </c>
      <c r="H282" s="2">
        <v>1.8528</v>
      </c>
      <c r="I282" s="2">
        <v>0.32129999999999997</v>
      </c>
      <c r="J282">
        <f>0.216164155411195*(100)</f>
        <v>21.616415541119498</v>
      </c>
      <c r="K282">
        <f>-0.252293784286482*(100)</f>
        <v>-25.229378428648204</v>
      </c>
      <c r="L282" s="2">
        <v>0.1396</v>
      </c>
      <c r="M282" s="2">
        <v>0.18790000000000001</v>
      </c>
      <c r="N282" s="2">
        <v>11.5032</v>
      </c>
      <c r="O282" s="2">
        <v>0.1782</v>
      </c>
      <c r="P282" s="2">
        <v>39.100299999999997</v>
      </c>
      <c r="Q282" s="2">
        <v>-5.7929000000000004</v>
      </c>
      <c r="R282" s="2">
        <v>8.9023164523285505</v>
      </c>
      <c r="S282" s="2">
        <v>69.432569716414406</v>
      </c>
      <c r="T282" s="2">
        <v>-9.9319531854041507</v>
      </c>
      <c r="U282" s="2">
        <v>73.032799999999995</v>
      </c>
      <c r="V282" s="2">
        <v>21.354860401331699</v>
      </c>
      <c r="W282" s="2">
        <v>22.278141440197299</v>
      </c>
      <c r="X282" s="2">
        <v>119.517094931946</v>
      </c>
      <c r="Y282" s="2">
        <v>-130.06185976129402</v>
      </c>
      <c r="Z282" s="4">
        <v>6.9099999999999993</v>
      </c>
      <c r="AA282" s="4">
        <v>13.3</v>
      </c>
      <c r="AB282" s="2">
        <v>1.4</v>
      </c>
      <c r="AC282" s="2">
        <v>17.600000000000001</v>
      </c>
      <c r="AD282" s="2">
        <v>3.7999999999999972</v>
      </c>
      <c r="AE282" s="2">
        <v>0</v>
      </c>
    </row>
    <row r="283" spans="1:31" x14ac:dyDescent="0.25">
      <c r="A283" s="2" t="s">
        <v>402</v>
      </c>
      <c r="B283" s="2">
        <v>2021</v>
      </c>
      <c r="C283" s="2" t="s">
        <v>403</v>
      </c>
      <c r="D283" s="2" t="s">
        <v>295</v>
      </c>
      <c r="E283" s="2">
        <v>2.9155000000000002</v>
      </c>
      <c r="F283" s="2">
        <v>2.9782000000000002</v>
      </c>
      <c r="G283" s="2">
        <v>6.4501999999999997</v>
      </c>
      <c r="H283" s="2">
        <v>1.2659</v>
      </c>
      <c r="I283" s="2">
        <v>0.39279999999999998</v>
      </c>
      <c r="J283">
        <f>0.196212283195837*(100)</f>
        <v>19.6212283195837</v>
      </c>
      <c r="K283">
        <f>0.0222753367004891*(100)</f>
        <v>2.2275336700489099</v>
      </c>
      <c r="L283" s="2">
        <v>0.2339</v>
      </c>
      <c r="M283" s="2">
        <v>0.26240000000000002</v>
      </c>
      <c r="N283" s="2">
        <v>7.8822999999999999</v>
      </c>
      <c r="O283" s="2">
        <v>0.2064</v>
      </c>
      <c r="P283" s="2">
        <v>216.886</v>
      </c>
      <c r="Q283" s="2">
        <v>16.134699999999999</v>
      </c>
      <c r="R283" s="2">
        <v>-76.139461526598893</v>
      </c>
      <c r="S283" s="2">
        <v>15.678929609926399</v>
      </c>
      <c r="T283" s="2">
        <v>37.046773590943403</v>
      </c>
      <c r="U283" s="2">
        <v>74.345399999999998</v>
      </c>
      <c r="V283" s="2">
        <v>13.0587136116033</v>
      </c>
      <c r="W283" s="2">
        <v>11.1433730380333</v>
      </c>
      <c r="X283" s="2">
        <v>106.378116382763</v>
      </c>
      <c r="Y283" s="2">
        <v>8.6054769985676103</v>
      </c>
      <c r="Z283" s="4">
        <v>8.4</v>
      </c>
      <c r="AA283" s="4">
        <v>9</v>
      </c>
      <c r="AB283" s="2">
        <v>0.9</v>
      </c>
      <c r="AC283" s="2">
        <v>20.9</v>
      </c>
      <c r="AD283" s="2">
        <v>3.5</v>
      </c>
      <c r="AE283" s="2">
        <v>0</v>
      </c>
    </row>
    <row r="284" spans="1:31" x14ac:dyDescent="0.25">
      <c r="A284" s="2" t="s">
        <v>404</v>
      </c>
      <c r="B284" s="2">
        <v>2020</v>
      </c>
      <c r="C284" s="2" t="s">
        <v>405</v>
      </c>
      <c r="D284" s="2" t="s">
        <v>295</v>
      </c>
      <c r="E284" s="2">
        <v>2.3405999999999998</v>
      </c>
      <c r="F284" s="2">
        <v>14.257</v>
      </c>
      <c r="G284" s="2">
        <v>12.464700000000001</v>
      </c>
      <c r="H284" s="2">
        <v>1.8776999999999999</v>
      </c>
      <c r="I284" s="2">
        <v>0.52080000000000004</v>
      </c>
      <c r="J284">
        <f>0.281537175683151*(100)</f>
        <v>28.153717568315102</v>
      </c>
      <c r="K284">
        <f>0.112606079205677*(100)</f>
        <v>11.260607920567701</v>
      </c>
      <c r="L284" s="2">
        <v>0.2079</v>
      </c>
      <c r="M284" s="2">
        <v>0.2006</v>
      </c>
      <c r="N284" s="2">
        <v>62.756900000000002</v>
      </c>
      <c r="O284" s="2">
        <v>0.1835</v>
      </c>
      <c r="P284" s="2">
        <v>782.60599999999999</v>
      </c>
      <c r="Q284" s="2">
        <v>58.688899999999997</v>
      </c>
      <c r="R284" s="2">
        <v>37.577535977642697</v>
      </c>
      <c r="S284" s="2">
        <v>36.995436083433198</v>
      </c>
      <c r="T284" s="2">
        <v>5.53184034853198</v>
      </c>
      <c r="U284" s="2">
        <v>80.317999999999998</v>
      </c>
      <c r="V284" s="2">
        <v>31.916702595086999</v>
      </c>
      <c r="W284" s="2">
        <v>76.329306931115497</v>
      </c>
      <c r="X284" s="2">
        <v>104.816523132512</v>
      </c>
      <c r="Y284" s="2">
        <v>57.068523407284701</v>
      </c>
      <c r="Z284" s="4">
        <v>2.2999999999999998</v>
      </c>
      <c r="AA284" s="4">
        <v>10.100000000000001</v>
      </c>
      <c r="AB284" s="2">
        <v>2.5</v>
      </c>
      <c r="AC284" s="2">
        <v>16.100000000000001</v>
      </c>
      <c r="AD284" s="2">
        <v>1.2999999999999972</v>
      </c>
      <c r="AE284" s="2">
        <v>0</v>
      </c>
    </row>
    <row r="285" spans="1:31" x14ac:dyDescent="0.25">
      <c r="A285" s="2" t="s">
        <v>406</v>
      </c>
      <c r="B285" s="2">
        <v>2015</v>
      </c>
      <c r="C285" s="2" t="s">
        <v>407</v>
      </c>
      <c r="D285" s="2" t="s">
        <v>310</v>
      </c>
      <c r="E285" s="2">
        <v>9.9718</v>
      </c>
      <c r="F285" s="2">
        <v>14.7163</v>
      </c>
      <c r="G285" s="2">
        <v>15.6434</v>
      </c>
      <c r="H285" s="2">
        <v>0.83609999999999995</v>
      </c>
      <c r="I285" s="2">
        <v>0.77559999999999996</v>
      </c>
      <c r="J285">
        <f>0.358032971602358*(100)</f>
        <v>35.8032971602358</v>
      </c>
      <c r="K285">
        <f>0.019128433612879*(100)</f>
        <v>1.9128433612879001</v>
      </c>
      <c r="L285" s="2">
        <v>11.829499999999999</v>
      </c>
      <c r="M285" s="2">
        <v>1.147</v>
      </c>
      <c r="N285" s="2">
        <v>7.5094000000000003</v>
      </c>
      <c r="O285" s="2">
        <v>0.48060000000000003</v>
      </c>
      <c r="P285" s="2">
        <v>2.3268</v>
      </c>
      <c r="Q285" s="2">
        <v>37.590899999999998</v>
      </c>
      <c r="R285" s="2">
        <v>4.17894034584483</v>
      </c>
      <c r="S285" s="2">
        <v>62.7360922430938</v>
      </c>
      <c r="T285" s="2">
        <v>16.208780101821599</v>
      </c>
      <c r="U285" s="2">
        <v>60.246699999999997</v>
      </c>
      <c r="V285" s="2">
        <v>14.4375928669771</v>
      </c>
      <c r="W285" s="2">
        <v>6.3274743313219401</v>
      </c>
      <c r="X285" s="2">
        <v>56.2693337276948</v>
      </c>
      <c r="Y285" s="2">
        <v>2.9706529927347298</v>
      </c>
      <c r="Z285" s="4">
        <v>6.9099999999999993</v>
      </c>
      <c r="AA285" s="4">
        <v>13.3</v>
      </c>
      <c r="AB285" s="2">
        <v>1.4</v>
      </c>
      <c r="AC285" s="2">
        <v>17.600000000000001</v>
      </c>
      <c r="AD285" s="2">
        <v>9.7000000000000028</v>
      </c>
      <c r="AE285" s="2">
        <v>0</v>
      </c>
    </row>
    <row r="286" spans="1:31" x14ac:dyDescent="0.25">
      <c r="A286" s="2" t="s">
        <v>406</v>
      </c>
      <c r="B286" s="2">
        <v>2016</v>
      </c>
      <c r="C286" s="2" t="s">
        <v>407</v>
      </c>
      <c r="D286" s="2" t="s">
        <v>310</v>
      </c>
      <c r="E286" s="2">
        <v>8.2477</v>
      </c>
      <c r="F286" s="2">
        <v>14.745799999999999</v>
      </c>
      <c r="G286" s="2">
        <v>17.066500000000001</v>
      </c>
      <c r="H286" s="2">
        <v>0.69910000000000005</v>
      </c>
      <c r="I286" s="2">
        <v>0.65700000000000003</v>
      </c>
      <c r="J286">
        <f>0.298448342501485*(100)</f>
        <v>29.844834250148502</v>
      </c>
      <c r="K286">
        <f>-0.0324014315047913*(100)</f>
        <v>-3.2401431504791303</v>
      </c>
      <c r="L286" s="2">
        <v>10.2593</v>
      </c>
      <c r="M286" s="2">
        <v>1.0011000000000001</v>
      </c>
      <c r="N286" s="2">
        <v>5.0350000000000001</v>
      </c>
      <c r="O286" s="2">
        <v>0.3574</v>
      </c>
      <c r="P286" s="2">
        <v>2.6223000000000001</v>
      </c>
      <c r="Q286" s="2">
        <v>7.2210000000000001</v>
      </c>
      <c r="R286" s="2">
        <v>11.471552802203099</v>
      </c>
      <c r="S286" s="2">
        <v>42.0242579180359</v>
      </c>
      <c r="T286" s="2">
        <v>31.8252430793118</v>
      </c>
      <c r="U286" s="2">
        <v>63.4651</v>
      </c>
      <c r="V286" s="2">
        <v>14.9671154720074</v>
      </c>
      <c r="W286" s="2">
        <v>4.7686848926756502</v>
      </c>
      <c r="X286" s="2">
        <v>57.059505825278698</v>
      </c>
      <c r="Y286" s="2">
        <v>-6.8076011407569403</v>
      </c>
      <c r="Z286" s="4">
        <v>6.7</v>
      </c>
      <c r="AA286" s="4">
        <v>11.3</v>
      </c>
      <c r="AB286" s="2">
        <v>2</v>
      </c>
      <c r="AC286" s="2">
        <v>15.9</v>
      </c>
      <c r="AD286" s="2">
        <v>9.7999999999999972</v>
      </c>
      <c r="AE286" s="2">
        <v>0</v>
      </c>
    </row>
    <row r="287" spans="1:31" x14ac:dyDescent="0.25">
      <c r="A287" s="2" t="s">
        <v>408</v>
      </c>
      <c r="B287" s="2">
        <v>2014</v>
      </c>
      <c r="C287" s="2" t="s">
        <v>409</v>
      </c>
      <c r="D287" s="2" t="s">
        <v>310</v>
      </c>
      <c r="E287" s="2">
        <v>8.2007999999999992</v>
      </c>
      <c r="F287" s="2">
        <v>8.6471</v>
      </c>
      <c r="G287" s="2">
        <v>2.0518000000000001</v>
      </c>
      <c r="H287" s="2">
        <v>0.41549999999999998</v>
      </c>
      <c r="I287" s="2">
        <v>0.1933</v>
      </c>
      <c r="J287">
        <f>0.0525445309954508*(100)</f>
        <v>5.2544530995450796</v>
      </c>
      <c r="K287">
        <f>0.414230520244006*(100)</f>
        <v>41.423052024400597</v>
      </c>
      <c r="L287" s="2">
        <v>7.8404999999999996</v>
      </c>
      <c r="M287" s="2">
        <v>4.5138999999999996</v>
      </c>
      <c r="N287" s="2">
        <v>1.1847000000000001</v>
      </c>
      <c r="O287" s="2">
        <v>0.78610000000000002</v>
      </c>
      <c r="P287" s="2">
        <v>47.516300000000001</v>
      </c>
      <c r="Q287" s="2">
        <v>-1.6314</v>
      </c>
      <c r="R287" s="2">
        <v>71.584701868206494</v>
      </c>
      <c r="S287" s="2">
        <v>-7.1813971128327001</v>
      </c>
      <c r="T287" s="2">
        <v>25.9995712678943</v>
      </c>
      <c r="U287" s="2">
        <v>43.578299999999999</v>
      </c>
      <c r="V287" s="2">
        <v>8.1659479365522607</v>
      </c>
      <c r="W287" s="2">
        <v>0.84843972509702603</v>
      </c>
      <c r="X287" s="2">
        <v>96.967001279776298</v>
      </c>
      <c r="Y287" s="2">
        <v>22.106877947035901</v>
      </c>
      <c r="Z287" s="4">
        <v>7.3</v>
      </c>
      <c r="AA287" s="4">
        <v>12.2</v>
      </c>
      <c r="AB287" s="2">
        <v>2</v>
      </c>
      <c r="AC287" s="2">
        <v>16.899999999999999</v>
      </c>
      <c r="AD287" s="2">
        <v>6.7000000000000028</v>
      </c>
      <c r="AE287" s="2">
        <v>0</v>
      </c>
    </row>
    <row r="288" spans="1:31" x14ac:dyDescent="0.25">
      <c r="A288" s="2" t="s">
        <v>408</v>
      </c>
      <c r="B288" s="2">
        <v>2015</v>
      </c>
      <c r="C288" s="2" t="s">
        <v>409</v>
      </c>
      <c r="D288" s="2" t="s">
        <v>310</v>
      </c>
      <c r="E288" s="2">
        <v>3.8793000000000002</v>
      </c>
      <c r="F288" s="2">
        <v>1.6557999999999999</v>
      </c>
      <c r="G288" s="2">
        <v>-1.2687999999999999</v>
      </c>
      <c r="H288" s="2">
        <v>0.79730000000000001</v>
      </c>
      <c r="I288" s="2">
        <v>0.59389999999999998</v>
      </c>
      <c r="J288">
        <f>0.451244615493839*(100)</f>
        <v>45.124461549383895</v>
      </c>
      <c r="K288">
        <f>0.201529062095052*(100)</f>
        <v>20.152906209505201</v>
      </c>
      <c r="L288" s="2">
        <v>7.1961000000000004</v>
      </c>
      <c r="M288" s="2">
        <v>3.2239</v>
      </c>
      <c r="N288" s="2">
        <v>1.0047999999999999</v>
      </c>
      <c r="O288" s="2">
        <v>0.6008</v>
      </c>
      <c r="P288" s="2">
        <v>39.100099999999998</v>
      </c>
      <c r="Q288" s="2">
        <v>-19.221599999999999</v>
      </c>
      <c r="R288" s="2">
        <v>-67.165331106117804</v>
      </c>
      <c r="S288" s="2">
        <v>4.8063148077826199</v>
      </c>
      <c r="T288" s="2">
        <v>-1.85093124917204</v>
      </c>
      <c r="U288" s="2">
        <v>52.446199999999997</v>
      </c>
      <c r="V288" s="2">
        <v>25.074078563600999</v>
      </c>
      <c r="W288" s="2">
        <v>0.87491363255805599</v>
      </c>
      <c r="X288" s="2">
        <v>86.924567673562009</v>
      </c>
      <c r="Y288" s="2">
        <v>19.410164798184102</v>
      </c>
      <c r="Z288" s="4">
        <v>6.9099999999999993</v>
      </c>
      <c r="AA288" s="4">
        <v>13.3</v>
      </c>
      <c r="AB288" s="2">
        <v>1.4</v>
      </c>
      <c r="AC288" s="2">
        <v>17.600000000000001</v>
      </c>
      <c r="AD288" s="2">
        <v>9.7000000000000028</v>
      </c>
      <c r="AE288" s="2">
        <v>0</v>
      </c>
    </row>
    <row r="289" spans="1:31" x14ac:dyDescent="0.25">
      <c r="A289" s="2" t="s">
        <v>408</v>
      </c>
      <c r="B289" s="2">
        <v>2016</v>
      </c>
      <c r="C289" s="2" t="s">
        <v>409</v>
      </c>
      <c r="D289" s="2" t="s">
        <v>310</v>
      </c>
      <c r="E289" s="2">
        <v>3.1457000000000002</v>
      </c>
      <c r="F289" s="2">
        <v>1.9329000000000001</v>
      </c>
      <c r="G289" s="2">
        <v>2.0817000000000001</v>
      </c>
      <c r="H289" s="2">
        <v>0.4335</v>
      </c>
      <c r="I289" s="2">
        <v>0.26919999999999999</v>
      </c>
      <c r="J289">
        <f>0.123375350105853*(100)</f>
        <v>12.337535010585301</v>
      </c>
      <c r="K289">
        <f>0.128040597996015*(100)</f>
        <v>12.8040597996015</v>
      </c>
      <c r="L289" s="2">
        <v>7.3137999999999996</v>
      </c>
      <c r="M289" s="2">
        <v>2.9683999999999999</v>
      </c>
      <c r="N289" s="2">
        <v>0.96199999999999997</v>
      </c>
      <c r="O289" s="2">
        <v>0.51219999999999999</v>
      </c>
      <c r="P289" s="2">
        <v>37.194899999999997</v>
      </c>
      <c r="Q289" s="2">
        <v>-3.0286</v>
      </c>
      <c r="R289" s="2">
        <v>-10.814910352346001</v>
      </c>
      <c r="S289" s="2">
        <v>6.3636478223357003</v>
      </c>
      <c r="T289" s="2">
        <v>1.7567673630798599</v>
      </c>
      <c r="U289" s="2">
        <v>54.119199999999999</v>
      </c>
      <c r="V289" s="2">
        <v>24.224763144061299</v>
      </c>
      <c r="W289" s="2">
        <v>0.87901317851606697</v>
      </c>
      <c r="X289" s="2">
        <v>94.350422978568304</v>
      </c>
      <c r="Y289" s="2">
        <v>13.945924787201101</v>
      </c>
      <c r="Z289" s="4">
        <v>6.7</v>
      </c>
      <c r="AA289" s="4">
        <v>11.3</v>
      </c>
      <c r="AB289" s="2">
        <v>2</v>
      </c>
      <c r="AC289" s="2">
        <v>15.9</v>
      </c>
      <c r="AD289" s="2">
        <v>9.7999999999999972</v>
      </c>
      <c r="AE289" s="2">
        <v>0</v>
      </c>
    </row>
    <row r="290" spans="1:31" x14ac:dyDescent="0.25">
      <c r="A290" s="2" t="s">
        <v>408</v>
      </c>
      <c r="B290" s="2">
        <v>2020</v>
      </c>
      <c r="C290" s="2" t="s">
        <v>409</v>
      </c>
      <c r="D290" s="2" t="s">
        <v>310</v>
      </c>
      <c r="E290" s="2">
        <v>9.0597999999999992</v>
      </c>
      <c r="F290" s="2">
        <v>15.9679</v>
      </c>
      <c r="G290" s="2">
        <v>26.013500000000001</v>
      </c>
      <c r="H290" s="2">
        <v>0.75849999999999995</v>
      </c>
      <c r="I290" s="2">
        <v>0.75509999999999999</v>
      </c>
      <c r="J290">
        <f>0.527255484522238*(100)</f>
        <v>52.725548452223805</v>
      </c>
      <c r="K290">
        <f>0.118271702437918*(100)</f>
        <v>11.8271702437918</v>
      </c>
      <c r="L290" s="2">
        <v>98.557900000000004</v>
      </c>
      <c r="M290" s="2">
        <v>1.76</v>
      </c>
      <c r="N290" s="2">
        <v>0.57509999999999994</v>
      </c>
      <c r="O290" s="2">
        <v>0.30430000000000001</v>
      </c>
      <c r="P290" s="2">
        <v>18.775200000000002</v>
      </c>
      <c r="Q290" s="2">
        <v>50.366900000000001</v>
      </c>
      <c r="R290" s="2">
        <v>0.228030114837034</v>
      </c>
      <c r="S290" s="2">
        <v>46.885352492462999</v>
      </c>
      <c r="T290" s="2">
        <v>55.536481103444899</v>
      </c>
      <c r="U290" s="2">
        <v>60.456299999999999</v>
      </c>
      <c r="V290" s="2">
        <v>34.021520410189098</v>
      </c>
      <c r="W290" s="2">
        <v>0.90779148647378405</v>
      </c>
      <c r="X290" s="2">
        <v>55.831603341176908</v>
      </c>
      <c r="Y290" s="2">
        <v>28.027882052953501</v>
      </c>
      <c r="Z290" s="4">
        <v>2.2999999999999998</v>
      </c>
      <c r="AA290" s="4">
        <v>10.100000000000001</v>
      </c>
      <c r="AB290" s="2">
        <v>2.5</v>
      </c>
      <c r="AC290" s="2">
        <v>16.100000000000001</v>
      </c>
      <c r="AD290" s="2">
        <v>2.4000000000000057</v>
      </c>
      <c r="AE290" s="2">
        <v>0</v>
      </c>
    </row>
    <row r="291" spans="1:31" x14ac:dyDescent="0.25">
      <c r="A291" s="2" t="s">
        <v>408</v>
      </c>
      <c r="B291" s="2">
        <v>2021</v>
      </c>
      <c r="C291" s="2" t="s">
        <v>409</v>
      </c>
      <c r="D291" s="2" t="s">
        <v>310</v>
      </c>
      <c r="E291" s="2">
        <v>9.0988000000000007</v>
      </c>
      <c r="F291" s="2">
        <v>18.692</v>
      </c>
      <c r="G291" s="2">
        <v>23.559899999999999</v>
      </c>
      <c r="H291" s="2">
        <v>0.81210000000000004</v>
      </c>
      <c r="I291" s="2">
        <v>0.80500000000000005</v>
      </c>
      <c r="J291">
        <f>0.251344870295844*(100)</f>
        <v>25.134487029584403</v>
      </c>
      <c r="K291">
        <f>0.0826552637067014*(100)</f>
        <v>8.2655263706701394</v>
      </c>
      <c r="L291" s="2">
        <v>51.779000000000003</v>
      </c>
      <c r="M291" s="2">
        <v>1.6611</v>
      </c>
      <c r="N291" s="2">
        <v>1.0012000000000001</v>
      </c>
      <c r="O291" s="2">
        <v>0.32140000000000002</v>
      </c>
      <c r="P291" s="2">
        <v>10.0786</v>
      </c>
      <c r="Q291" s="2">
        <v>65.558999999999997</v>
      </c>
      <c r="R291" s="2">
        <v>57.709674430584798</v>
      </c>
      <c r="S291" s="2">
        <v>61.204962198733199</v>
      </c>
      <c r="T291" s="2">
        <v>18.236566897471899</v>
      </c>
      <c r="U291" s="2">
        <v>70.816699999999997</v>
      </c>
      <c r="V291" s="2">
        <v>47.524441084425703</v>
      </c>
      <c r="W291" s="2">
        <v>1.1629835945089799</v>
      </c>
      <c r="X291" s="2">
        <v>51.718245239938199</v>
      </c>
      <c r="Y291" s="2">
        <v>22.604994547136702</v>
      </c>
      <c r="Z291" s="4">
        <v>8.4</v>
      </c>
      <c r="AA291" s="4">
        <v>9</v>
      </c>
      <c r="AB291" s="2">
        <v>0.9</v>
      </c>
      <c r="AC291" s="2">
        <v>20.9</v>
      </c>
      <c r="AD291" s="2">
        <v>9.0999999999999943</v>
      </c>
      <c r="AE291" s="2">
        <v>0</v>
      </c>
    </row>
    <row r="292" spans="1:31" x14ac:dyDescent="0.25">
      <c r="A292" s="2" t="s">
        <v>410</v>
      </c>
      <c r="B292" s="2">
        <v>2014</v>
      </c>
      <c r="C292" s="2" t="s">
        <v>411</v>
      </c>
      <c r="D292" s="2" t="s">
        <v>310</v>
      </c>
      <c r="E292" s="2">
        <v>7.4725000000000001</v>
      </c>
      <c r="F292" s="2">
        <v>11.967599999999999</v>
      </c>
      <c r="G292" s="2">
        <v>15.5022</v>
      </c>
      <c r="H292" s="2">
        <v>2.1808000000000001</v>
      </c>
      <c r="I292" s="2">
        <v>1.2072000000000001</v>
      </c>
      <c r="J292">
        <f>0.574074023348762*(100)</f>
        <v>57.407402334876203</v>
      </c>
      <c r="K292">
        <f>-0.0413166972681993*(100)</f>
        <v>-4.1316697268199301</v>
      </c>
      <c r="L292" s="2">
        <v>0.59870000000000001</v>
      </c>
      <c r="M292" s="2">
        <v>0.39169999999999999</v>
      </c>
      <c r="N292" s="2">
        <v>106.6246</v>
      </c>
      <c r="O292" s="2">
        <v>0.37340000000000001</v>
      </c>
      <c r="P292" s="2">
        <v>1.4346000000000001</v>
      </c>
      <c r="Q292" s="2">
        <v>-5.8193999999999999</v>
      </c>
      <c r="R292" s="2">
        <v>-28.462148290066398</v>
      </c>
      <c r="S292" s="2">
        <v>8.8872259131626006</v>
      </c>
      <c r="T292" s="2">
        <v>11.2161471412357</v>
      </c>
      <c r="U292" s="2">
        <v>56.219799999999999</v>
      </c>
      <c r="V292" s="2">
        <v>12.710775279932198</v>
      </c>
      <c r="W292" s="2">
        <v>131.96502629732899</v>
      </c>
      <c r="X292" s="2">
        <v>73.249623066192811</v>
      </c>
      <c r="Y292" s="2">
        <v>-6.4855709186220993</v>
      </c>
      <c r="Z292" s="4">
        <v>7.3</v>
      </c>
      <c r="AA292" s="4">
        <v>12.2</v>
      </c>
      <c r="AB292" s="2">
        <v>2</v>
      </c>
      <c r="AC292" s="2">
        <v>16.899999999999999</v>
      </c>
      <c r="AD292" s="2">
        <v>6.7000000000000028</v>
      </c>
      <c r="AE292" s="2">
        <v>0</v>
      </c>
    </row>
    <row r="293" spans="1:31" x14ac:dyDescent="0.25">
      <c r="A293" s="2" t="s">
        <v>410</v>
      </c>
      <c r="B293" s="2">
        <v>2015</v>
      </c>
      <c r="C293" s="2" t="s">
        <v>411</v>
      </c>
      <c r="D293" s="2" t="s">
        <v>310</v>
      </c>
      <c r="E293" s="2">
        <v>5.9156000000000004</v>
      </c>
      <c r="F293" s="2">
        <v>10.074199999999999</v>
      </c>
      <c r="G293" s="2">
        <v>12.899800000000001</v>
      </c>
      <c r="H293" s="2">
        <v>1.4899</v>
      </c>
      <c r="I293" s="2">
        <v>0.76319999999999999</v>
      </c>
      <c r="J293">
        <f>0.312575255257883*(100)</f>
        <v>31.257525525788299</v>
      </c>
      <c r="K293">
        <f>0.0325589382553758*(100)</f>
        <v>3.25589382553758</v>
      </c>
      <c r="L293" s="2">
        <v>0.57879999999999998</v>
      </c>
      <c r="M293" s="2">
        <v>0.40110000000000001</v>
      </c>
      <c r="N293" s="2">
        <v>12.022399999999999</v>
      </c>
      <c r="O293" s="2">
        <v>0.3498</v>
      </c>
      <c r="P293" s="2">
        <v>1.5032000000000001</v>
      </c>
      <c r="Q293" s="2">
        <v>14.891</v>
      </c>
      <c r="R293" s="2">
        <v>-6.6899024964526701</v>
      </c>
      <c r="S293" s="2">
        <v>35.433187937310997</v>
      </c>
      <c r="T293" s="2">
        <v>9.6530049800599702</v>
      </c>
      <c r="U293" s="2">
        <v>63.829900000000002</v>
      </c>
      <c r="V293" s="2">
        <v>9.0875345934753611</v>
      </c>
      <c r="W293" s="2">
        <v>7.5144685941022704</v>
      </c>
      <c r="X293" s="2">
        <v>80.352993896591101</v>
      </c>
      <c r="Y293" s="2">
        <v>6.8347629669367809</v>
      </c>
      <c r="Z293" s="4">
        <v>6.9099999999999993</v>
      </c>
      <c r="AA293" s="4">
        <v>13.3</v>
      </c>
      <c r="AB293" s="2">
        <v>1.4</v>
      </c>
      <c r="AC293" s="2">
        <v>17.600000000000001</v>
      </c>
      <c r="AD293" s="2">
        <v>9.7000000000000028</v>
      </c>
      <c r="AE293" s="2">
        <v>0</v>
      </c>
    </row>
    <row r="294" spans="1:31" x14ac:dyDescent="0.25">
      <c r="A294" s="2" t="s">
        <v>412</v>
      </c>
      <c r="B294" s="2">
        <v>2014</v>
      </c>
      <c r="C294" s="2" t="s">
        <v>413</v>
      </c>
      <c r="D294" s="2" t="s">
        <v>310</v>
      </c>
      <c r="E294" s="2">
        <v>7.2918000000000003</v>
      </c>
      <c r="F294" s="2">
        <v>11.632899999999999</v>
      </c>
      <c r="G294" s="2">
        <v>23.9815</v>
      </c>
      <c r="H294" s="2">
        <v>1.0088999999999999</v>
      </c>
      <c r="I294" s="2">
        <v>0.91379999999999995</v>
      </c>
      <c r="J294">
        <f>0.326147033378502*(100)</f>
        <v>32.614703337850202</v>
      </c>
      <c r="K294">
        <f>0.0920211735923846*(100)</f>
        <v>9.2021173592384606</v>
      </c>
      <c r="L294" s="2">
        <v>6.3465999999999996</v>
      </c>
      <c r="M294" s="2">
        <v>0.84519999999999995</v>
      </c>
      <c r="N294" s="2">
        <v>0.86880000000000002</v>
      </c>
      <c r="O294" s="2">
        <v>0.30170000000000002</v>
      </c>
      <c r="P294" s="2">
        <v>3.5994000000000002</v>
      </c>
      <c r="Q294" s="2">
        <v>66.500100000000003</v>
      </c>
      <c r="R294" s="2">
        <v>54.616031826812304</v>
      </c>
      <c r="S294" s="2">
        <v>29.699508023801499</v>
      </c>
      <c r="T294" s="2">
        <v>8.5523792800628708</v>
      </c>
      <c r="U294" s="2">
        <v>45.878700000000002</v>
      </c>
      <c r="V294" s="2">
        <v>14.2055933846364</v>
      </c>
      <c r="W294" s="2">
        <v>1.49821463019903</v>
      </c>
      <c r="X294" s="2">
        <v>78.294335382069107</v>
      </c>
      <c r="Y294" s="2">
        <v>15.907288121723701</v>
      </c>
      <c r="Z294" s="4">
        <v>7.3</v>
      </c>
      <c r="AA294" s="4">
        <v>12.2</v>
      </c>
      <c r="AB294" s="2">
        <v>2</v>
      </c>
      <c r="AC294" s="2">
        <v>16.899999999999999</v>
      </c>
      <c r="AD294" s="2">
        <v>6.7000000000000028</v>
      </c>
      <c r="AE294" s="2">
        <v>0</v>
      </c>
    </row>
    <row r="295" spans="1:31" x14ac:dyDescent="0.25">
      <c r="A295" s="2" t="s">
        <v>414</v>
      </c>
      <c r="B295" s="2">
        <v>2014</v>
      </c>
      <c r="C295" s="2" t="s">
        <v>415</v>
      </c>
      <c r="D295" s="2" t="s">
        <v>310</v>
      </c>
      <c r="E295" s="2">
        <v>8.2614999999999998</v>
      </c>
      <c r="F295" s="2">
        <v>10.7432</v>
      </c>
      <c r="G295" s="2">
        <v>14.8101</v>
      </c>
      <c r="H295" s="2">
        <v>1.7011000000000001</v>
      </c>
      <c r="I295" s="2">
        <v>1.4731000000000001</v>
      </c>
      <c r="J295">
        <f>0.841577420157426*(100)</f>
        <v>84.157742015742599</v>
      </c>
      <c r="K295">
        <f>0.0771055081560943*(100)</f>
        <v>7.7105508156094293</v>
      </c>
      <c r="L295" s="2">
        <v>5.0744999999999996</v>
      </c>
      <c r="M295" s="2">
        <v>1.0588</v>
      </c>
      <c r="N295" s="2">
        <v>2.972</v>
      </c>
      <c r="O295" s="2">
        <v>0.49619999999999997</v>
      </c>
      <c r="P295" s="2">
        <v>6.2899000000000003</v>
      </c>
      <c r="Q295" s="2">
        <v>29.5136</v>
      </c>
      <c r="R295" s="2">
        <v>15.9372854235269</v>
      </c>
      <c r="S295" s="2">
        <v>52.579506221895002</v>
      </c>
      <c r="T295" s="2">
        <v>8.9469844331121795</v>
      </c>
      <c r="U295" s="2">
        <v>43.063000000000002</v>
      </c>
      <c r="V295" s="2">
        <v>16.637876950277199</v>
      </c>
      <c r="W295" s="2">
        <v>3.5930948514430399</v>
      </c>
      <c r="X295" s="2">
        <v>97.639073313039106</v>
      </c>
      <c r="Y295" s="2">
        <v>8.0848094412562492</v>
      </c>
      <c r="Z295" s="4">
        <v>7.3</v>
      </c>
      <c r="AA295" s="4">
        <v>12.2</v>
      </c>
      <c r="AB295" s="2">
        <v>2</v>
      </c>
      <c r="AC295" s="2">
        <v>16.899999999999999</v>
      </c>
      <c r="AD295" s="2">
        <v>6.7000000000000028</v>
      </c>
      <c r="AE295" s="2">
        <v>0</v>
      </c>
    </row>
    <row r="296" spans="1:31" x14ac:dyDescent="0.25">
      <c r="A296" s="2" t="s">
        <v>414</v>
      </c>
      <c r="B296" s="2">
        <v>2015</v>
      </c>
      <c r="C296" s="2" t="s">
        <v>415</v>
      </c>
      <c r="D296" s="2" t="s">
        <v>310</v>
      </c>
      <c r="E296" s="2">
        <v>8.7507999999999999</v>
      </c>
      <c r="F296" s="2">
        <v>12.8009</v>
      </c>
      <c r="G296" s="2">
        <v>15.0634</v>
      </c>
      <c r="H296" s="2">
        <v>0.89590000000000003</v>
      </c>
      <c r="I296" s="2">
        <v>0.79200000000000004</v>
      </c>
      <c r="J296">
        <f>0.345808076383608*(100)</f>
        <v>34.580807638360803</v>
      </c>
      <c r="K296">
        <f>0.0657254394126726*(100)</f>
        <v>6.5725439412672602</v>
      </c>
      <c r="L296" s="2">
        <v>5.7032999999999996</v>
      </c>
      <c r="M296" s="2">
        <v>1.0530999999999999</v>
      </c>
      <c r="N296" s="2">
        <v>2.2993000000000001</v>
      </c>
      <c r="O296" s="2">
        <v>0.4118</v>
      </c>
      <c r="P296" s="2">
        <v>4.0716999999999999</v>
      </c>
      <c r="Q296" s="2">
        <v>15.606400000000001</v>
      </c>
      <c r="R296" s="2">
        <v>36.360476289385502</v>
      </c>
      <c r="S296" s="2">
        <v>34.094004376769902</v>
      </c>
      <c r="T296" s="2">
        <v>12.7263929537314</v>
      </c>
      <c r="U296" s="2">
        <v>51.841000000000001</v>
      </c>
      <c r="V296" s="2">
        <v>13.057398417768601</v>
      </c>
      <c r="W296" s="2">
        <v>2.4762539281700402</v>
      </c>
      <c r="X296" s="2">
        <v>102.48845699640401</v>
      </c>
      <c r="Y296" s="2">
        <v>9.4791818979579006</v>
      </c>
      <c r="Z296" s="4">
        <v>6.9099999999999993</v>
      </c>
      <c r="AA296" s="4">
        <v>13.3</v>
      </c>
      <c r="AB296" s="2">
        <v>1.4</v>
      </c>
      <c r="AC296" s="2">
        <v>17.600000000000001</v>
      </c>
      <c r="AD296" s="2">
        <v>9.7000000000000028</v>
      </c>
      <c r="AE296" s="2">
        <v>0</v>
      </c>
    </row>
    <row r="297" spans="1:31" x14ac:dyDescent="0.25">
      <c r="A297" s="2" t="s">
        <v>416</v>
      </c>
      <c r="B297" s="2">
        <v>2019</v>
      </c>
      <c r="C297" s="2" t="s">
        <v>417</v>
      </c>
      <c r="D297" s="2" t="s">
        <v>310</v>
      </c>
      <c r="E297" s="2">
        <v>7.1151999999999997</v>
      </c>
      <c r="F297" s="2">
        <v>14.728199999999999</v>
      </c>
      <c r="G297" s="2">
        <v>17.305299999999999</v>
      </c>
      <c r="H297" s="2">
        <v>0.48770000000000002</v>
      </c>
      <c r="I297" s="2">
        <v>0.43469999999999998</v>
      </c>
      <c r="J297">
        <f>0.148290102176704*(100)</f>
        <v>14.829010217670399</v>
      </c>
      <c r="K297">
        <f>0.0950057525689669*(100)</f>
        <v>9.5005752568966901</v>
      </c>
      <c r="L297" s="2">
        <v>16.592500000000001</v>
      </c>
      <c r="M297" s="2">
        <v>2.1808999999999998</v>
      </c>
      <c r="N297" s="2">
        <v>1.5513999999999999</v>
      </c>
      <c r="O297" s="2">
        <v>0.32800000000000001</v>
      </c>
      <c r="P297" s="2">
        <v>9.3239999999999998</v>
      </c>
      <c r="Q297" s="2">
        <v>27.171500000000002</v>
      </c>
      <c r="R297" s="2">
        <v>3.0787283484104302</v>
      </c>
      <c r="S297" s="2">
        <v>27.538569459471599</v>
      </c>
      <c r="T297" s="2">
        <v>11.859156633213599</v>
      </c>
      <c r="U297" s="2">
        <v>66.156400000000005</v>
      </c>
      <c r="V297" s="2">
        <v>34.378741331119301</v>
      </c>
      <c r="W297" s="2">
        <v>1.55398177052338</v>
      </c>
      <c r="X297" s="2">
        <v>87.922853678294899</v>
      </c>
      <c r="Y297" s="2">
        <v>21.499184829649902</v>
      </c>
      <c r="Z297" s="4">
        <v>6</v>
      </c>
      <c r="AA297" s="4">
        <v>8.6999999999999993</v>
      </c>
      <c r="AB297" s="2">
        <v>2.9</v>
      </c>
      <c r="AC297" s="2">
        <v>15.6</v>
      </c>
      <c r="AD297" s="2">
        <v>4.7999999999999972</v>
      </c>
      <c r="AE297" s="2">
        <v>0</v>
      </c>
    </row>
    <row r="298" spans="1:31" x14ac:dyDescent="0.25">
      <c r="A298" s="2" t="s">
        <v>416</v>
      </c>
      <c r="B298" s="2">
        <v>2020</v>
      </c>
      <c r="C298" s="2" t="s">
        <v>417</v>
      </c>
      <c r="D298" s="2" t="s">
        <v>310</v>
      </c>
      <c r="E298" s="2">
        <v>7.0507999999999997</v>
      </c>
      <c r="F298" s="2">
        <v>14.9832</v>
      </c>
      <c r="G298" s="2">
        <v>17.341999999999999</v>
      </c>
      <c r="H298" s="2">
        <v>0.47610000000000002</v>
      </c>
      <c r="I298" s="2">
        <v>0.40510000000000002</v>
      </c>
      <c r="J298">
        <f>0.130516482010303*(100)</f>
        <v>13.0516482010303</v>
      </c>
      <c r="K298">
        <f>0.116703876615688*(100)</f>
        <v>11.6703876615688</v>
      </c>
      <c r="L298" s="2">
        <v>9.5023</v>
      </c>
      <c r="M298" s="2">
        <v>2.1448999999999998</v>
      </c>
      <c r="N298" s="2">
        <v>1.4691000000000001</v>
      </c>
      <c r="O298" s="2">
        <v>0.32529999999999998</v>
      </c>
      <c r="P298" s="2">
        <v>7.7351999999999999</v>
      </c>
      <c r="Q298" s="2">
        <v>21.435199999999998</v>
      </c>
      <c r="R298" s="2">
        <v>17.0472971908052</v>
      </c>
      <c r="S298" s="2">
        <v>18.309611265303399</v>
      </c>
      <c r="T298" s="2">
        <v>15.2388063215946</v>
      </c>
      <c r="U298" s="2">
        <v>67.224900000000005</v>
      </c>
      <c r="V298" s="2">
        <v>35.963056436231298</v>
      </c>
      <c r="W298" s="2">
        <v>1.4600349156475501</v>
      </c>
      <c r="X298" s="2">
        <v>81.328296316351199</v>
      </c>
      <c r="Y298" s="2">
        <v>26.1417018928861</v>
      </c>
      <c r="Z298" s="4">
        <v>2.2999999999999998</v>
      </c>
      <c r="AA298" s="4">
        <v>10.100000000000001</v>
      </c>
      <c r="AB298" s="2">
        <v>2.5</v>
      </c>
      <c r="AC298" s="2">
        <v>16.100000000000001</v>
      </c>
      <c r="AD298" s="2">
        <v>2.4000000000000057</v>
      </c>
      <c r="AE298" s="2">
        <v>0</v>
      </c>
    </row>
    <row r="299" spans="1:31" x14ac:dyDescent="0.25">
      <c r="A299" s="2" t="s">
        <v>416</v>
      </c>
      <c r="B299" s="2">
        <v>2021</v>
      </c>
      <c r="C299" s="2" t="s">
        <v>417</v>
      </c>
      <c r="D299" s="2" t="s">
        <v>310</v>
      </c>
      <c r="E299" s="2">
        <v>7.0063000000000004</v>
      </c>
      <c r="F299" s="2">
        <v>13.3247</v>
      </c>
      <c r="G299" s="2">
        <v>11.9793</v>
      </c>
      <c r="H299" s="2">
        <v>0.63849999999999996</v>
      </c>
      <c r="I299" s="2">
        <v>0.60289999999999999</v>
      </c>
      <c r="J299">
        <f>0.172231138903954*(100)</f>
        <v>17.2231138903954</v>
      </c>
      <c r="K299">
        <f>0.0468599991269288*(100)</f>
        <v>4.6859999126928802</v>
      </c>
      <c r="L299" s="2">
        <v>12.2064</v>
      </c>
      <c r="M299" s="2">
        <v>2.7528000000000001</v>
      </c>
      <c r="N299" s="2">
        <v>2.1526999999999998</v>
      </c>
      <c r="O299" s="2">
        <v>0.4345</v>
      </c>
      <c r="P299" s="2">
        <v>8.5388999999999999</v>
      </c>
      <c r="Q299" s="2">
        <v>57.426099999999998</v>
      </c>
      <c r="R299" s="2">
        <v>12.1399540821422</v>
      </c>
      <c r="S299" s="2">
        <v>17.447893713104701</v>
      </c>
      <c r="T299" s="2">
        <v>31.056890433030201</v>
      </c>
      <c r="U299" s="2">
        <v>64.015600000000006</v>
      </c>
      <c r="V299" s="2">
        <v>38.097362841509799</v>
      </c>
      <c r="W299" s="2">
        <v>1.97109193117716</v>
      </c>
      <c r="X299" s="2">
        <v>75.3094014579125</v>
      </c>
      <c r="Y299" s="2">
        <v>7.4579562737359799</v>
      </c>
      <c r="Z299" s="4">
        <v>8.4</v>
      </c>
      <c r="AA299" s="4">
        <v>9</v>
      </c>
      <c r="AB299" s="2">
        <v>0.9</v>
      </c>
      <c r="AC299" s="2">
        <v>20.9</v>
      </c>
      <c r="AD299" s="2">
        <v>9.0999999999999943</v>
      </c>
      <c r="AE299" s="2">
        <v>0</v>
      </c>
    </row>
    <row r="300" spans="1:31" x14ac:dyDescent="0.25">
      <c r="A300" s="2" t="s">
        <v>418</v>
      </c>
      <c r="B300" s="2">
        <v>2018</v>
      </c>
      <c r="C300" s="2" t="s">
        <v>419</v>
      </c>
      <c r="D300" s="2" t="s">
        <v>331</v>
      </c>
      <c r="E300" s="2">
        <v>10.994199999999999</v>
      </c>
      <c r="F300" s="2">
        <v>16.6477</v>
      </c>
      <c r="G300" s="2">
        <v>28.8278</v>
      </c>
      <c r="H300" s="2">
        <v>1.9559</v>
      </c>
      <c r="I300" s="2">
        <v>1.6243000000000001</v>
      </c>
      <c r="J300">
        <f>0.464256407366606*(100)</f>
        <v>46.425640736660597</v>
      </c>
      <c r="K300">
        <f>-0.0220103089652984*(100)</f>
        <v>-2.20103089652984</v>
      </c>
      <c r="L300" s="2">
        <v>1.4471000000000001</v>
      </c>
      <c r="M300" s="2">
        <v>0.43880000000000002</v>
      </c>
      <c r="N300" s="2">
        <v>4.0975000000000001</v>
      </c>
      <c r="O300" s="2">
        <v>0.35310000000000002</v>
      </c>
      <c r="P300" s="2">
        <v>0.98370000000000002</v>
      </c>
      <c r="Q300" s="2">
        <v>21.402999999999999</v>
      </c>
      <c r="R300" s="2">
        <v>31.070289874735099</v>
      </c>
      <c r="S300" s="2">
        <v>70.072908499217505</v>
      </c>
      <c r="T300" s="2">
        <v>35.971532299157097</v>
      </c>
      <c r="U300" s="2">
        <v>46.3752</v>
      </c>
      <c r="V300" s="2">
        <v>5.9052178949519103</v>
      </c>
      <c r="W300" s="2">
        <v>6.3202041249322596</v>
      </c>
      <c r="X300" s="2">
        <v>64.875546728774196</v>
      </c>
      <c r="Y300" s="2">
        <v>-3.6405088396336001</v>
      </c>
      <c r="Z300" s="4">
        <v>6.6000000000000005</v>
      </c>
      <c r="AA300" s="4">
        <v>8.1</v>
      </c>
      <c r="AB300" s="2">
        <v>2.1</v>
      </c>
      <c r="AC300" s="2">
        <v>12.5</v>
      </c>
      <c r="AD300" s="2">
        <v>6.0999999999999943</v>
      </c>
      <c r="AE300" s="2">
        <v>0</v>
      </c>
    </row>
    <row r="301" spans="1:31" x14ac:dyDescent="0.25">
      <c r="A301" s="2" t="s">
        <v>418</v>
      </c>
      <c r="B301" s="2">
        <v>2019</v>
      </c>
      <c r="C301" s="2" t="s">
        <v>419</v>
      </c>
      <c r="D301" s="2" t="s">
        <v>331</v>
      </c>
      <c r="E301" s="2">
        <v>8.4018999999999995</v>
      </c>
      <c r="F301" s="2">
        <v>12.6212</v>
      </c>
      <c r="G301" s="2">
        <v>19.941400000000002</v>
      </c>
      <c r="H301" s="2">
        <v>2.3182999999999998</v>
      </c>
      <c r="I301" s="2">
        <v>1.9819</v>
      </c>
      <c r="J301">
        <f>0.565715251039444*(100)</f>
        <v>56.571525103944396</v>
      </c>
      <c r="K301">
        <f>0.156555936982492*(100)</f>
        <v>15.6555936982492</v>
      </c>
      <c r="L301" s="2">
        <v>1.8286</v>
      </c>
      <c r="M301" s="2">
        <v>0.49619999999999997</v>
      </c>
      <c r="N301" s="2">
        <v>4.4165000000000001</v>
      </c>
      <c r="O301" s="2">
        <v>0.38529999999999998</v>
      </c>
      <c r="P301" s="2">
        <v>0.96340000000000003</v>
      </c>
      <c r="Q301" s="2">
        <v>38.928600000000003</v>
      </c>
      <c r="R301" s="2">
        <v>-9.59650808397293</v>
      </c>
      <c r="S301" s="2">
        <v>1.84221675966096</v>
      </c>
      <c r="T301" s="2">
        <v>4.9605910999836498</v>
      </c>
      <c r="U301" s="2">
        <v>45.1374</v>
      </c>
      <c r="V301" s="2">
        <v>12.274198886664699</v>
      </c>
      <c r="W301" s="2">
        <v>6.12197791889625</v>
      </c>
      <c r="X301" s="2">
        <v>78.675539768001698</v>
      </c>
      <c r="Y301" s="2">
        <v>18.505376200748501</v>
      </c>
      <c r="Z301" s="4">
        <v>6</v>
      </c>
      <c r="AA301" s="4">
        <v>8.6999999999999993</v>
      </c>
      <c r="AB301" s="2">
        <v>2.9</v>
      </c>
      <c r="AC301" s="2">
        <v>15.6</v>
      </c>
      <c r="AD301" s="2">
        <v>4.7999999999999972</v>
      </c>
      <c r="AE301" s="2">
        <v>0</v>
      </c>
    </row>
    <row r="302" spans="1:31" x14ac:dyDescent="0.25">
      <c r="A302" s="2" t="s">
        <v>418</v>
      </c>
      <c r="B302" s="2">
        <v>2020</v>
      </c>
      <c r="C302" s="2" t="s">
        <v>419</v>
      </c>
      <c r="D302" s="2" t="s">
        <v>331</v>
      </c>
      <c r="E302" s="2">
        <v>8.2852999999999994</v>
      </c>
      <c r="F302" s="2">
        <v>13.3269</v>
      </c>
      <c r="G302" s="2">
        <v>19.0123</v>
      </c>
      <c r="H302" s="2">
        <v>2.1139999999999999</v>
      </c>
      <c r="I302" s="2">
        <v>1.8473999999999999</v>
      </c>
      <c r="J302">
        <f>0.616776009721036*(100)</f>
        <v>61.677600972103598</v>
      </c>
      <c r="K302">
        <f>0.104607621091091*(100)</f>
        <v>10.460762109109099</v>
      </c>
      <c r="L302" s="2">
        <v>1.2065999999999999</v>
      </c>
      <c r="M302" s="2">
        <v>0.5272</v>
      </c>
      <c r="N302" s="2">
        <v>4.9036</v>
      </c>
      <c r="O302" s="2">
        <v>0.4083</v>
      </c>
      <c r="P302" s="2">
        <v>1.2855000000000001</v>
      </c>
      <c r="Q302" s="2">
        <v>19.540400000000002</v>
      </c>
      <c r="R302" s="2">
        <v>13.904417347916301</v>
      </c>
      <c r="S302" s="2">
        <v>23.4394575341544</v>
      </c>
      <c r="T302" s="2">
        <v>9.8135875979290201</v>
      </c>
      <c r="U302" s="2">
        <v>51.2087</v>
      </c>
      <c r="V302" s="2">
        <v>14.099847414345401</v>
      </c>
      <c r="W302" s="2">
        <v>6.2462705780891996</v>
      </c>
      <c r="X302" s="2">
        <v>83.779244432753401</v>
      </c>
      <c r="Y302" s="2">
        <v>14.4970030221698</v>
      </c>
      <c r="Z302" s="4">
        <v>2.2999999999999998</v>
      </c>
      <c r="AA302" s="4">
        <v>10.100000000000001</v>
      </c>
      <c r="AB302" s="2">
        <v>2.5</v>
      </c>
      <c r="AC302" s="2">
        <v>16.100000000000001</v>
      </c>
      <c r="AD302" s="2">
        <v>2.4000000000000057</v>
      </c>
      <c r="AE302" s="2">
        <v>0</v>
      </c>
    </row>
    <row r="303" spans="1:31" x14ac:dyDescent="0.25">
      <c r="A303" s="2" t="s">
        <v>418</v>
      </c>
      <c r="B303" s="2">
        <v>2021</v>
      </c>
      <c r="C303" s="2" t="s">
        <v>419</v>
      </c>
      <c r="D303" s="2" t="s">
        <v>331</v>
      </c>
      <c r="E303" s="2">
        <v>7.4047999999999998</v>
      </c>
      <c r="F303" s="2">
        <v>12.454599999999999</v>
      </c>
      <c r="G303" s="2">
        <v>18.257100000000001</v>
      </c>
      <c r="H303" s="2">
        <v>2.1577000000000002</v>
      </c>
      <c r="I303" s="2">
        <v>1.8755999999999999</v>
      </c>
      <c r="J303">
        <f>0.587170317515388*(100)</f>
        <v>58.717031751538798</v>
      </c>
      <c r="K303">
        <f>0.0220046255175409*(100)</f>
        <v>2.2004625517540899</v>
      </c>
      <c r="L303" s="2">
        <v>0.94589999999999996</v>
      </c>
      <c r="M303" s="2">
        <v>0.48780000000000001</v>
      </c>
      <c r="N303" s="2">
        <v>4.1847000000000003</v>
      </c>
      <c r="O303" s="2">
        <v>0.37659999999999999</v>
      </c>
      <c r="P303" s="2">
        <v>1.3973</v>
      </c>
      <c r="Q303" s="2">
        <v>8.8110999999999997</v>
      </c>
      <c r="R303" s="2">
        <v>3.6787808996735198</v>
      </c>
      <c r="S303" s="2">
        <v>13.549061161544101</v>
      </c>
      <c r="T303" s="2">
        <v>14.3412984722281</v>
      </c>
      <c r="U303" s="2">
        <v>51.058</v>
      </c>
      <c r="V303" s="2">
        <v>15.789461565444499</v>
      </c>
      <c r="W303" s="2">
        <v>4.8727783808377696</v>
      </c>
      <c r="X303" s="2">
        <v>88.346931026181693</v>
      </c>
      <c r="Y303" s="2">
        <v>3.1729145728601202</v>
      </c>
      <c r="Z303" s="4">
        <v>8.4</v>
      </c>
      <c r="AA303" s="4">
        <v>9</v>
      </c>
      <c r="AB303" s="2">
        <v>0.9</v>
      </c>
      <c r="AC303" s="2">
        <v>20.9</v>
      </c>
      <c r="AD303" s="2">
        <v>9.0999999999999943</v>
      </c>
      <c r="AE303" s="2">
        <v>0</v>
      </c>
    </row>
    <row r="304" spans="1:31" x14ac:dyDescent="0.25">
      <c r="A304" s="2" t="s">
        <v>420</v>
      </c>
      <c r="B304" s="2">
        <v>2014</v>
      </c>
      <c r="C304" s="2" t="s">
        <v>421</v>
      </c>
      <c r="D304" s="2" t="s">
        <v>314</v>
      </c>
      <c r="E304" s="2">
        <v>2.7686000000000002</v>
      </c>
      <c r="F304" s="2">
        <v>5.0880000000000001</v>
      </c>
      <c r="G304" s="2">
        <v>0.37390000000000001</v>
      </c>
      <c r="H304" s="2">
        <v>0.51470000000000005</v>
      </c>
      <c r="I304" s="2">
        <v>0.48399999999999999</v>
      </c>
      <c r="J304">
        <f>0.338460969566986*(100)</f>
        <v>33.846096956698602</v>
      </c>
      <c r="K304">
        <f>0.103945043081218*(100)</f>
        <v>10.394504308121801</v>
      </c>
      <c r="L304" s="2">
        <v>57.527799999999999</v>
      </c>
      <c r="M304" s="2">
        <v>4.4747000000000003</v>
      </c>
      <c r="N304" s="2">
        <v>0.85540000000000005</v>
      </c>
      <c r="O304" s="2">
        <v>0.61050000000000004</v>
      </c>
      <c r="P304" s="2">
        <v>44.047600000000003</v>
      </c>
      <c r="Q304" s="2">
        <v>10.185499999999999</v>
      </c>
      <c r="R304" s="2">
        <v>-8.7202718006794999</v>
      </c>
      <c r="S304" s="2">
        <v>14.8669351176239</v>
      </c>
      <c r="T304" s="2">
        <v>4.1448197076657198</v>
      </c>
      <c r="U304" s="2">
        <v>76.660700000000006</v>
      </c>
      <c r="V304" s="2">
        <v>48.151174560330702</v>
      </c>
      <c r="W304" s="2">
        <v>0.332034835560929</v>
      </c>
      <c r="X304" s="2">
        <v>108.12737159897701</v>
      </c>
      <c r="Y304" s="2">
        <v>12.528505350235001</v>
      </c>
      <c r="Z304" s="4">
        <v>7.3</v>
      </c>
      <c r="AA304" s="4">
        <v>12.2</v>
      </c>
      <c r="AB304" s="2">
        <v>2</v>
      </c>
      <c r="AC304" s="2">
        <v>16.899999999999999</v>
      </c>
      <c r="AD304" s="2">
        <v>6.9000000000000057</v>
      </c>
      <c r="AE304" s="2">
        <v>0</v>
      </c>
    </row>
    <row r="305" spans="1:31" x14ac:dyDescent="0.25">
      <c r="A305" s="2" t="s">
        <v>420</v>
      </c>
      <c r="B305" s="2">
        <v>2015</v>
      </c>
      <c r="C305" s="2" t="s">
        <v>421</v>
      </c>
      <c r="D305" s="2" t="s">
        <v>314</v>
      </c>
      <c r="E305" s="2">
        <v>4.4027000000000003</v>
      </c>
      <c r="F305" s="2">
        <v>10.3355</v>
      </c>
      <c r="G305" s="2">
        <v>2.3540999999999999</v>
      </c>
      <c r="H305" s="2">
        <v>0.22</v>
      </c>
      <c r="I305" s="2">
        <v>0.19550000000000001</v>
      </c>
      <c r="J305">
        <f>0.08306884765625*(100)</f>
        <v>8.306884765625</v>
      </c>
      <c r="K305">
        <f>0.188129677999956*(100)</f>
        <v>18.812967799995601</v>
      </c>
      <c r="L305" s="2">
        <v>55.942500000000003</v>
      </c>
      <c r="M305" s="2">
        <v>5.2755000000000001</v>
      </c>
      <c r="N305" s="2">
        <v>0.80640000000000001</v>
      </c>
      <c r="O305" s="2">
        <v>0.59299999999999997</v>
      </c>
      <c r="P305" s="2">
        <v>42.086799999999997</v>
      </c>
      <c r="Q305" s="2">
        <v>2.6560000000000001</v>
      </c>
      <c r="R305" s="2">
        <v>106.203473945409</v>
      </c>
      <c r="S305" s="2">
        <v>-1.8171083359251901</v>
      </c>
      <c r="T305" s="2">
        <v>9.5966698543061302</v>
      </c>
      <c r="U305" s="2">
        <v>73.383600000000001</v>
      </c>
      <c r="V305" s="2">
        <v>38.250111565737797</v>
      </c>
      <c r="W305" s="2">
        <v>0.34835104665365701</v>
      </c>
      <c r="X305" s="2">
        <v>109.42790242852101</v>
      </c>
      <c r="Y305" s="2">
        <v>21.292400441386199</v>
      </c>
      <c r="Z305" s="4">
        <v>6.9099999999999993</v>
      </c>
      <c r="AA305" s="4">
        <v>13.3</v>
      </c>
      <c r="AB305" s="2">
        <v>1.4</v>
      </c>
      <c r="AC305" s="2">
        <v>17.600000000000001</v>
      </c>
      <c r="AD305" s="2">
        <v>4.4000000000000057</v>
      </c>
      <c r="AE305" s="2">
        <v>0</v>
      </c>
    </row>
    <row r="306" spans="1:31" x14ac:dyDescent="0.25">
      <c r="A306" s="2" t="s">
        <v>420</v>
      </c>
      <c r="B306" s="2">
        <v>2016</v>
      </c>
      <c r="C306" s="2" t="s">
        <v>421</v>
      </c>
      <c r="D306" s="2" t="s">
        <v>314</v>
      </c>
      <c r="E306" s="2">
        <v>5.1837</v>
      </c>
      <c r="F306" s="2">
        <v>12.3072</v>
      </c>
      <c r="G306" s="2">
        <v>3.0255000000000001</v>
      </c>
      <c r="H306" s="2">
        <v>0.2026</v>
      </c>
      <c r="I306" s="2">
        <v>0.1792</v>
      </c>
      <c r="J306">
        <f>0.0714685273508803*(100)</f>
        <v>7.1468527350880304</v>
      </c>
      <c r="K306">
        <f>0.181046016205498*(100)</f>
        <v>18.104601620549801</v>
      </c>
      <c r="L306" s="2">
        <v>60.337499999999999</v>
      </c>
      <c r="M306" s="2">
        <v>8.1464999999999996</v>
      </c>
      <c r="N306" s="2">
        <v>0.79479999999999995</v>
      </c>
      <c r="O306" s="2">
        <v>0.59370000000000001</v>
      </c>
      <c r="P306" s="2">
        <v>40.989800000000002</v>
      </c>
      <c r="Q306" s="2">
        <v>2.4220999999999999</v>
      </c>
      <c r="R306" s="2">
        <v>17.127511438233501</v>
      </c>
      <c r="S306" s="2">
        <v>7.48636721912718</v>
      </c>
      <c r="T306" s="2">
        <v>10.180908882141299</v>
      </c>
      <c r="U306" s="2">
        <v>72.7089</v>
      </c>
      <c r="V306" s="2">
        <v>38.824697418704702</v>
      </c>
      <c r="W306" s="2">
        <v>0.37554990846244202</v>
      </c>
      <c r="X306" s="2">
        <v>109.184437939926</v>
      </c>
      <c r="Y306" s="2">
        <v>20.701791065579499</v>
      </c>
      <c r="Z306" s="4">
        <v>6.7</v>
      </c>
      <c r="AA306" s="4">
        <v>11.3</v>
      </c>
      <c r="AB306" s="2">
        <v>2</v>
      </c>
      <c r="AC306" s="2">
        <v>15.9</v>
      </c>
      <c r="AD306" s="2">
        <v>6.9000000000000057</v>
      </c>
      <c r="AE306" s="2">
        <v>0</v>
      </c>
    </row>
    <row r="307" spans="1:31" x14ac:dyDescent="0.25">
      <c r="A307" s="2" t="s">
        <v>422</v>
      </c>
      <c r="B307" s="2">
        <v>2015</v>
      </c>
      <c r="C307" s="2" t="s">
        <v>423</v>
      </c>
      <c r="D307" s="2" t="s">
        <v>314</v>
      </c>
      <c r="E307" s="2">
        <v>4.3390000000000004</v>
      </c>
      <c r="F307" s="2">
        <v>14.4542</v>
      </c>
      <c r="G307" s="2">
        <v>0.23230000000000001</v>
      </c>
      <c r="H307" s="2">
        <v>0.31030000000000002</v>
      </c>
      <c r="I307" s="2">
        <v>0.28260000000000002</v>
      </c>
      <c r="J307">
        <f>0.122539793503979*(100)</f>
        <v>12.2539793503979</v>
      </c>
      <c r="K307">
        <f>0.153899201558921*(100)</f>
        <v>15.389920155892101</v>
      </c>
      <c r="L307" s="2">
        <v>35.757100000000001</v>
      </c>
      <c r="M307" s="2">
        <v>4.5422000000000002</v>
      </c>
      <c r="N307" s="2">
        <v>0.7863</v>
      </c>
      <c r="O307" s="2">
        <v>0.52239999999999998</v>
      </c>
      <c r="P307" s="2">
        <v>27.892399999999999</v>
      </c>
      <c r="Q307" s="2">
        <v>4.1958000000000002</v>
      </c>
      <c r="R307" s="2">
        <v>42.289258528333797</v>
      </c>
      <c r="S307" s="2">
        <v>19.668953540986401</v>
      </c>
      <c r="T307" s="2">
        <v>26.866695551704201</v>
      </c>
      <c r="U307" s="2">
        <v>80.761700000000005</v>
      </c>
      <c r="V307" s="2">
        <v>42.261303487009599</v>
      </c>
      <c r="W307" s="2">
        <v>0.30381952370082899</v>
      </c>
      <c r="X307" s="2">
        <v>107.69042240313699</v>
      </c>
      <c r="Y307" s="2">
        <v>25.920676867993702</v>
      </c>
      <c r="Z307" s="4">
        <v>6.9099999999999993</v>
      </c>
      <c r="AA307" s="4">
        <v>13.3</v>
      </c>
      <c r="AB307" s="2">
        <v>1.4</v>
      </c>
      <c r="AC307" s="2">
        <v>17.600000000000001</v>
      </c>
      <c r="AD307" s="2">
        <v>4.4000000000000057</v>
      </c>
      <c r="AE307" s="2">
        <v>0</v>
      </c>
    </row>
    <row r="308" spans="1:31" x14ac:dyDescent="0.25">
      <c r="A308" s="2" t="s">
        <v>424</v>
      </c>
      <c r="B308" s="2">
        <v>2014</v>
      </c>
      <c r="C308" s="2" t="s">
        <v>425</v>
      </c>
      <c r="D308" s="2" t="s">
        <v>343</v>
      </c>
      <c r="E308" s="2">
        <v>14.652200000000001</v>
      </c>
      <c r="F308" s="2">
        <v>16.553899999999999</v>
      </c>
      <c r="G308" s="2">
        <v>12.7784</v>
      </c>
      <c r="H308" s="2">
        <v>1.7088000000000001</v>
      </c>
      <c r="I308" s="2">
        <v>1.2327999999999999</v>
      </c>
      <c r="J308">
        <f>0.297912900593359*(100)</f>
        <v>29.7912900593359</v>
      </c>
      <c r="K308">
        <f>0.579549861670256*(100)</f>
        <v>57.954986167025602</v>
      </c>
      <c r="L308" s="2">
        <v>7.3289999999999997</v>
      </c>
      <c r="M308" s="2">
        <v>2.5911</v>
      </c>
      <c r="N308" s="2">
        <v>3.4276</v>
      </c>
      <c r="O308" s="2">
        <v>1.1143000000000001</v>
      </c>
      <c r="P308" s="2">
        <v>5.6147999999999998</v>
      </c>
      <c r="Q308" s="2">
        <v>-0.56130000000000002</v>
      </c>
      <c r="R308" s="2">
        <v>86.319676523569896</v>
      </c>
      <c r="S308" s="2">
        <v>-5.4210883774795704</v>
      </c>
      <c r="T308" s="2">
        <v>14.082376598384201</v>
      </c>
      <c r="U308" s="2">
        <v>24.6388</v>
      </c>
      <c r="V308" s="2">
        <v>1.0222509798116E-2</v>
      </c>
      <c r="W308" s="2">
        <v>2.2737867035234101</v>
      </c>
      <c r="X308" s="2">
        <v>103.28771050986501</v>
      </c>
      <c r="Y308" s="2">
        <v>12.457386311481899</v>
      </c>
      <c r="Z308" s="4">
        <v>7.3</v>
      </c>
      <c r="AA308" s="4">
        <v>12.2</v>
      </c>
      <c r="AB308" s="2">
        <v>2</v>
      </c>
      <c r="AC308" s="2">
        <v>16.899999999999999</v>
      </c>
      <c r="AD308" s="2">
        <v>6.9000000000000057</v>
      </c>
      <c r="AE308" s="2">
        <v>0</v>
      </c>
    </row>
    <row r="309" spans="1:31" x14ac:dyDescent="0.25">
      <c r="A309" s="2" t="s">
        <v>424</v>
      </c>
      <c r="B309" s="2">
        <v>2015</v>
      </c>
      <c r="C309" s="2" t="s">
        <v>425</v>
      </c>
      <c r="D309" s="2" t="s">
        <v>343</v>
      </c>
      <c r="E309" s="2">
        <v>11.4735</v>
      </c>
      <c r="F309" s="2">
        <v>8.9733000000000001</v>
      </c>
      <c r="G309" s="2">
        <v>10.1258</v>
      </c>
      <c r="H309" s="2">
        <v>1.5455000000000001</v>
      </c>
      <c r="I309" s="2">
        <v>1.1752</v>
      </c>
      <c r="J309">
        <f>0.481978286987734*(100)</f>
        <v>48.197828698773399</v>
      </c>
      <c r="K309">
        <f>0.503118593949085*(100)</f>
        <v>50.311859394908495</v>
      </c>
      <c r="L309" s="2">
        <v>7.2670000000000003</v>
      </c>
      <c r="M309" s="2">
        <v>2.4878</v>
      </c>
      <c r="N309" s="2">
        <v>3.6669</v>
      </c>
      <c r="O309" s="2">
        <v>1.1308</v>
      </c>
      <c r="P309" s="2">
        <v>5.7995999999999999</v>
      </c>
      <c r="Q309" s="2">
        <v>5.0848000000000004</v>
      </c>
      <c r="R309" s="2">
        <v>-25.0334526839993</v>
      </c>
      <c r="S309" s="2">
        <v>13.2568664684769</v>
      </c>
      <c r="T309" s="2">
        <v>3.9090346152741802</v>
      </c>
      <c r="U309" s="2">
        <v>31.398099999999999</v>
      </c>
      <c r="V309" s="2">
        <v>6.0416466102196496E-2</v>
      </c>
      <c r="W309" s="2">
        <v>2.3816938857996899</v>
      </c>
      <c r="X309" s="2">
        <v>104.783590866583</v>
      </c>
      <c r="Y309" s="2">
        <v>14.837968633648799</v>
      </c>
      <c r="Z309" s="4">
        <v>6.9099999999999993</v>
      </c>
      <c r="AA309" s="4">
        <v>13.3</v>
      </c>
      <c r="AB309" s="2">
        <v>1.4</v>
      </c>
      <c r="AC309" s="2">
        <v>17.600000000000001</v>
      </c>
      <c r="AD309" s="2">
        <v>4.4000000000000057</v>
      </c>
      <c r="AE309" s="2">
        <v>0</v>
      </c>
    </row>
    <row r="310" spans="1:31" x14ac:dyDescent="0.25">
      <c r="A310" s="2" t="s">
        <v>424</v>
      </c>
      <c r="B310" s="2">
        <v>2016</v>
      </c>
      <c r="C310" s="2" t="s">
        <v>425</v>
      </c>
      <c r="D310" s="2" t="s">
        <v>343</v>
      </c>
      <c r="E310" s="2">
        <v>41.752899999999997</v>
      </c>
      <c r="F310" s="2">
        <v>54.768500000000003</v>
      </c>
      <c r="G310" s="2">
        <v>22.001300000000001</v>
      </c>
      <c r="H310" s="2">
        <v>1.1014999999999999</v>
      </c>
      <c r="I310" s="2">
        <v>1.0927</v>
      </c>
      <c r="J310">
        <f>0.148025121303197*(100)</f>
        <v>14.8025121303197</v>
      </c>
      <c r="K310">
        <f>0.666144554776535*(100)</f>
        <v>66.614455477653507</v>
      </c>
      <c r="L310" s="2">
        <v>76.305400000000006</v>
      </c>
      <c r="M310" s="2">
        <v>4.0106000000000002</v>
      </c>
      <c r="N310" s="2">
        <v>5.6600999999999999</v>
      </c>
      <c r="O310" s="2">
        <v>1.9267000000000001</v>
      </c>
      <c r="P310" s="2">
        <v>34.061999999999998</v>
      </c>
      <c r="Q310" s="2">
        <v>45.336500000000001</v>
      </c>
      <c r="R310" s="2">
        <v>121.04820575331399</v>
      </c>
      <c r="S310" s="2">
        <v>81.059559500408099</v>
      </c>
      <c r="T310" s="2">
        <v>119.47115625526099</v>
      </c>
      <c r="U310" s="2">
        <v>44.043700000000001</v>
      </c>
      <c r="V310" s="2">
        <v>0.48033045113362005</v>
      </c>
      <c r="W310" s="2">
        <v>1.6098840460792501</v>
      </c>
      <c r="X310" s="2">
        <v>107.465434576889</v>
      </c>
      <c r="Y310" s="2">
        <v>26.783153117889103</v>
      </c>
      <c r="Z310" s="4">
        <v>6.7</v>
      </c>
      <c r="AA310" s="4">
        <v>11.3</v>
      </c>
      <c r="AB310" s="2">
        <v>2</v>
      </c>
      <c r="AC310" s="2">
        <v>15.9</v>
      </c>
      <c r="AD310" s="2">
        <v>6.9000000000000057</v>
      </c>
      <c r="AE310" s="2">
        <v>0</v>
      </c>
    </row>
    <row r="311" spans="1:31" x14ac:dyDescent="0.25">
      <c r="A311" s="2" t="s">
        <v>426</v>
      </c>
      <c r="B311" s="2">
        <v>2016</v>
      </c>
      <c r="C311" s="2" t="s">
        <v>427</v>
      </c>
      <c r="D311" s="2" t="s">
        <v>343</v>
      </c>
      <c r="E311" s="2">
        <v>35.657699999999998</v>
      </c>
      <c r="F311" s="2">
        <v>40.8977</v>
      </c>
      <c r="G311" s="2">
        <v>16.521000000000001</v>
      </c>
      <c r="H311" s="2">
        <v>2.4897</v>
      </c>
      <c r="I311" s="2">
        <v>2.4777</v>
      </c>
      <c r="J311">
        <f>1.58930533988965*(100)</f>
        <v>158.93053398896498</v>
      </c>
      <c r="K311">
        <f>0.721734508382266*(100)</f>
        <v>72.1734508382266</v>
      </c>
      <c r="L311" s="2">
        <v>42.758899999999997</v>
      </c>
      <c r="M311" s="2">
        <v>2.7364999999999999</v>
      </c>
      <c r="N311" s="2">
        <v>17.497499999999999</v>
      </c>
      <c r="O311" s="2">
        <v>2.0726</v>
      </c>
      <c r="P311" s="2">
        <v>21.413900000000002</v>
      </c>
      <c r="Q311" s="2">
        <v>28.2273</v>
      </c>
      <c r="R311" s="2">
        <v>64.652141254938599</v>
      </c>
      <c r="S311" s="2">
        <v>180.046854604396</v>
      </c>
      <c r="T311" s="2">
        <v>600.33740933601302</v>
      </c>
      <c r="U311" s="2">
        <v>31.667100000000001</v>
      </c>
      <c r="V311" s="2">
        <v>0.26302064320225599</v>
      </c>
      <c r="W311" s="2">
        <v>7.9267647039237703</v>
      </c>
      <c r="X311" s="2">
        <v>111.08116928729702</v>
      </c>
      <c r="Y311" s="2">
        <v>18.422722492718499</v>
      </c>
      <c r="Z311" s="4">
        <v>6.7</v>
      </c>
      <c r="AA311" s="4">
        <v>11.3</v>
      </c>
      <c r="AB311" s="2">
        <v>2</v>
      </c>
      <c r="AC311" s="2">
        <v>15.9</v>
      </c>
      <c r="AD311" s="2">
        <v>6.9000000000000057</v>
      </c>
      <c r="AE311" s="2">
        <v>0</v>
      </c>
    </row>
    <row r="312" spans="1:31" x14ac:dyDescent="0.25">
      <c r="A312" s="2" t="s">
        <v>428</v>
      </c>
      <c r="B312" s="2">
        <v>2014</v>
      </c>
      <c r="C312" s="2" t="s">
        <v>429</v>
      </c>
      <c r="D312" s="2" t="s">
        <v>430</v>
      </c>
      <c r="E312" s="2">
        <v>6.3434999999999997</v>
      </c>
      <c r="F312" s="2">
        <v>6.5206999999999997</v>
      </c>
      <c r="G312" s="2">
        <v>12.7461</v>
      </c>
      <c r="H312" s="2">
        <v>0.76300000000000001</v>
      </c>
      <c r="I312" s="2">
        <v>0.75280000000000002</v>
      </c>
      <c r="J312">
        <f>0.282467055334306*(100)</f>
        <v>28.2467055334306</v>
      </c>
      <c r="K312">
        <f>0.111641694389816*(100)</f>
        <v>11.164169438981601</v>
      </c>
      <c r="L312" s="2">
        <v>70.496600000000001</v>
      </c>
      <c r="M312" s="2">
        <v>1.4573</v>
      </c>
      <c r="N312" s="2">
        <v>1.5044999999999999</v>
      </c>
      <c r="O312" s="2">
        <v>0.25929999999999997</v>
      </c>
      <c r="P312" s="2">
        <v>22.600999999999999</v>
      </c>
      <c r="Q312" s="2">
        <v>151.01609999999999</v>
      </c>
      <c r="R312" s="2">
        <v>-22.329854118233602</v>
      </c>
      <c r="S312" s="2">
        <v>7.6441491821254104</v>
      </c>
      <c r="T312" s="2">
        <v>6.8095829028868504</v>
      </c>
      <c r="U312" s="2">
        <v>61.834000000000003</v>
      </c>
      <c r="V312" s="2">
        <v>36.142848721419099</v>
      </c>
      <c r="W312" s="2">
        <v>2.1439215674828001</v>
      </c>
      <c r="X312" s="2">
        <v>103.74880616539299</v>
      </c>
      <c r="Y312" s="2">
        <v>27.605516620356703</v>
      </c>
      <c r="Z312" s="4">
        <v>7.3</v>
      </c>
      <c r="AA312" s="4">
        <v>12.2</v>
      </c>
      <c r="AB312" s="2">
        <v>2</v>
      </c>
      <c r="AC312" s="2">
        <v>16.899999999999999</v>
      </c>
      <c r="AD312" s="2">
        <v>6.9000000000000057</v>
      </c>
      <c r="AE312" s="2">
        <v>0</v>
      </c>
    </row>
    <row r="313" spans="1:31" x14ac:dyDescent="0.25">
      <c r="A313" s="2" t="s">
        <v>428</v>
      </c>
      <c r="B313" s="2">
        <v>2015</v>
      </c>
      <c r="C313" s="2" t="s">
        <v>429</v>
      </c>
      <c r="D313" s="2" t="s">
        <v>430</v>
      </c>
      <c r="E313" s="2">
        <v>6.9031000000000002</v>
      </c>
      <c r="F313" s="2">
        <v>8.4232999999999993</v>
      </c>
      <c r="G313" s="2">
        <v>9.9018999999999995</v>
      </c>
      <c r="H313" s="2">
        <v>0.85199999999999998</v>
      </c>
      <c r="I313" s="2">
        <v>0.82130000000000003</v>
      </c>
      <c r="J313">
        <f>0.375539334863709*(100)</f>
        <v>37.553933486370902</v>
      </c>
      <c r="K313">
        <f>0.123313441559018*(100)</f>
        <v>12.3313441559018</v>
      </c>
      <c r="L313" s="2">
        <v>46.945</v>
      </c>
      <c r="M313" s="2">
        <v>1.5834999999999999</v>
      </c>
      <c r="N313" s="2">
        <v>2.2121</v>
      </c>
      <c r="O313" s="2">
        <v>0.36180000000000001</v>
      </c>
      <c r="P313" s="2">
        <v>24.129000000000001</v>
      </c>
      <c r="Q313" s="2">
        <v>51.036799999999999</v>
      </c>
      <c r="R313" s="2">
        <v>37.825408781067402</v>
      </c>
      <c r="S313" s="2">
        <v>7.94442172428049</v>
      </c>
      <c r="T313" s="2">
        <v>7.2751471418344398</v>
      </c>
      <c r="U313" s="2">
        <v>62.219099999999997</v>
      </c>
      <c r="V313" s="2">
        <v>31.869571409689001</v>
      </c>
      <c r="W313" s="2">
        <v>2.51581335539889</v>
      </c>
      <c r="X313" s="2">
        <v>109.43260240272501</v>
      </c>
      <c r="Y313" s="2">
        <v>22.014876713320099</v>
      </c>
      <c r="Z313" s="4">
        <v>6.9099999999999993</v>
      </c>
      <c r="AA313" s="4">
        <v>13.3</v>
      </c>
      <c r="AB313" s="2">
        <v>1.4</v>
      </c>
      <c r="AC313" s="2">
        <v>17.600000000000001</v>
      </c>
      <c r="AD313" s="2">
        <v>4.4000000000000057</v>
      </c>
      <c r="AE313" s="2">
        <v>0</v>
      </c>
    </row>
    <row r="314" spans="1:31" x14ac:dyDescent="0.25">
      <c r="A314" s="2" t="s">
        <v>431</v>
      </c>
      <c r="B314" s="2">
        <v>2015</v>
      </c>
      <c r="C314" s="2" t="s">
        <v>432</v>
      </c>
      <c r="D314" s="2" t="s">
        <v>430</v>
      </c>
      <c r="E314" s="2">
        <v>5.8396999999999997</v>
      </c>
      <c r="F314" s="2">
        <v>11.4855</v>
      </c>
      <c r="G314" s="2">
        <v>32.699800000000003</v>
      </c>
      <c r="H314" s="2">
        <v>0.42030000000000001</v>
      </c>
      <c r="I314" s="2">
        <v>0.29649999999999999</v>
      </c>
      <c r="J314">
        <f>0.265593985513849*(100)</f>
        <v>26.559398551384898</v>
      </c>
      <c r="K314">
        <f>0.0729929473024844*(100)</f>
        <v>7.2992947302484401</v>
      </c>
      <c r="L314" s="2">
        <v>1.1904999999999999</v>
      </c>
      <c r="M314" s="2">
        <v>0.93069999999999997</v>
      </c>
      <c r="N314" s="2">
        <v>0.26819999999999999</v>
      </c>
      <c r="O314" s="2">
        <v>0.1046</v>
      </c>
      <c r="P314" s="2">
        <v>44.909300000000002</v>
      </c>
      <c r="Q314" s="2">
        <v>14.817299999999999</v>
      </c>
      <c r="R314" s="2">
        <v>24.290262911982701</v>
      </c>
      <c r="S314" s="2">
        <v>20.3007782948421</v>
      </c>
      <c r="T314" s="2">
        <v>54.874933969447802</v>
      </c>
      <c r="U314" s="2">
        <v>74.388599999999997</v>
      </c>
      <c r="V314" s="2">
        <v>49.838299399098801</v>
      </c>
      <c r="W314" s="2">
        <v>0.68851711012003103</v>
      </c>
      <c r="X314" s="2">
        <v>85.482020718907307</v>
      </c>
      <c r="Y314" s="2">
        <v>56.709314683110698</v>
      </c>
      <c r="Z314" s="4">
        <v>6.9099999999999993</v>
      </c>
      <c r="AA314" s="4">
        <v>13.3</v>
      </c>
      <c r="AB314" s="2">
        <v>1.4</v>
      </c>
      <c r="AC314" s="2">
        <v>17.600000000000001</v>
      </c>
      <c r="AD314" s="2">
        <v>4.4000000000000057</v>
      </c>
      <c r="AE314" s="2">
        <v>0</v>
      </c>
    </row>
    <row r="315" spans="1:31" x14ac:dyDescent="0.25">
      <c r="A315" s="2" t="s">
        <v>431</v>
      </c>
      <c r="B315" s="2">
        <v>2016</v>
      </c>
      <c r="C315" s="2" t="s">
        <v>432</v>
      </c>
      <c r="D315" s="2" t="s">
        <v>430</v>
      </c>
      <c r="E315" s="2">
        <v>4.7983000000000002</v>
      </c>
      <c r="F315" s="2">
        <v>6.1402000000000001</v>
      </c>
      <c r="G315" s="2">
        <v>23.212499999999999</v>
      </c>
      <c r="H315" s="2">
        <v>0.25290000000000001</v>
      </c>
      <c r="I315" s="2">
        <v>0.14849999999999999</v>
      </c>
      <c r="J315">
        <f>0.127069414542588*(100)</f>
        <v>12.7069414542588</v>
      </c>
      <c r="K315">
        <f>0.0934443585629549*(100)</f>
        <v>9.3444358562954903</v>
      </c>
      <c r="L315" s="2">
        <v>1.2565</v>
      </c>
      <c r="M315" s="2">
        <v>0.94399999999999995</v>
      </c>
      <c r="N315" s="2">
        <v>0.21479999999999999</v>
      </c>
      <c r="O315" s="2">
        <v>8.2199999999999995E-2</v>
      </c>
      <c r="P315" s="2">
        <v>40.5105</v>
      </c>
      <c r="Q315" s="2">
        <v>-7.2704000000000004</v>
      </c>
      <c r="R315" s="2">
        <v>-34.882078375869398</v>
      </c>
      <c r="S315" s="2">
        <v>2.0055673411288302</v>
      </c>
      <c r="T315" s="2">
        <v>1.2170602346294599</v>
      </c>
      <c r="U315" s="2">
        <v>74.589399999999998</v>
      </c>
      <c r="V315" s="2">
        <v>46.442550000175395</v>
      </c>
      <c r="W315" s="2">
        <v>0.64638516472315</v>
      </c>
      <c r="X315" s="2">
        <v>115.48627979357001</v>
      </c>
      <c r="Y315" s="2">
        <v>85.682022902703309</v>
      </c>
      <c r="Z315" s="4">
        <v>6.7</v>
      </c>
      <c r="AA315" s="4">
        <v>11.3</v>
      </c>
      <c r="AB315" s="2">
        <v>2</v>
      </c>
      <c r="AC315" s="2">
        <v>15.9</v>
      </c>
      <c r="AD315" s="2">
        <v>6.9000000000000057</v>
      </c>
      <c r="AE315" s="2">
        <v>0</v>
      </c>
    </row>
    <row r="316" spans="1:31" x14ac:dyDescent="0.25">
      <c r="A316" s="2" t="s">
        <v>431</v>
      </c>
      <c r="B316" s="2">
        <v>2017</v>
      </c>
      <c r="C316" s="2" t="s">
        <v>432</v>
      </c>
      <c r="D316" s="2" t="s">
        <v>430</v>
      </c>
      <c r="E316" s="2">
        <v>5.8897000000000004</v>
      </c>
      <c r="F316" s="2">
        <v>9.1910000000000007</v>
      </c>
      <c r="G316" s="2">
        <v>25.4</v>
      </c>
      <c r="H316" s="2">
        <v>0.28149999999999997</v>
      </c>
      <c r="I316" s="2">
        <v>0.189</v>
      </c>
      <c r="J316">
        <f>0.159413261879221*(100)</f>
        <v>15.941326187922101</v>
      </c>
      <c r="K316">
        <f>0.0789635195492977*(100)</f>
        <v>7.89635195492977</v>
      </c>
      <c r="L316" s="2">
        <v>2.3900999999999999</v>
      </c>
      <c r="M316" s="2">
        <v>1.7116</v>
      </c>
      <c r="N316" s="2">
        <v>0.31819999999999998</v>
      </c>
      <c r="O316" s="2">
        <v>0.1186</v>
      </c>
      <c r="P316" s="2">
        <v>34.269599999999997</v>
      </c>
      <c r="Q316" s="2">
        <v>47.850499999999997</v>
      </c>
      <c r="R316" s="2">
        <v>58.662717846575099</v>
      </c>
      <c r="S316" s="2">
        <v>3.8947508569881002</v>
      </c>
      <c r="T316" s="2">
        <v>8.2153166271732001</v>
      </c>
      <c r="U316" s="2">
        <v>73.503399999999999</v>
      </c>
      <c r="V316" s="2">
        <v>49.541694603218701</v>
      </c>
      <c r="W316" s="2">
        <v>0.74968880669572802</v>
      </c>
      <c r="X316" s="2">
        <v>82.853573251613</v>
      </c>
      <c r="Y316" s="2">
        <v>49.876323150473802</v>
      </c>
      <c r="Z316" s="4">
        <v>6.9</v>
      </c>
      <c r="AA316" s="4">
        <v>8.2000000000000011</v>
      </c>
      <c r="AB316" s="2">
        <v>1.6</v>
      </c>
      <c r="AC316" s="2">
        <v>16.3</v>
      </c>
      <c r="AD316" s="2">
        <v>9.5999999999999943</v>
      </c>
      <c r="AE316" s="2">
        <v>0</v>
      </c>
    </row>
    <row r="317" spans="1:31" x14ac:dyDescent="0.25">
      <c r="A317" s="2" t="s">
        <v>431</v>
      </c>
      <c r="B317" s="2">
        <v>2018</v>
      </c>
      <c r="C317" s="2" t="s">
        <v>432</v>
      </c>
      <c r="D317" s="2" t="s">
        <v>430</v>
      </c>
      <c r="E317" s="2">
        <v>5.6162000000000001</v>
      </c>
      <c r="F317" s="2">
        <v>6.5523999999999996</v>
      </c>
      <c r="G317" s="2">
        <v>19.619199999999999</v>
      </c>
      <c r="H317" s="2">
        <v>0.51400000000000001</v>
      </c>
      <c r="I317" s="2">
        <v>0.29120000000000001</v>
      </c>
      <c r="J317">
        <f>0.236776153951189*(100)</f>
        <v>23.677615395118899</v>
      </c>
      <c r="K317">
        <f>0.118385111650411*(100)</f>
        <v>11.838511165041101</v>
      </c>
      <c r="L317" s="2">
        <v>1.5201</v>
      </c>
      <c r="M317" s="2">
        <v>1.2442</v>
      </c>
      <c r="N317" s="2">
        <v>0.35510000000000003</v>
      </c>
      <c r="O317" s="2">
        <v>0.11509999999999999</v>
      </c>
      <c r="P317" s="2">
        <v>27.254000000000001</v>
      </c>
      <c r="Q317" s="2">
        <v>-6.6813000000000002</v>
      </c>
      <c r="R317" s="2">
        <v>-31.149893594622501</v>
      </c>
      <c r="S317" s="2">
        <v>-9.5749262704823295</v>
      </c>
      <c r="T317" s="2">
        <v>-24.586313380979298</v>
      </c>
      <c r="U317" s="2">
        <v>77.643900000000002</v>
      </c>
      <c r="V317" s="2">
        <v>54.771683826288694</v>
      </c>
      <c r="W317" s="2">
        <v>0.75800714758980303</v>
      </c>
      <c r="X317" s="2">
        <v>106.518601956883</v>
      </c>
      <c r="Y317" s="2">
        <v>79.804344274244002</v>
      </c>
      <c r="Z317" s="4">
        <v>6.6000000000000005</v>
      </c>
      <c r="AA317" s="4">
        <v>8.1</v>
      </c>
      <c r="AB317" s="2">
        <v>2.1</v>
      </c>
      <c r="AC317" s="2">
        <v>12.5</v>
      </c>
      <c r="AD317" s="2">
        <v>8.2999999999999972</v>
      </c>
      <c r="AE317" s="2">
        <v>0</v>
      </c>
    </row>
    <row r="318" spans="1:31" x14ac:dyDescent="0.25">
      <c r="A318" s="2" t="s">
        <v>433</v>
      </c>
      <c r="B318" s="2">
        <v>2017</v>
      </c>
      <c r="C318" s="2" t="s">
        <v>434</v>
      </c>
      <c r="D318" s="2" t="s">
        <v>342</v>
      </c>
      <c r="E318" s="2">
        <v>4.2130999999999998</v>
      </c>
      <c r="F318" s="2">
        <v>3.5243000000000002</v>
      </c>
      <c r="G318" s="2">
        <v>12.4862</v>
      </c>
      <c r="H318" s="2">
        <v>0.54649999999999999</v>
      </c>
      <c r="I318" s="2">
        <v>0.52829999999999999</v>
      </c>
      <c r="J318">
        <f>0.39690752117588*(100)</f>
        <v>39.690752117588005</v>
      </c>
      <c r="K318">
        <f>0.166774974644793*(100)</f>
        <v>16.677497464479298</v>
      </c>
      <c r="L318" s="2">
        <v>43.039900000000003</v>
      </c>
      <c r="M318" s="2">
        <v>1.7907999999999999</v>
      </c>
      <c r="N318" s="2">
        <v>0.4304</v>
      </c>
      <c r="O318" s="2">
        <v>0.24030000000000001</v>
      </c>
      <c r="P318" s="2">
        <v>7.6707000000000001</v>
      </c>
      <c r="Q318" s="2">
        <v>12.3026</v>
      </c>
      <c r="R318" s="2">
        <v>95.898909383505597</v>
      </c>
      <c r="S318" s="2">
        <v>1.5383950802815001</v>
      </c>
      <c r="T318" s="2">
        <v>3.2599008003777801</v>
      </c>
      <c r="U318" s="2">
        <v>41.174999999999997</v>
      </c>
      <c r="V318" s="2">
        <v>17.3577787795303</v>
      </c>
      <c r="W318" s="2">
        <v>1.1608992216039</v>
      </c>
      <c r="X318" s="2">
        <v>86.112394644166599</v>
      </c>
      <c r="Y318" s="2">
        <v>28.800256841196699</v>
      </c>
      <c r="Z318" s="4">
        <v>6.9</v>
      </c>
      <c r="AA318" s="4">
        <v>8.2000000000000011</v>
      </c>
      <c r="AB318" s="2">
        <v>1.6</v>
      </c>
      <c r="AC318" s="2">
        <v>16.3</v>
      </c>
      <c r="AD318" s="2">
        <v>9.5999999999999943</v>
      </c>
      <c r="AE318" s="2">
        <v>0</v>
      </c>
    </row>
    <row r="319" spans="1:31" x14ac:dyDescent="0.25">
      <c r="A319" s="2" t="s">
        <v>433</v>
      </c>
      <c r="B319" s="2">
        <v>2018</v>
      </c>
      <c r="C319" s="2" t="s">
        <v>434</v>
      </c>
      <c r="D319" s="2" t="s">
        <v>342</v>
      </c>
      <c r="E319" s="2">
        <v>5.8113000000000001</v>
      </c>
      <c r="F319" s="2">
        <v>5.8893000000000004</v>
      </c>
      <c r="G319" s="2">
        <v>18.4313</v>
      </c>
      <c r="H319" s="2">
        <v>0.56579999999999997</v>
      </c>
      <c r="I319" s="2">
        <v>0.54759999999999998</v>
      </c>
      <c r="J319">
        <f>0.38331994895831*(100)</f>
        <v>38.331994895831002</v>
      </c>
      <c r="K319">
        <f>0.164828351549979*(100)</f>
        <v>16.4828351549979</v>
      </c>
      <c r="L319" s="2">
        <v>41.814900000000002</v>
      </c>
      <c r="M319" s="2">
        <v>1.8865000000000001</v>
      </c>
      <c r="N319" s="2">
        <v>0.50339999999999996</v>
      </c>
      <c r="O319" s="2">
        <v>0.2462</v>
      </c>
      <c r="P319" s="2">
        <v>8.6431000000000004</v>
      </c>
      <c r="Q319" s="2">
        <v>6.6026999999999996</v>
      </c>
      <c r="R319" s="2">
        <v>64.399283019355806</v>
      </c>
      <c r="S319" s="2">
        <v>6.8071143156453502</v>
      </c>
      <c r="T319" s="2">
        <v>5.7738224089190302</v>
      </c>
      <c r="U319" s="2">
        <v>41.863199999999999</v>
      </c>
      <c r="V319" s="2">
        <v>18.736526210898301</v>
      </c>
      <c r="W319" s="2">
        <v>1.23002223989973</v>
      </c>
      <c r="X319" s="2">
        <v>89.918578748149798</v>
      </c>
      <c r="Y319" s="2">
        <v>28.9470687672307</v>
      </c>
      <c r="Z319" s="4">
        <v>6.6000000000000005</v>
      </c>
      <c r="AA319" s="4">
        <v>8.1</v>
      </c>
      <c r="AB319" s="2">
        <v>2.1</v>
      </c>
      <c r="AC319" s="2">
        <v>12.5</v>
      </c>
      <c r="AD319" s="2">
        <v>8.2999999999999972</v>
      </c>
      <c r="AE319" s="2">
        <v>0</v>
      </c>
    </row>
    <row r="320" spans="1:31" x14ac:dyDescent="0.25">
      <c r="A320" s="2" t="s">
        <v>435</v>
      </c>
      <c r="B320" s="2">
        <v>2015</v>
      </c>
      <c r="C320" s="2" t="s">
        <v>436</v>
      </c>
      <c r="D320" s="2" t="s">
        <v>342</v>
      </c>
      <c r="E320" s="2">
        <v>7.9645000000000001</v>
      </c>
      <c r="F320" s="2">
        <v>8.1178000000000008</v>
      </c>
      <c r="G320" s="2">
        <v>20.215299999999999</v>
      </c>
      <c r="H320" s="2">
        <v>0.79200000000000004</v>
      </c>
      <c r="I320" s="2">
        <v>0.76200000000000001</v>
      </c>
      <c r="J320">
        <f>0.286196746553652*(100)</f>
        <v>28.619674655365202</v>
      </c>
      <c r="K320">
        <f>0.185996688866531*(100)</f>
        <v>18.599668886653102</v>
      </c>
      <c r="L320" s="2">
        <v>47.367199999999997</v>
      </c>
      <c r="M320" s="2">
        <v>2.0834999999999999</v>
      </c>
      <c r="N320" s="2">
        <v>0.83409999999999995</v>
      </c>
      <c r="O320" s="2">
        <v>0.35620000000000002</v>
      </c>
      <c r="P320" s="2">
        <v>9.3644999999999996</v>
      </c>
      <c r="Q320" s="2">
        <v>23.2866</v>
      </c>
      <c r="R320" s="2">
        <v>-7.8597581918895996</v>
      </c>
      <c r="S320" s="2">
        <v>6.5360934986771104</v>
      </c>
      <c r="T320" s="2">
        <v>4.5825070204891798</v>
      </c>
      <c r="U320" s="2">
        <v>28.8352</v>
      </c>
      <c r="V320" s="2">
        <v>7.4339848210062707</v>
      </c>
      <c r="W320" s="2">
        <v>1.69421042153283</v>
      </c>
      <c r="X320" s="2">
        <v>99.881505370876795</v>
      </c>
      <c r="Y320" s="2">
        <v>15.532069697310899</v>
      </c>
      <c r="Z320" s="4">
        <v>6.9099999999999993</v>
      </c>
      <c r="AA320" s="4">
        <v>13.3</v>
      </c>
      <c r="AB320" s="2">
        <v>1.4</v>
      </c>
      <c r="AC320" s="2">
        <v>17.600000000000001</v>
      </c>
      <c r="AD320" s="2">
        <v>4.4000000000000057</v>
      </c>
      <c r="AE320" s="2">
        <v>0</v>
      </c>
    </row>
    <row r="321" spans="1:31" x14ac:dyDescent="0.25">
      <c r="A321" s="2" t="s">
        <v>435</v>
      </c>
      <c r="B321" s="2">
        <v>2016</v>
      </c>
      <c r="C321" s="2" t="s">
        <v>436</v>
      </c>
      <c r="D321" s="2" t="s">
        <v>342</v>
      </c>
      <c r="E321" s="2">
        <v>6.4470000000000001</v>
      </c>
      <c r="F321" s="2">
        <v>6.8875000000000002</v>
      </c>
      <c r="G321" s="2">
        <v>18.4879</v>
      </c>
      <c r="H321" s="2">
        <v>0.81020000000000003</v>
      </c>
      <c r="I321" s="2">
        <v>0.79859999999999998</v>
      </c>
      <c r="J321">
        <f>0.46935625126211*(100)</f>
        <v>46.935625126211001</v>
      </c>
      <c r="K321">
        <f>0.219952404196604*(100)</f>
        <v>21.995240419660401</v>
      </c>
      <c r="L321" s="2">
        <v>51.171100000000003</v>
      </c>
      <c r="M321" s="2">
        <v>1.6233</v>
      </c>
      <c r="N321" s="2">
        <v>0.71899999999999997</v>
      </c>
      <c r="O321" s="2">
        <v>0.308</v>
      </c>
      <c r="P321" s="2">
        <v>7.9596</v>
      </c>
      <c r="Q321" s="2">
        <v>-2.2368000000000001</v>
      </c>
      <c r="R321" s="2">
        <v>-14.837363120816301</v>
      </c>
      <c r="S321" s="2">
        <v>5.7287278854254398</v>
      </c>
      <c r="T321" s="2">
        <v>4.0574419285996202</v>
      </c>
      <c r="U321" s="2">
        <v>36.9649</v>
      </c>
      <c r="V321" s="2">
        <v>11.4842776391896</v>
      </c>
      <c r="W321" s="2">
        <v>1.4479284381650199</v>
      </c>
      <c r="X321" s="2">
        <v>99.104250823980294</v>
      </c>
      <c r="Y321" s="2">
        <v>28.959477631354304</v>
      </c>
      <c r="Z321" s="4">
        <v>6.7</v>
      </c>
      <c r="AA321" s="4">
        <v>11.3</v>
      </c>
      <c r="AB321" s="2">
        <v>2</v>
      </c>
      <c r="AC321" s="2">
        <v>15.9</v>
      </c>
      <c r="AD321" s="2">
        <v>6.9000000000000057</v>
      </c>
      <c r="AE321" s="2">
        <v>0</v>
      </c>
    </row>
    <row r="322" spans="1:31" x14ac:dyDescent="0.25">
      <c r="A322" s="2" t="s">
        <v>437</v>
      </c>
      <c r="B322" s="2">
        <v>2015</v>
      </c>
      <c r="C322" s="2" t="s">
        <v>438</v>
      </c>
      <c r="D322" s="2" t="s">
        <v>347</v>
      </c>
      <c r="E322" s="2">
        <v>8.3445</v>
      </c>
      <c r="F322" s="2">
        <v>12.0511</v>
      </c>
      <c r="G322" s="2">
        <v>10.692600000000001</v>
      </c>
      <c r="H322" s="2">
        <v>2.2195</v>
      </c>
      <c r="I322" s="2">
        <v>1.851</v>
      </c>
      <c r="J322">
        <f>0.217698786545502*(100)</f>
        <v>21.769878654550201</v>
      </c>
      <c r="K322">
        <f>0.0896250399024995*(100)</f>
        <v>8.9625039902499495</v>
      </c>
      <c r="L322" s="2">
        <v>2.8866000000000001</v>
      </c>
      <c r="M322" s="2">
        <v>0.72060000000000002</v>
      </c>
      <c r="N322" s="2">
        <v>7.2701000000000002</v>
      </c>
      <c r="O322" s="2">
        <v>0.63109999999999999</v>
      </c>
      <c r="P322" s="2">
        <v>1.0644</v>
      </c>
      <c r="Q322" s="2">
        <v>-12.2204</v>
      </c>
      <c r="R322" s="2">
        <v>-37.494612580507003</v>
      </c>
      <c r="S322" s="2">
        <v>15.707100633959801</v>
      </c>
      <c r="T322" s="2">
        <v>10.948333243710501</v>
      </c>
      <c r="U322" s="2">
        <v>44.971200000000003</v>
      </c>
      <c r="V322" s="2">
        <v>5.6230161127443798</v>
      </c>
      <c r="W322" s="2">
        <v>6.9282937456462301</v>
      </c>
      <c r="X322" s="2">
        <v>79.0398947895943</v>
      </c>
      <c r="Y322" s="2">
        <v>6.8511678256852298</v>
      </c>
      <c r="Z322" s="4">
        <v>6.9099999999999993</v>
      </c>
      <c r="AA322" s="4">
        <v>13.3</v>
      </c>
      <c r="AB322" s="2">
        <v>1.4</v>
      </c>
      <c r="AC322" s="2">
        <v>17.600000000000001</v>
      </c>
      <c r="AD322" s="2">
        <v>5.7000000000000028</v>
      </c>
      <c r="AE322" s="2">
        <v>0</v>
      </c>
    </row>
    <row r="323" spans="1:31" x14ac:dyDescent="0.25">
      <c r="A323" s="2" t="s">
        <v>437</v>
      </c>
      <c r="B323" s="2">
        <v>2016</v>
      </c>
      <c r="C323" s="2" t="s">
        <v>438</v>
      </c>
      <c r="D323" s="2" t="s">
        <v>347</v>
      </c>
      <c r="E323" s="2">
        <v>8.4141999999999992</v>
      </c>
      <c r="F323" s="2">
        <v>13.0192</v>
      </c>
      <c r="G323" s="2">
        <v>10.0661</v>
      </c>
      <c r="H323" s="2">
        <v>2.0417000000000001</v>
      </c>
      <c r="I323" s="2">
        <v>1.7230000000000001</v>
      </c>
      <c r="J323">
        <f>0.342825317477787*(100)</f>
        <v>34.282531747778698</v>
      </c>
      <c r="K323">
        <f>0.184734868878463*(100)</f>
        <v>18.473486887846299</v>
      </c>
      <c r="L323" s="2">
        <v>3.9472999999999998</v>
      </c>
      <c r="M323" s="2">
        <v>0.82699999999999996</v>
      </c>
      <c r="N323" s="2">
        <v>9.4893999999999998</v>
      </c>
      <c r="O323" s="2">
        <v>0.71730000000000005</v>
      </c>
      <c r="P323" s="2">
        <v>1.2525999999999999</v>
      </c>
      <c r="Q323" s="2">
        <v>31.0657</v>
      </c>
      <c r="R323" s="2">
        <v>16.705733207637401</v>
      </c>
      <c r="S323" s="2">
        <v>14.5227106233647</v>
      </c>
      <c r="T323" s="2">
        <v>12.209531703417101</v>
      </c>
      <c r="U323" s="2">
        <v>47.202100000000002</v>
      </c>
      <c r="V323" s="2">
        <v>4.9768217764348606</v>
      </c>
      <c r="W323" s="2">
        <v>7.30950061090648</v>
      </c>
      <c r="X323" s="2">
        <v>90.683758053011502</v>
      </c>
      <c r="Y323" s="2">
        <v>12.9802709019089</v>
      </c>
      <c r="Z323" s="4">
        <v>6.7</v>
      </c>
      <c r="AA323" s="4">
        <v>11.3</v>
      </c>
      <c r="AB323" s="2">
        <v>2</v>
      </c>
      <c r="AC323" s="2">
        <v>15.9</v>
      </c>
      <c r="AD323" s="2">
        <v>5.7000000000000028</v>
      </c>
      <c r="AE323" s="2">
        <v>0</v>
      </c>
    </row>
    <row r="324" spans="1:31" x14ac:dyDescent="0.25">
      <c r="A324" s="2" t="s">
        <v>439</v>
      </c>
      <c r="B324" s="2">
        <v>2014</v>
      </c>
      <c r="C324" s="2" t="s">
        <v>440</v>
      </c>
      <c r="D324" s="2" t="s">
        <v>347</v>
      </c>
      <c r="E324" s="2">
        <v>6.3327</v>
      </c>
      <c r="F324" s="2">
        <v>7.8278999999999996</v>
      </c>
      <c r="G324" s="2">
        <v>4.4413</v>
      </c>
      <c r="H324" s="2">
        <v>1.1085</v>
      </c>
      <c r="I324" s="2">
        <v>0.89939999999999998</v>
      </c>
      <c r="J324">
        <f>0.260358050159956*(100)</f>
        <v>26.035805015995599</v>
      </c>
      <c r="K324">
        <f>0.0764242658298951*(100)</f>
        <v>7.6424265829895104</v>
      </c>
      <c r="L324" s="2">
        <v>3.9321000000000002</v>
      </c>
      <c r="M324" s="2">
        <v>1.0911999999999999</v>
      </c>
      <c r="N324" s="2">
        <v>2.3109999999999999</v>
      </c>
      <c r="O324" s="2">
        <v>0.69730000000000003</v>
      </c>
      <c r="P324" s="2">
        <v>2.1034999999999999</v>
      </c>
      <c r="Q324" s="2">
        <v>19.9649</v>
      </c>
      <c r="R324" s="2">
        <v>10.2779295170689</v>
      </c>
      <c r="S324" s="2">
        <v>0.65417546298988605</v>
      </c>
      <c r="T324" s="2">
        <v>6.0689979164147099</v>
      </c>
      <c r="U324" s="2">
        <v>58.732700000000001</v>
      </c>
      <c r="V324" s="2">
        <v>1.24470211794187</v>
      </c>
      <c r="W324" s="2">
        <v>1.3560551246480901</v>
      </c>
      <c r="X324" s="2">
        <v>85.166191546222407</v>
      </c>
      <c r="Y324" s="2">
        <v>6.4577457342581202</v>
      </c>
      <c r="Z324" s="4">
        <v>7.3</v>
      </c>
      <c r="AA324" s="4">
        <v>12.2</v>
      </c>
      <c r="AB324" s="2">
        <v>2</v>
      </c>
      <c r="AC324" s="2">
        <v>16.899999999999999</v>
      </c>
      <c r="AD324" s="2">
        <v>6.7000000000000028</v>
      </c>
      <c r="AE324" s="2">
        <v>0</v>
      </c>
    </row>
    <row r="325" spans="1:31" x14ac:dyDescent="0.25">
      <c r="A325" s="2" t="s">
        <v>441</v>
      </c>
      <c r="B325" s="2">
        <v>2014</v>
      </c>
      <c r="C325" s="2" t="s">
        <v>442</v>
      </c>
      <c r="D325" s="2" t="s">
        <v>347</v>
      </c>
      <c r="E325" s="2">
        <v>5.4170999999999996</v>
      </c>
      <c r="F325" s="2">
        <v>7.2065999999999999</v>
      </c>
      <c r="G325" s="2">
        <v>4.4135999999999997</v>
      </c>
      <c r="H325" s="2">
        <v>1.3724000000000001</v>
      </c>
      <c r="I325" s="2">
        <v>1.1398999999999999</v>
      </c>
      <c r="J325">
        <f>0.210276265860979*(100)</f>
        <v>21.027626586097899</v>
      </c>
      <c r="K325">
        <f>0.0950289531469067*(100)</f>
        <v>9.5028953146906687</v>
      </c>
      <c r="L325" s="2">
        <v>2.8168000000000002</v>
      </c>
      <c r="M325" s="2">
        <v>0.69620000000000004</v>
      </c>
      <c r="N325" s="2">
        <v>1.9174</v>
      </c>
      <c r="O325" s="2">
        <v>0.40479999999999999</v>
      </c>
      <c r="P325" s="2">
        <v>1.1306</v>
      </c>
      <c r="Q325" s="2">
        <v>8.0517000000000003</v>
      </c>
      <c r="R325" s="2">
        <v>102.854576620321</v>
      </c>
      <c r="S325" s="2">
        <v>12.6955951543776</v>
      </c>
      <c r="T325" s="2">
        <v>6.0014491363185201</v>
      </c>
      <c r="U325" s="2">
        <v>56.954099999999997</v>
      </c>
      <c r="V325" s="2">
        <v>17.772986653449198</v>
      </c>
      <c r="W325" s="2">
        <v>2.0041434696637599</v>
      </c>
      <c r="X325" s="2">
        <v>66.662630238421499</v>
      </c>
      <c r="Y325" s="2">
        <v>14.168097044912601</v>
      </c>
      <c r="Z325" s="4">
        <v>7.3</v>
      </c>
      <c r="AA325" s="4">
        <v>12.2</v>
      </c>
      <c r="AB325" s="2">
        <v>2</v>
      </c>
      <c r="AC325" s="2">
        <v>16.899999999999999</v>
      </c>
      <c r="AD325" s="2">
        <v>6.7000000000000028</v>
      </c>
      <c r="AE325" s="2">
        <v>0</v>
      </c>
    </row>
    <row r="326" spans="1:31" x14ac:dyDescent="0.25">
      <c r="A326" s="2" t="s">
        <v>441</v>
      </c>
      <c r="B326" s="2">
        <v>2015</v>
      </c>
      <c r="C326" s="2" t="s">
        <v>442</v>
      </c>
      <c r="D326" s="2" t="s">
        <v>347</v>
      </c>
      <c r="E326" s="2">
        <v>9.2284000000000006</v>
      </c>
      <c r="F326" s="2">
        <v>12.376899999999999</v>
      </c>
      <c r="G326" s="2">
        <v>8.2673000000000005</v>
      </c>
      <c r="H326" s="2">
        <v>1.3856999999999999</v>
      </c>
      <c r="I326" s="2">
        <v>1.2065999999999999</v>
      </c>
      <c r="J326">
        <f>0.326978317377886*(100)</f>
        <v>32.697831737788604</v>
      </c>
      <c r="K326">
        <f>0.089796276845434*(100)</f>
        <v>8.9796276845433987</v>
      </c>
      <c r="L326" s="2">
        <v>5.2210000000000001</v>
      </c>
      <c r="M326" s="2">
        <v>0.99609999999999999</v>
      </c>
      <c r="N326" s="2">
        <v>2.2014999999999998</v>
      </c>
      <c r="O326" s="2">
        <v>0.56200000000000006</v>
      </c>
      <c r="P326" s="2">
        <v>1.7257</v>
      </c>
      <c r="Q326" s="2">
        <v>23.5318</v>
      </c>
      <c r="R326" s="2">
        <v>112.54211066822801</v>
      </c>
      <c r="S326" s="2">
        <v>21.627951702132702</v>
      </c>
      <c r="T326" s="2">
        <v>47.798467744887603</v>
      </c>
      <c r="U326" s="2">
        <v>58.090200000000003</v>
      </c>
      <c r="V326" s="2">
        <v>16.3798898638656</v>
      </c>
      <c r="W326" s="2">
        <v>1.51675149210483</v>
      </c>
      <c r="X326" s="2">
        <v>80.533666392208403</v>
      </c>
      <c r="Y326" s="2">
        <v>12.217245374221999</v>
      </c>
      <c r="Z326" s="4">
        <v>6.9099999999999993</v>
      </c>
      <c r="AA326" s="4">
        <v>13.3</v>
      </c>
      <c r="AB326" s="2">
        <v>1.4</v>
      </c>
      <c r="AC326" s="2">
        <v>17.600000000000001</v>
      </c>
      <c r="AD326" s="2">
        <v>5.7000000000000028</v>
      </c>
      <c r="AE326" s="2">
        <v>0</v>
      </c>
    </row>
    <row r="327" spans="1:31" x14ac:dyDescent="0.25">
      <c r="A327" s="2" t="s">
        <v>441</v>
      </c>
      <c r="B327" s="2">
        <v>2016</v>
      </c>
      <c r="C327" s="2" t="s">
        <v>442</v>
      </c>
      <c r="D327" s="2" t="s">
        <v>347</v>
      </c>
      <c r="E327" s="2">
        <v>5.8776000000000002</v>
      </c>
      <c r="F327" s="2">
        <v>5.7611999999999997</v>
      </c>
      <c r="G327" s="2">
        <v>8.0422999999999991</v>
      </c>
      <c r="H327" s="2">
        <v>2.9199000000000002</v>
      </c>
      <c r="I327" s="2">
        <v>2.5950000000000002</v>
      </c>
      <c r="J327">
        <f>0.405119031271071*(100)</f>
        <v>40.511903127107104</v>
      </c>
      <c r="K327">
        <f>0.0543033626944492*(100)</f>
        <v>5.4303362694449202</v>
      </c>
      <c r="L327" s="2">
        <v>4.4313000000000002</v>
      </c>
      <c r="M327" s="2">
        <v>0.70609999999999995</v>
      </c>
      <c r="N327" s="2">
        <v>1.4850000000000001</v>
      </c>
      <c r="O327" s="2">
        <v>0.41260000000000002</v>
      </c>
      <c r="P327" s="2">
        <v>1.2904</v>
      </c>
      <c r="Q327" s="2">
        <v>7.0757000000000003</v>
      </c>
      <c r="R327" s="2">
        <v>5.7385075879117</v>
      </c>
      <c r="S327" s="2">
        <v>21.403679387476501</v>
      </c>
      <c r="T327" s="2">
        <v>136.417683116142</v>
      </c>
      <c r="U327" s="2">
        <v>21.244299999999999</v>
      </c>
      <c r="V327" s="2">
        <v>1.05082965237806</v>
      </c>
      <c r="W327" s="2">
        <v>2.8213963200043102</v>
      </c>
      <c r="X327" s="2">
        <v>76.717132631892099</v>
      </c>
      <c r="Y327" s="2">
        <v>3.0662015019211499</v>
      </c>
      <c r="Z327" s="4">
        <v>6.7</v>
      </c>
      <c r="AA327" s="4">
        <v>11.3</v>
      </c>
      <c r="AB327" s="2">
        <v>2</v>
      </c>
      <c r="AC327" s="2">
        <v>15.9</v>
      </c>
      <c r="AD327" s="2">
        <v>5.7000000000000028</v>
      </c>
      <c r="AE327" s="2">
        <v>0</v>
      </c>
    </row>
    <row r="328" spans="1:31" x14ac:dyDescent="0.25">
      <c r="A328" s="2" t="s">
        <v>443</v>
      </c>
      <c r="B328" s="2">
        <v>2017</v>
      </c>
      <c r="C328" s="2" t="s">
        <v>597</v>
      </c>
      <c r="D328" s="2" t="s">
        <v>324</v>
      </c>
      <c r="E328" s="2">
        <v>11.0717</v>
      </c>
      <c r="F328" s="2">
        <v>13.220599999999999</v>
      </c>
      <c r="G328" s="2">
        <v>43.772100000000002</v>
      </c>
      <c r="H328" s="2">
        <v>1.8903000000000001</v>
      </c>
      <c r="I328" s="2">
        <v>1.6860999999999999</v>
      </c>
      <c r="J328">
        <f>0.330790152423552*(100)</f>
        <v>33.079015242355197</v>
      </c>
      <c r="K328">
        <f>-0.0151690181058711*(100)</f>
        <v>-1.5169018105871099</v>
      </c>
      <c r="L328" s="2">
        <v>1.8560000000000001</v>
      </c>
      <c r="M328" s="2">
        <v>0.42780000000000001</v>
      </c>
      <c r="N328" s="2">
        <v>10.8941</v>
      </c>
      <c r="O328" s="2">
        <v>0.247</v>
      </c>
      <c r="P328" s="2">
        <v>1.1209</v>
      </c>
      <c r="Q328" s="2">
        <v>24.451899999999998</v>
      </c>
      <c r="R328" s="2">
        <v>67.679560052922099</v>
      </c>
      <c r="S328" s="2">
        <v>30.3400803596865</v>
      </c>
      <c r="T328" s="2">
        <v>16.234797593533401</v>
      </c>
      <c r="U328" s="2">
        <v>32.694899999999997</v>
      </c>
      <c r="V328" s="2">
        <v>0.58234580879428699</v>
      </c>
      <c r="W328" s="2">
        <v>29.323766766942601</v>
      </c>
      <c r="X328" s="2">
        <v>72.817995003565912</v>
      </c>
      <c r="Y328" s="2">
        <v>-2.2720103352834</v>
      </c>
      <c r="Z328" s="4">
        <v>6.9</v>
      </c>
      <c r="AA328" s="4">
        <v>8.2000000000000011</v>
      </c>
      <c r="AB328" s="2">
        <v>1.6</v>
      </c>
      <c r="AC328" s="2">
        <v>16.3</v>
      </c>
      <c r="AD328" s="2">
        <v>6.2000000000000028</v>
      </c>
      <c r="AE328" s="2">
        <v>0</v>
      </c>
    </row>
    <row r="329" spans="1:31" x14ac:dyDescent="0.25">
      <c r="A329" s="2" t="s">
        <v>443</v>
      </c>
      <c r="B329" s="2">
        <v>2018</v>
      </c>
      <c r="C329" s="2" t="s">
        <v>444</v>
      </c>
      <c r="D329" s="2" t="s">
        <v>324</v>
      </c>
      <c r="E329" s="2">
        <v>4.6567999999999996</v>
      </c>
      <c r="F329" s="2">
        <v>4.5087999999999999</v>
      </c>
      <c r="G329" s="2">
        <v>16.8828</v>
      </c>
      <c r="H329" s="2">
        <v>2.0324</v>
      </c>
      <c r="I329" s="2">
        <v>1.7825</v>
      </c>
      <c r="J329">
        <f>0.484324915470371*(100)</f>
        <v>48.432491547037095</v>
      </c>
      <c r="K329">
        <f>-0.192901152839083*(100)</f>
        <v>-19.2901152839083</v>
      </c>
      <c r="L329" s="2">
        <v>1.8811</v>
      </c>
      <c r="M329" s="2">
        <v>0.4234</v>
      </c>
      <c r="N329" s="2">
        <v>9.2774000000000001</v>
      </c>
      <c r="O329" s="2">
        <v>0.24260000000000001</v>
      </c>
      <c r="P329" s="2">
        <v>0.91969999999999996</v>
      </c>
      <c r="Q329" s="2">
        <v>10.374700000000001</v>
      </c>
      <c r="R329" s="2">
        <v>-61.568581698204902</v>
      </c>
      <c r="S329" s="2">
        <v>-1.98486741701064</v>
      </c>
      <c r="T329" s="2">
        <v>2.9214923128002899</v>
      </c>
      <c r="U329" s="2">
        <v>29.251000000000001</v>
      </c>
      <c r="V329" s="2">
        <v>2.7723566488695099</v>
      </c>
      <c r="W329" s="2">
        <v>24.054263038507699</v>
      </c>
      <c r="X329" s="2">
        <v>77.846457196608497</v>
      </c>
      <c r="Y329" s="2">
        <v>-23.025032669873298</v>
      </c>
      <c r="Z329" s="4">
        <v>6.6000000000000005</v>
      </c>
      <c r="AA329" s="4">
        <v>8.1</v>
      </c>
      <c r="AB329" s="2">
        <v>2.1</v>
      </c>
      <c r="AC329" s="2">
        <v>12.5</v>
      </c>
      <c r="AD329" s="2">
        <v>6.0999999999999943</v>
      </c>
      <c r="AE329" s="2">
        <v>0</v>
      </c>
    </row>
    <row r="330" spans="1:31" x14ac:dyDescent="0.25">
      <c r="A330" s="2" t="s">
        <v>445</v>
      </c>
      <c r="B330" s="2">
        <v>2014</v>
      </c>
      <c r="C330" s="2" t="s">
        <v>446</v>
      </c>
      <c r="D330" s="2" t="s">
        <v>324</v>
      </c>
      <c r="E330" s="2">
        <v>7.6391999999999998</v>
      </c>
      <c r="F330" s="2">
        <v>13.7377</v>
      </c>
      <c r="G330" s="2">
        <v>10.2811</v>
      </c>
      <c r="H330" s="2">
        <v>1.2358</v>
      </c>
      <c r="I330" s="2">
        <v>0.87239999999999995</v>
      </c>
      <c r="J330">
        <f>0.143682570544356*(100)</f>
        <v>14.368257054435599</v>
      </c>
      <c r="K330">
        <f>-0.0761294219903857*(100)</f>
        <v>-7.6129421990385708</v>
      </c>
      <c r="L330" s="2">
        <v>2.9323000000000001</v>
      </c>
      <c r="M330" s="2">
        <v>1.1941999999999999</v>
      </c>
      <c r="N330" s="2">
        <v>3.0882999999999998</v>
      </c>
      <c r="O330" s="2">
        <v>0.63780000000000003</v>
      </c>
      <c r="P330" s="2">
        <v>7.4530000000000003</v>
      </c>
      <c r="Q330" s="2">
        <v>17.105499999999999</v>
      </c>
      <c r="R330" s="2">
        <v>25.059500367747098</v>
      </c>
      <c r="S330" s="2">
        <v>17.8987787040626</v>
      </c>
      <c r="T330" s="2">
        <v>25.5591607458501</v>
      </c>
      <c r="U330" s="2">
        <v>49.2806</v>
      </c>
      <c r="V330" s="2">
        <v>5.2349034525021301</v>
      </c>
      <c r="W330" s="2">
        <v>2.3474434357996401</v>
      </c>
      <c r="X330" s="2">
        <v>81.8896313699411</v>
      </c>
      <c r="Y330" s="2">
        <v>-6.3651098566170701</v>
      </c>
      <c r="Z330" s="4">
        <v>7.3</v>
      </c>
      <c r="AA330" s="4">
        <v>12.2</v>
      </c>
      <c r="AB330" s="2">
        <v>2</v>
      </c>
      <c r="AC330" s="2">
        <v>16.899999999999999</v>
      </c>
      <c r="AD330" s="2">
        <v>6.7000000000000028</v>
      </c>
      <c r="AE330" s="2">
        <v>0</v>
      </c>
    </row>
    <row r="331" spans="1:31" x14ac:dyDescent="0.25">
      <c r="A331" s="2" t="s">
        <v>445</v>
      </c>
      <c r="B331" s="2">
        <v>2015</v>
      </c>
      <c r="C331" s="2" t="s">
        <v>446</v>
      </c>
      <c r="D331" s="2" t="s">
        <v>324</v>
      </c>
      <c r="E331" s="2">
        <v>8.6709999999999994</v>
      </c>
      <c r="F331" s="2">
        <v>14.017300000000001</v>
      </c>
      <c r="G331" s="2">
        <v>18.211600000000001</v>
      </c>
      <c r="H331" s="2">
        <v>1.4112</v>
      </c>
      <c r="I331" s="2">
        <v>1.0347</v>
      </c>
      <c r="J331">
        <f>0.251692774798164*(100)</f>
        <v>25.169277479816397</v>
      </c>
      <c r="K331">
        <f>0.14008502867186*(100)</f>
        <v>14.008502867186001</v>
      </c>
      <c r="L331" s="2">
        <v>2.2000000000000002</v>
      </c>
      <c r="M331" s="2">
        <v>0.79520000000000002</v>
      </c>
      <c r="N331" s="2">
        <v>2.0272000000000001</v>
      </c>
      <c r="O331" s="2">
        <v>0.44929999999999998</v>
      </c>
      <c r="P331" s="2">
        <v>3.8666</v>
      </c>
      <c r="Q331" s="2">
        <v>-19.6477</v>
      </c>
      <c r="R331" s="2">
        <v>24.190011149393001</v>
      </c>
      <c r="S331" s="2">
        <v>11.1367204994043</v>
      </c>
      <c r="T331" s="2">
        <v>13.6364049207048</v>
      </c>
      <c r="U331" s="2">
        <v>47.892600000000002</v>
      </c>
      <c r="V331" s="2">
        <v>6.5348307876852791</v>
      </c>
      <c r="W331" s="2">
        <v>2.29925236541153</v>
      </c>
      <c r="X331" s="2">
        <v>94.801793946379192</v>
      </c>
      <c r="Y331" s="2">
        <v>15.720323882196</v>
      </c>
      <c r="Z331" s="4">
        <v>6.9099999999999993</v>
      </c>
      <c r="AA331" s="4">
        <v>13.3</v>
      </c>
      <c r="AB331" s="2">
        <v>1.4</v>
      </c>
      <c r="AC331" s="2">
        <v>17.600000000000001</v>
      </c>
      <c r="AD331" s="2">
        <v>5.7000000000000028</v>
      </c>
      <c r="AE331" s="2">
        <v>0</v>
      </c>
    </row>
    <row r="332" spans="1:31" x14ac:dyDescent="0.25">
      <c r="A332" s="2" t="s">
        <v>447</v>
      </c>
      <c r="B332" s="2">
        <v>2018</v>
      </c>
      <c r="C332" s="2" t="s">
        <v>448</v>
      </c>
      <c r="D332" s="2" t="s">
        <v>324</v>
      </c>
      <c r="E332" s="2">
        <v>3.8016000000000001</v>
      </c>
      <c r="F332" s="2">
        <v>7.2767999999999997</v>
      </c>
      <c r="G332" s="2">
        <v>3.7161</v>
      </c>
      <c r="H332" s="2">
        <v>1.0673999999999999</v>
      </c>
      <c r="I332" s="2">
        <v>0.79569999999999996</v>
      </c>
      <c r="J332">
        <f>0.500307919166119*(100)</f>
        <v>50.030791916611904</v>
      </c>
      <c r="K332">
        <f>0.145021495616385*(100)</f>
        <v>14.5021495616385</v>
      </c>
      <c r="L332" s="2">
        <v>4.5058999999999996</v>
      </c>
      <c r="M332" s="2">
        <v>1.3281000000000001</v>
      </c>
      <c r="N332" s="2">
        <v>3.1280000000000001</v>
      </c>
      <c r="O332" s="2">
        <v>0.83699999999999997</v>
      </c>
      <c r="P332" s="2">
        <v>5.6744000000000003</v>
      </c>
      <c r="Q332" s="2">
        <v>12.1511</v>
      </c>
      <c r="R332" s="2">
        <v>23.784566873509501</v>
      </c>
      <c r="S332" s="2">
        <v>5.0969242754237802</v>
      </c>
      <c r="T332" s="2">
        <v>4.4094324139253498</v>
      </c>
      <c r="U332" s="2">
        <v>62.791499999999999</v>
      </c>
      <c r="V332" s="2">
        <v>3.8783290964240296</v>
      </c>
      <c r="W332" s="2">
        <v>1.3948208401622</v>
      </c>
      <c r="X332" s="2">
        <v>102.738563695425</v>
      </c>
      <c r="Y332" s="2">
        <v>11.1492591032268</v>
      </c>
      <c r="Z332" s="4">
        <v>6.6000000000000005</v>
      </c>
      <c r="AA332" s="4">
        <v>8.1</v>
      </c>
      <c r="AB332" s="2">
        <v>2.1</v>
      </c>
      <c r="AC332" s="2">
        <v>12.5</v>
      </c>
      <c r="AD332" s="2">
        <v>6.0999999999999943</v>
      </c>
      <c r="AE332" s="2">
        <v>0</v>
      </c>
    </row>
    <row r="333" spans="1:31" x14ac:dyDescent="0.25">
      <c r="A333" s="2" t="s">
        <v>447</v>
      </c>
      <c r="B333" s="2">
        <v>2019</v>
      </c>
      <c r="C333" s="2" t="s">
        <v>448</v>
      </c>
      <c r="D333" s="2" t="s">
        <v>324</v>
      </c>
      <c r="E333" s="2">
        <v>2.9005999999999998</v>
      </c>
      <c r="F333" s="2">
        <v>6.4306999999999999</v>
      </c>
      <c r="G333" s="2">
        <v>3.0516999999999999</v>
      </c>
      <c r="H333" s="2">
        <v>1.1399999999999999</v>
      </c>
      <c r="I333" s="2">
        <v>0.84119999999999995</v>
      </c>
      <c r="J333">
        <f>0.238699998589317*(100)</f>
        <v>23.869999858931699</v>
      </c>
      <c r="K333">
        <f>0.0829383215173309*(100)</f>
        <v>8.2938321517330902</v>
      </c>
      <c r="L333" s="2">
        <v>4.5697000000000001</v>
      </c>
      <c r="M333" s="2">
        <v>1.3783000000000001</v>
      </c>
      <c r="N333" s="2">
        <v>3.1907000000000001</v>
      </c>
      <c r="O333" s="2">
        <v>0.85880000000000001</v>
      </c>
      <c r="P333" s="2">
        <v>4.7813999999999997</v>
      </c>
      <c r="Q333" s="2">
        <v>3.6183999999999998</v>
      </c>
      <c r="R333" s="2">
        <v>-13.2392702724936</v>
      </c>
      <c r="S333" s="2">
        <v>-2.7692413923189401</v>
      </c>
      <c r="T333" s="2">
        <v>3.3269614442757698</v>
      </c>
      <c r="U333" s="2">
        <v>60.669600000000003</v>
      </c>
      <c r="V333" s="2">
        <v>6.54077661911405</v>
      </c>
      <c r="W333" s="2">
        <v>1.4481162835805499</v>
      </c>
      <c r="X333" s="2">
        <v>87.876379379149512</v>
      </c>
      <c r="Y333" s="2">
        <v>5.7771086599876602</v>
      </c>
      <c r="Z333" s="4">
        <v>6</v>
      </c>
      <c r="AA333" s="4">
        <v>8.6999999999999993</v>
      </c>
      <c r="AB333" s="2">
        <v>2.9</v>
      </c>
      <c r="AC333" s="2">
        <v>15.6</v>
      </c>
      <c r="AD333" s="2">
        <v>4.7999999999999972</v>
      </c>
      <c r="AE333" s="2">
        <v>0</v>
      </c>
    </row>
    <row r="334" spans="1:31" x14ac:dyDescent="0.25">
      <c r="A334" s="2" t="s">
        <v>447</v>
      </c>
      <c r="B334" s="2">
        <v>2020</v>
      </c>
      <c r="C334" s="2" t="s">
        <v>448</v>
      </c>
      <c r="D334" s="2" t="s">
        <v>324</v>
      </c>
      <c r="E334" s="2">
        <v>1.8906000000000001</v>
      </c>
      <c r="F334" s="2">
        <v>3.6032000000000002</v>
      </c>
      <c r="G334" s="2">
        <v>1.8402000000000001</v>
      </c>
      <c r="H334" s="2">
        <v>1.1688000000000001</v>
      </c>
      <c r="I334" s="2">
        <v>0.92479999999999996</v>
      </c>
      <c r="J334">
        <f>0.408786384808277*(100)</f>
        <v>40.878638480827703</v>
      </c>
      <c r="K334">
        <f>0.0364050297175758*(100)</f>
        <v>3.6405029717575803</v>
      </c>
      <c r="L334" s="2">
        <v>4.4751000000000003</v>
      </c>
      <c r="M334" s="2">
        <v>1.2042999999999999</v>
      </c>
      <c r="N334" s="2">
        <v>2.9666999999999999</v>
      </c>
      <c r="O334" s="2">
        <v>0.76659999999999995</v>
      </c>
      <c r="P334" s="2">
        <v>3.7056</v>
      </c>
      <c r="Q334" s="2">
        <v>-8.7597000000000005</v>
      </c>
      <c r="R334" s="2">
        <v>-43.136728112133802</v>
      </c>
      <c r="S334" s="2">
        <v>7.2431350351824904</v>
      </c>
      <c r="T334" s="2">
        <v>1.94373894919301E-2</v>
      </c>
      <c r="U334" s="2">
        <v>63.4328</v>
      </c>
      <c r="V334" s="2">
        <v>7.4154017196410695</v>
      </c>
      <c r="W334" s="2">
        <v>1.4857454689304901</v>
      </c>
      <c r="X334" s="2">
        <v>93.095352854266196</v>
      </c>
      <c r="Y334" s="2">
        <v>3.1175184924587698</v>
      </c>
      <c r="Z334" s="4">
        <v>2.2999999999999998</v>
      </c>
      <c r="AA334" s="4">
        <v>10.100000000000001</v>
      </c>
      <c r="AB334" s="2">
        <v>2.5</v>
      </c>
      <c r="AC334" s="2">
        <v>16.100000000000001</v>
      </c>
      <c r="AD334" s="2">
        <v>2.4000000000000057</v>
      </c>
      <c r="AE334" s="2">
        <v>0</v>
      </c>
    </row>
    <row r="335" spans="1:31" x14ac:dyDescent="0.25">
      <c r="A335" s="2" t="s">
        <v>447</v>
      </c>
      <c r="B335" s="2">
        <v>2021</v>
      </c>
      <c r="C335" s="2" t="s">
        <v>448</v>
      </c>
      <c r="D335" s="2" t="s">
        <v>324</v>
      </c>
      <c r="E335" s="2">
        <v>1.7967</v>
      </c>
      <c r="F335" s="2">
        <v>6.0157999999999996</v>
      </c>
      <c r="G335" s="2">
        <v>1.6449</v>
      </c>
      <c r="H335" s="2">
        <v>1.2183999999999999</v>
      </c>
      <c r="I335" s="2">
        <v>0.97250000000000003</v>
      </c>
      <c r="J335">
        <f>0.492459867977109*(100)</f>
        <v>49.245986797710898</v>
      </c>
      <c r="K335">
        <f>0.0309239760516598*(100)</f>
        <v>3.0923976051659801</v>
      </c>
      <c r="L335" s="2">
        <v>5.6326000000000001</v>
      </c>
      <c r="M335" s="2">
        <v>1.2979000000000001</v>
      </c>
      <c r="N335" s="2">
        <v>3.9739</v>
      </c>
      <c r="O335" s="2">
        <v>0.875</v>
      </c>
      <c r="P335" s="2">
        <v>4.4551999999999996</v>
      </c>
      <c r="Q335" s="2">
        <v>42.504800000000003</v>
      </c>
      <c r="R335" s="2">
        <v>40.4230145008164</v>
      </c>
      <c r="S335" s="2">
        <v>41.126241498164497</v>
      </c>
      <c r="T335" s="2">
        <v>38.019839092432399</v>
      </c>
      <c r="U335" s="2">
        <v>63.760199999999998</v>
      </c>
      <c r="V335" s="2">
        <v>7.3036167737034905</v>
      </c>
      <c r="W335" s="2">
        <v>1.7957801562436699</v>
      </c>
      <c r="X335" s="2">
        <v>81.220905866019905</v>
      </c>
      <c r="Y335" s="2">
        <v>2.63775684817863</v>
      </c>
      <c r="Z335" s="4">
        <v>8.4</v>
      </c>
      <c r="AA335" s="4">
        <v>9</v>
      </c>
      <c r="AB335" s="2">
        <v>0.9</v>
      </c>
      <c r="AC335" s="2">
        <v>20.9</v>
      </c>
      <c r="AD335" s="2">
        <v>9.0999999999999943</v>
      </c>
      <c r="AE335" s="2">
        <v>0</v>
      </c>
    </row>
    <row r="336" spans="1:31" x14ac:dyDescent="0.25">
      <c r="A336" s="2" t="s">
        <v>451</v>
      </c>
      <c r="B336" s="2">
        <v>2019</v>
      </c>
      <c r="C336" s="2" t="s">
        <v>452</v>
      </c>
      <c r="D336" s="2" t="s">
        <v>345</v>
      </c>
      <c r="E336" s="2">
        <v>8.2922999999999991</v>
      </c>
      <c r="F336" s="2">
        <v>14.085100000000001</v>
      </c>
      <c r="G336" s="2">
        <v>17.497800000000002</v>
      </c>
      <c r="H336" s="2">
        <v>0.95099999999999996</v>
      </c>
      <c r="I336" s="2">
        <v>0.86419999999999997</v>
      </c>
      <c r="J336">
        <f>0.20372452383388*(100)</f>
        <v>20.372452383388001</v>
      </c>
      <c r="K336">
        <f>0.102599786891395*(100)</f>
        <v>10.2599786891395</v>
      </c>
      <c r="L336" s="2">
        <v>5.2641999999999998</v>
      </c>
      <c r="M336" s="2">
        <v>0.85219999999999996</v>
      </c>
      <c r="N336" s="2">
        <v>0.75180000000000002</v>
      </c>
      <c r="O336" s="2">
        <v>0.35520000000000002</v>
      </c>
      <c r="P336" s="2">
        <v>1.4548000000000001</v>
      </c>
      <c r="Q336" s="2">
        <v>45.850700000000003</v>
      </c>
      <c r="R336" s="2">
        <v>208.15135055903201</v>
      </c>
      <c r="S336" s="2">
        <v>30.395120981622199</v>
      </c>
      <c r="T336" s="2">
        <v>12.4140291795718</v>
      </c>
      <c r="U336" s="2">
        <v>63.290999999999997</v>
      </c>
      <c r="V336" s="2">
        <v>18.449737146345498</v>
      </c>
      <c r="W336" s="2">
        <v>0.78599848000997996</v>
      </c>
      <c r="X336" s="2">
        <v>87.917065076178702</v>
      </c>
      <c r="Y336" s="2">
        <v>20.692396505426501</v>
      </c>
      <c r="Z336" s="4">
        <v>6</v>
      </c>
      <c r="AA336" s="4">
        <v>8.6999999999999993</v>
      </c>
      <c r="AB336" s="2">
        <v>2.9</v>
      </c>
      <c r="AC336" s="2">
        <v>15.6</v>
      </c>
      <c r="AD336" s="2">
        <v>5.2000000000000028</v>
      </c>
      <c r="AE336" s="2">
        <v>0</v>
      </c>
    </row>
    <row r="337" spans="1:31" x14ac:dyDescent="0.25">
      <c r="A337" s="2" t="s">
        <v>451</v>
      </c>
      <c r="B337" s="2">
        <v>2020</v>
      </c>
      <c r="C337" s="2" t="s">
        <v>452</v>
      </c>
      <c r="D337" s="2" t="s">
        <v>345</v>
      </c>
      <c r="E337" s="2">
        <v>7.0717999999999996</v>
      </c>
      <c r="F337" s="2">
        <v>11.511799999999999</v>
      </c>
      <c r="G337" s="2">
        <v>16.493600000000001</v>
      </c>
      <c r="H337" s="2">
        <v>1.2477</v>
      </c>
      <c r="I337" s="2">
        <v>1.1919</v>
      </c>
      <c r="J337">
        <f>0.455202540807777*(100)</f>
        <v>45.520254080777697</v>
      </c>
      <c r="K337">
        <f>0.0164523529694063*(100)</f>
        <v>1.6452352969406301</v>
      </c>
      <c r="L337" s="2">
        <v>6.0683999999999996</v>
      </c>
      <c r="M337" s="2">
        <v>0.67400000000000004</v>
      </c>
      <c r="N337" s="2">
        <v>0.71950000000000003</v>
      </c>
      <c r="O337" s="2">
        <v>0.31380000000000002</v>
      </c>
      <c r="P337" s="2">
        <v>1.2701</v>
      </c>
      <c r="Q337" s="2">
        <v>23.142800000000001</v>
      </c>
      <c r="R337" s="2">
        <v>9.5833424526552804</v>
      </c>
      <c r="S337" s="2">
        <v>46.113766908894497</v>
      </c>
      <c r="T337" s="2">
        <v>53.060154619851801</v>
      </c>
      <c r="U337" s="2">
        <v>61.5672</v>
      </c>
      <c r="V337" s="2">
        <v>22.094710911919499</v>
      </c>
      <c r="W337" s="2">
        <v>0.92528142719956297</v>
      </c>
      <c r="X337" s="2">
        <v>65.243972630060696</v>
      </c>
      <c r="Y337" s="2">
        <v>3.8323688624690302</v>
      </c>
      <c r="Z337" s="4">
        <v>2.2999999999999998</v>
      </c>
      <c r="AA337" s="4">
        <v>10.100000000000001</v>
      </c>
      <c r="AB337" s="2">
        <v>2.5</v>
      </c>
      <c r="AC337" s="2">
        <v>16.100000000000001</v>
      </c>
      <c r="AD337" s="2">
        <v>2.7000000000000028</v>
      </c>
      <c r="AE337" s="2">
        <v>0</v>
      </c>
    </row>
    <row r="338" spans="1:31" x14ac:dyDescent="0.25">
      <c r="A338" s="2" t="s">
        <v>449</v>
      </c>
      <c r="B338" s="2">
        <v>2014</v>
      </c>
      <c r="C338" s="2" t="s">
        <v>450</v>
      </c>
      <c r="D338" s="2" t="s">
        <v>311</v>
      </c>
      <c r="E338" s="2">
        <v>2.1568999999999998</v>
      </c>
      <c r="F338" s="2">
        <v>2.3512</v>
      </c>
      <c r="G338" s="2">
        <v>-0.15390000000000001</v>
      </c>
      <c r="H338" s="2">
        <v>1.0707</v>
      </c>
      <c r="I338" s="2">
        <v>0.70109999999999995</v>
      </c>
      <c r="J338">
        <f>0.189931204004264*(100)</f>
        <v>18.993120400426399</v>
      </c>
      <c r="K338">
        <f>0.0370524337248138*(100)</f>
        <v>3.7052433724813802</v>
      </c>
      <c r="L338" s="2">
        <v>2.6432000000000002</v>
      </c>
      <c r="M338" s="2">
        <v>1.0095000000000001</v>
      </c>
      <c r="N338" s="2">
        <v>8.3962000000000003</v>
      </c>
      <c r="O338" s="2">
        <v>0.6321</v>
      </c>
      <c r="P338" s="2">
        <v>3.7454999999999998</v>
      </c>
      <c r="Q338" s="2">
        <v>16.201799999999999</v>
      </c>
      <c r="R338" s="2">
        <v>178.379039202646</v>
      </c>
      <c r="S338" s="2">
        <v>17.545556134480599</v>
      </c>
      <c r="T338" s="2">
        <v>-0.10179654005769501</v>
      </c>
      <c r="U338" s="2">
        <v>86.326899999999995</v>
      </c>
      <c r="V338" s="2">
        <v>26.132062217218898</v>
      </c>
      <c r="W338" s="2">
        <v>2.0139413282444498</v>
      </c>
      <c r="X338" s="2">
        <v>89.730858532325399</v>
      </c>
      <c r="Y338" s="2">
        <v>5.5286088499649795</v>
      </c>
      <c r="Z338" s="4">
        <v>7.3</v>
      </c>
      <c r="AA338" s="4">
        <v>12.2</v>
      </c>
      <c r="AB338" s="2">
        <v>2</v>
      </c>
      <c r="AC338" s="2">
        <v>16.899999999999999</v>
      </c>
      <c r="AD338" s="2">
        <v>9.5999999999999943</v>
      </c>
      <c r="AE338" s="2">
        <v>0</v>
      </c>
    </row>
    <row r="339" spans="1:31" x14ac:dyDescent="0.25">
      <c r="A339" s="2" t="s">
        <v>449</v>
      </c>
      <c r="B339" s="2">
        <v>2017</v>
      </c>
      <c r="C339" s="2" t="s">
        <v>450</v>
      </c>
      <c r="D339" s="2" t="s">
        <v>311</v>
      </c>
      <c r="E339" s="2">
        <v>1.4259999999999999</v>
      </c>
      <c r="F339" s="2">
        <v>2.8165</v>
      </c>
      <c r="G339" s="2">
        <v>1.2887999999999999</v>
      </c>
      <c r="H339" s="2">
        <v>1.0693999999999999</v>
      </c>
      <c r="I339" s="2">
        <v>0.71870000000000001</v>
      </c>
      <c r="J339">
        <f>0.297578420766827*(100)</f>
        <v>29.757842076682699</v>
      </c>
      <c r="K339">
        <f>0.0220190368438898*(100)</f>
        <v>2.2019036843889799</v>
      </c>
      <c r="L339" s="2">
        <v>2.3212000000000002</v>
      </c>
      <c r="M339" s="2">
        <v>0.90890000000000004</v>
      </c>
      <c r="N339" s="2">
        <v>18.687899999999999</v>
      </c>
      <c r="O339" s="2">
        <v>0.56210000000000004</v>
      </c>
      <c r="P339" s="2">
        <v>3.6537999999999999</v>
      </c>
      <c r="Q339" s="2">
        <v>50.566299999999998</v>
      </c>
      <c r="R339" s="2">
        <v>62.6242692100789</v>
      </c>
      <c r="S339" s="2">
        <v>26.943721660909699</v>
      </c>
      <c r="T339" s="2">
        <v>3.69778359509076</v>
      </c>
      <c r="U339" s="2">
        <v>83.4191</v>
      </c>
      <c r="V339" s="2">
        <v>25.172115214800002</v>
      </c>
      <c r="W339" s="2">
        <v>4.9671798262014004</v>
      </c>
      <c r="X339" s="2">
        <v>86.412802779582293</v>
      </c>
      <c r="Y339" s="2">
        <v>-0.93888061843055404</v>
      </c>
      <c r="Z339" s="4">
        <v>6.9</v>
      </c>
      <c r="AA339" s="4">
        <v>8.2000000000000011</v>
      </c>
      <c r="AB339" s="2">
        <v>1.6</v>
      </c>
      <c r="AC339" s="2">
        <v>16.3</v>
      </c>
      <c r="AD339" s="2">
        <v>3.9000000000000057</v>
      </c>
      <c r="AE339" s="2">
        <v>0</v>
      </c>
    </row>
    <row r="340" spans="1:31" x14ac:dyDescent="0.25">
      <c r="A340" s="2" t="s">
        <v>449</v>
      </c>
      <c r="B340" s="2">
        <v>2015</v>
      </c>
      <c r="C340" s="2" t="s">
        <v>450</v>
      </c>
      <c r="D340" s="2" t="s">
        <v>311</v>
      </c>
      <c r="E340" s="2">
        <v>1.1725000000000001</v>
      </c>
      <c r="F340" s="2">
        <v>2.4333</v>
      </c>
      <c r="G340" s="2">
        <v>-1.7600000000000001E-2</v>
      </c>
      <c r="H340" s="2">
        <v>1.2565</v>
      </c>
      <c r="I340" s="2">
        <v>0.85150000000000003</v>
      </c>
      <c r="J340">
        <f>0.365249452346898*(100)</f>
        <v>36.524945234689795</v>
      </c>
      <c r="K340">
        <f>-0.00472908442475212*(100)</f>
        <v>-0.47290844247521202</v>
      </c>
      <c r="L340" s="2">
        <v>1.8021</v>
      </c>
      <c r="M340" s="2">
        <v>0.67300000000000004</v>
      </c>
      <c r="N340" s="2">
        <v>8.5612999999999992</v>
      </c>
      <c r="O340" s="2">
        <v>0.45</v>
      </c>
      <c r="P340" s="2">
        <v>2.7902</v>
      </c>
      <c r="Q340" s="2">
        <v>-12.2178</v>
      </c>
      <c r="R340" s="2">
        <v>-16.136321095797701</v>
      </c>
      <c r="S340" s="2">
        <v>26.594467335686101</v>
      </c>
      <c r="T340" s="2">
        <v>15.7068329138585</v>
      </c>
      <c r="U340" s="2">
        <v>79.905299999999997</v>
      </c>
      <c r="V340" s="2">
        <v>27.595028791690403</v>
      </c>
      <c r="W340" s="2">
        <v>5.5570423004015099</v>
      </c>
      <c r="X340" s="2">
        <v>84.488190534754608</v>
      </c>
      <c r="Y340" s="2">
        <v>2.6949406566363701</v>
      </c>
      <c r="Z340" s="4">
        <v>6.9099999999999993</v>
      </c>
      <c r="AA340" s="4">
        <v>13.3</v>
      </c>
      <c r="AB340" s="2">
        <v>1.4</v>
      </c>
      <c r="AC340" s="2">
        <v>17.600000000000001</v>
      </c>
      <c r="AD340" s="2">
        <v>7.2999999999999972</v>
      </c>
      <c r="AE340" s="2">
        <v>0</v>
      </c>
    </row>
    <row r="341" spans="1:31" x14ac:dyDescent="0.25">
      <c r="A341" s="2" t="s">
        <v>449</v>
      </c>
      <c r="B341" s="2">
        <v>2016</v>
      </c>
      <c r="C341" s="2" t="s">
        <v>450</v>
      </c>
      <c r="D341" s="2" t="s">
        <v>311</v>
      </c>
      <c r="E341" s="2">
        <v>1.1334</v>
      </c>
      <c r="F341" s="2">
        <v>2.4739</v>
      </c>
      <c r="G341" s="2">
        <v>0.68200000000000005</v>
      </c>
      <c r="H341" s="2">
        <v>1.2005999999999999</v>
      </c>
      <c r="I341" s="2">
        <v>0.73429999999999995</v>
      </c>
      <c r="J341">
        <f>0.270091150875187*(100)</f>
        <v>27.009115087518698</v>
      </c>
      <c r="K341">
        <f>0.0140085654687656*(100)</f>
        <v>1.4008565468765599</v>
      </c>
      <c r="L341" s="2">
        <v>1.7648999999999999</v>
      </c>
      <c r="M341" s="2">
        <v>0.6976</v>
      </c>
      <c r="N341" s="2">
        <v>12.794499999999999</v>
      </c>
      <c r="O341" s="2">
        <v>0.46510000000000001</v>
      </c>
      <c r="P341" s="2">
        <v>2.9754999999999998</v>
      </c>
      <c r="Q341" s="2">
        <v>30.302700000000002</v>
      </c>
      <c r="R341" s="2">
        <v>240.61040101236401</v>
      </c>
      <c r="S341" s="2">
        <v>20.953408626913401</v>
      </c>
      <c r="T341" s="2">
        <v>18.809809898025598</v>
      </c>
      <c r="U341" s="2">
        <v>81.683300000000003</v>
      </c>
      <c r="V341" s="2">
        <v>27.866070009380898</v>
      </c>
      <c r="W341" s="2">
        <v>5.9622749399244803</v>
      </c>
      <c r="X341" s="2">
        <v>82.836240215885198</v>
      </c>
      <c r="Y341" s="2">
        <v>3.65631141672774</v>
      </c>
      <c r="Z341" s="4">
        <v>6.7</v>
      </c>
      <c r="AA341" s="4">
        <v>11.3</v>
      </c>
      <c r="AB341" s="2">
        <v>2</v>
      </c>
      <c r="AC341" s="2">
        <v>15.9</v>
      </c>
      <c r="AD341" s="2">
        <v>7.7000000000000028</v>
      </c>
      <c r="AE341" s="2">
        <v>0</v>
      </c>
    </row>
    <row r="342" spans="1:31" x14ac:dyDescent="0.25">
      <c r="A342" s="2" t="s">
        <v>449</v>
      </c>
      <c r="B342" s="2">
        <v>2020</v>
      </c>
      <c r="C342" s="2" t="s">
        <v>450</v>
      </c>
      <c r="D342" s="2" t="s">
        <v>311</v>
      </c>
      <c r="E342" s="2">
        <v>1.7985</v>
      </c>
      <c r="F342" s="2">
        <v>2.3374999999999999</v>
      </c>
      <c r="G342" s="2">
        <v>1.4080999999999999</v>
      </c>
      <c r="H342" s="2">
        <v>1.0511999999999999</v>
      </c>
      <c r="I342" s="2">
        <v>0.85329999999999995</v>
      </c>
      <c r="J342">
        <f>0.302078831459774*(100)</f>
        <v>30.207883145977398</v>
      </c>
      <c r="K342">
        <f>-0.00794905559343859*(100)</f>
        <v>-0.79490555934385898</v>
      </c>
      <c r="L342" s="2">
        <v>2.3576999999999999</v>
      </c>
      <c r="M342" s="2">
        <v>0.90590000000000004</v>
      </c>
      <c r="N342" s="2">
        <v>11.042</v>
      </c>
      <c r="O342" s="2">
        <v>0.34789999999999999</v>
      </c>
      <c r="P342" s="2">
        <v>6.3994</v>
      </c>
      <c r="Q342" s="2">
        <v>6.8159000000000001</v>
      </c>
      <c r="R342" s="2">
        <v>66.407469935529406</v>
      </c>
      <c r="S342" s="2">
        <v>23.440360810939801</v>
      </c>
      <c r="T342" s="2">
        <v>-1.88702369944443</v>
      </c>
      <c r="U342" s="2">
        <v>88.369299999999996</v>
      </c>
      <c r="V342" s="2">
        <v>55.666413840926097</v>
      </c>
      <c r="W342" s="2">
        <v>4.3877064169667204</v>
      </c>
      <c r="X342" s="2">
        <v>68.955673449401004</v>
      </c>
      <c r="Y342" s="2">
        <v>-2.4088624566174497</v>
      </c>
      <c r="Z342" s="4">
        <v>2.2999999999999998</v>
      </c>
      <c r="AA342" s="4">
        <v>10.100000000000001</v>
      </c>
      <c r="AB342" s="2">
        <v>2.5</v>
      </c>
      <c r="AC342" s="2">
        <v>16.100000000000001</v>
      </c>
      <c r="AD342" s="2">
        <v>2.7000000000000028</v>
      </c>
      <c r="AE342" s="2">
        <v>0</v>
      </c>
    </row>
    <row r="343" spans="1:31" x14ac:dyDescent="0.25">
      <c r="A343" s="2" t="s">
        <v>449</v>
      </c>
      <c r="B343" s="2">
        <v>2021</v>
      </c>
      <c r="C343" s="2" t="s">
        <v>450</v>
      </c>
      <c r="D343" s="2" t="s">
        <v>311</v>
      </c>
      <c r="E343" s="2">
        <v>1.8082</v>
      </c>
      <c r="F343" s="2">
        <v>1.877</v>
      </c>
      <c r="G343" s="2">
        <v>1.6068</v>
      </c>
      <c r="H343" s="2">
        <v>1.0012000000000001</v>
      </c>
      <c r="I343" s="2">
        <v>0.87029999999999996</v>
      </c>
      <c r="J343">
        <f>0.264217142217586*(100)</f>
        <v>26.421714221758602</v>
      </c>
      <c r="K343">
        <f>-0.0051928944068492*(100)</f>
        <v>-0.51928944068492</v>
      </c>
      <c r="L343" s="2">
        <v>2.4224999999999999</v>
      </c>
      <c r="M343" s="2">
        <v>0.8851</v>
      </c>
      <c r="N343" s="2">
        <v>14.7476</v>
      </c>
      <c r="O343" s="2">
        <v>0.28499999999999998</v>
      </c>
      <c r="P343" s="2">
        <v>6.4119000000000002</v>
      </c>
      <c r="Q343" s="2">
        <v>3.6678999999999999</v>
      </c>
      <c r="R343" s="2">
        <v>-14.3427389022448</v>
      </c>
      <c r="S343" s="2">
        <v>12.1044712132576</v>
      </c>
      <c r="T343" s="2">
        <v>11.514873529849201</v>
      </c>
      <c r="U343" s="2">
        <v>88.340599999999995</v>
      </c>
      <c r="V343" s="2">
        <v>58.1162528397549</v>
      </c>
      <c r="W343" s="2">
        <v>9.0230169724629405</v>
      </c>
      <c r="X343" s="2">
        <v>61.136187575644499</v>
      </c>
      <c r="Y343" s="2">
        <v>-1.7013266367043902</v>
      </c>
      <c r="Z343" s="4">
        <v>8.4</v>
      </c>
      <c r="AA343" s="4">
        <v>9</v>
      </c>
      <c r="AB343" s="2">
        <v>0.9</v>
      </c>
      <c r="AC343" s="2">
        <v>20.9</v>
      </c>
      <c r="AD343" s="2">
        <v>1.0999999999999943</v>
      </c>
      <c r="AE343" s="2">
        <v>0</v>
      </c>
    </row>
    <row r="344" spans="1:31" x14ac:dyDescent="0.25">
      <c r="A344" s="2" t="s">
        <v>453</v>
      </c>
      <c r="B344" s="2">
        <v>2015</v>
      </c>
      <c r="C344" s="2" t="s">
        <v>454</v>
      </c>
      <c r="D344" s="2" t="s">
        <v>311</v>
      </c>
      <c r="E344" s="2">
        <v>-0.74170000000000003</v>
      </c>
      <c r="F344" s="2">
        <v>-5.9630999999999998</v>
      </c>
      <c r="G344" s="2">
        <v>-4.4184999999999999</v>
      </c>
      <c r="H344" s="2">
        <v>2.0579999999999998</v>
      </c>
      <c r="I344" s="2">
        <v>0.9919</v>
      </c>
      <c r="J344">
        <f>0.358480671767925*(100)</f>
        <v>35.848067176792497</v>
      </c>
      <c r="K344">
        <f>-0.0843048004139574*(100)</f>
        <v>-8.4304800413957395</v>
      </c>
      <c r="L344" s="2">
        <v>0.73350000000000004</v>
      </c>
      <c r="M344" s="2">
        <v>0.50160000000000005</v>
      </c>
      <c r="N344" s="2">
        <v>8.5131999999999994</v>
      </c>
      <c r="O344" s="2">
        <v>0.4073</v>
      </c>
      <c r="P344" s="2">
        <v>2.1282999999999999</v>
      </c>
      <c r="Q344" s="2">
        <v>-11.731299999999999</v>
      </c>
      <c r="R344" s="2">
        <v>-145.25426314791099</v>
      </c>
      <c r="S344" s="2">
        <v>30.791208977243201</v>
      </c>
      <c r="T344" s="2">
        <v>41.328144357627401</v>
      </c>
      <c r="U344" s="2">
        <v>64.775999999999996</v>
      </c>
      <c r="V344" s="2">
        <v>25.747141895727999</v>
      </c>
      <c r="W344" s="2">
        <v>8.6873899398162404</v>
      </c>
      <c r="X344" s="2">
        <v>71.5987085219828</v>
      </c>
      <c r="Y344" s="2">
        <v>-15.195825387003001</v>
      </c>
      <c r="Z344" s="4">
        <v>6.9099999999999993</v>
      </c>
      <c r="AA344" s="4">
        <v>13.3</v>
      </c>
      <c r="AB344" s="2">
        <v>1.4</v>
      </c>
      <c r="AC344" s="2">
        <v>17.600000000000001</v>
      </c>
      <c r="AD344" s="2">
        <v>7.2999999999999972</v>
      </c>
      <c r="AE344" s="2">
        <v>0</v>
      </c>
    </row>
    <row r="345" spans="1:31" x14ac:dyDescent="0.25">
      <c r="A345" s="2" t="s">
        <v>453</v>
      </c>
      <c r="B345" s="2">
        <v>2017</v>
      </c>
      <c r="C345" s="2" t="s">
        <v>454</v>
      </c>
      <c r="D345" s="2" t="s">
        <v>311</v>
      </c>
      <c r="E345" s="2">
        <v>3.8650000000000002</v>
      </c>
      <c r="F345" s="2">
        <v>6.2290999999999999</v>
      </c>
      <c r="G345" s="2">
        <v>7.3023999999999996</v>
      </c>
      <c r="H345" s="2">
        <v>1.1879</v>
      </c>
      <c r="I345" s="2">
        <v>0.52559999999999996</v>
      </c>
      <c r="J345">
        <f>0.139314316842786*(100)</f>
        <v>13.9314316842786</v>
      </c>
      <c r="K345">
        <f>0.0228256463983376*(100)</f>
        <v>2.28256463983376</v>
      </c>
      <c r="L345" s="2">
        <v>0.72870000000000001</v>
      </c>
      <c r="M345" s="2">
        <v>0.50309999999999999</v>
      </c>
      <c r="N345" s="2">
        <v>8.7819000000000003</v>
      </c>
      <c r="O345" s="2">
        <v>0.35820000000000002</v>
      </c>
      <c r="P345" s="2">
        <v>2.3675000000000002</v>
      </c>
      <c r="Q345" s="2">
        <v>32.766300000000001</v>
      </c>
      <c r="R345" s="2">
        <v>151.686814789441</v>
      </c>
      <c r="S345" s="2">
        <v>14.7968404642048</v>
      </c>
      <c r="T345" s="2">
        <v>28.795195533915699</v>
      </c>
      <c r="U345" s="2">
        <v>63.178400000000003</v>
      </c>
      <c r="V345" s="2">
        <v>7.6158489379790693</v>
      </c>
      <c r="W345" s="2">
        <v>7.9404139494983301</v>
      </c>
      <c r="X345" s="2">
        <v>87.375449401879308</v>
      </c>
      <c r="Y345" s="2">
        <v>4.3034959257718306</v>
      </c>
      <c r="Z345" s="4">
        <v>6.9</v>
      </c>
      <c r="AA345" s="4">
        <v>8.2000000000000011</v>
      </c>
      <c r="AB345" s="2">
        <v>1.6</v>
      </c>
      <c r="AC345" s="2">
        <v>16.3</v>
      </c>
      <c r="AD345" s="2">
        <v>3.9000000000000057</v>
      </c>
      <c r="AE345" s="2">
        <v>0</v>
      </c>
    </row>
    <row r="346" spans="1:31" x14ac:dyDescent="0.25">
      <c r="A346" s="2" t="s">
        <v>453</v>
      </c>
      <c r="B346" s="2">
        <v>2018</v>
      </c>
      <c r="C346" s="2" t="s">
        <v>454</v>
      </c>
      <c r="D346" s="2" t="s">
        <v>311</v>
      </c>
      <c r="E346" s="2">
        <v>1.9118999999999999</v>
      </c>
      <c r="F346" s="2">
        <v>0.90910000000000002</v>
      </c>
      <c r="G346" s="2">
        <v>1.7103999999999999</v>
      </c>
      <c r="H346" s="2">
        <v>1.3029999999999999</v>
      </c>
      <c r="I346" s="2">
        <v>0.57110000000000005</v>
      </c>
      <c r="J346">
        <f>0.145285755762109*(100)</f>
        <v>14.528575576210901</v>
      </c>
      <c r="K346">
        <f>0.0186752690209703*(100)</f>
        <v>1.86752690209703</v>
      </c>
      <c r="L346" s="2">
        <v>0.70640000000000003</v>
      </c>
      <c r="M346" s="2">
        <v>0.47010000000000002</v>
      </c>
      <c r="N346" s="2">
        <v>7.6859999999999999</v>
      </c>
      <c r="O346" s="2">
        <v>0.31990000000000002</v>
      </c>
      <c r="P346" s="2">
        <v>2.4018000000000002</v>
      </c>
      <c r="Q346" s="2">
        <v>1.5049999999999999</v>
      </c>
      <c r="R346" s="2">
        <v>-84.047331363463897</v>
      </c>
      <c r="S346" s="2">
        <v>12.5189185815182</v>
      </c>
      <c r="T346" s="2">
        <v>0.81665528898627604</v>
      </c>
      <c r="U346" s="2">
        <v>67.492999999999995</v>
      </c>
      <c r="V346" s="2">
        <v>13.8738187235805</v>
      </c>
      <c r="W346" s="2">
        <v>8.6925543056055599</v>
      </c>
      <c r="X346" s="2">
        <v>101.705723260309</v>
      </c>
      <c r="Y346" s="2">
        <v>4.17234558358237</v>
      </c>
      <c r="Z346" s="4">
        <v>6.6000000000000005</v>
      </c>
      <c r="AA346" s="4">
        <v>8.1</v>
      </c>
      <c r="AB346" s="2">
        <v>2.1</v>
      </c>
      <c r="AC346" s="2">
        <v>12.5</v>
      </c>
      <c r="AD346" s="2">
        <v>4.7999999999999972</v>
      </c>
      <c r="AE346" s="2">
        <v>0</v>
      </c>
    </row>
    <row r="347" spans="1:31" x14ac:dyDescent="0.25">
      <c r="A347" s="2" t="s">
        <v>455</v>
      </c>
      <c r="B347" s="2">
        <v>2016</v>
      </c>
      <c r="C347" s="2" t="s">
        <v>456</v>
      </c>
      <c r="D347" s="2" t="s">
        <v>311</v>
      </c>
      <c r="E347" s="2">
        <v>6.5690999999999997</v>
      </c>
      <c r="F347" s="2">
        <v>8.4834999999999994</v>
      </c>
      <c r="G347" s="2">
        <v>12.605</v>
      </c>
      <c r="H347" s="2">
        <v>1.5289999999999999</v>
      </c>
      <c r="I347" s="2">
        <v>0.88470000000000004</v>
      </c>
      <c r="J347">
        <f>0.1502490411786*(100)</f>
        <v>15.02490411786</v>
      </c>
      <c r="K347">
        <f>-0.0673718564336478*(100)</f>
        <v>-6.7371856433647803</v>
      </c>
      <c r="L347" s="2">
        <v>1.2456</v>
      </c>
      <c r="M347" s="2">
        <v>0.67920000000000003</v>
      </c>
      <c r="N347" s="2">
        <v>2.8816999999999999</v>
      </c>
      <c r="O347" s="2">
        <v>0.44309999999999999</v>
      </c>
      <c r="P347" s="2">
        <v>2.0588000000000002</v>
      </c>
      <c r="Q347" s="2">
        <v>22.2059</v>
      </c>
      <c r="R347" s="2">
        <v>9.9293859001049594</v>
      </c>
      <c r="S347" s="2">
        <v>19.2676431634831</v>
      </c>
      <c r="T347" s="2">
        <v>25.008599997070899</v>
      </c>
      <c r="U347" s="2">
        <v>42.3264</v>
      </c>
      <c r="V347" s="2">
        <v>0.99544553341346709</v>
      </c>
      <c r="W347" s="2">
        <v>3.4081252494797099</v>
      </c>
      <c r="X347" s="2">
        <v>75.766438326594397</v>
      </c>
      <c r="Y347" s="2">
        <v>-7.0003751763786104</v>
      </c>
      <c r="Z347" s="4">
        <v>6.7</v>
      </c>
      <c r="AA347" s="4">
        <v>11.3</v>
      </c>
      <c r="AB347" s="2">
        <v>2</v>
      </c>
      <c r="AC347" s="2">
        <v>15.9</v>
      </c>
      <c r="AD347" s="2">
        <v>7.7000000000000028</v>
      </c>
      <c r="AE347" s="2">
        <v>0</v>
      </c>
    </row>
    <row r="348" spans="1:31" x14ac:dyDescent="0.25">
      <c r="A348" s="2" t="s">
        <v>455</v>
      </c>
      <c r="B348" s="2">
        <v>2017</v>
      </c>
      <c r="C348" s="2" t="s">
        <v>456</v>
      </c>
      <c r="D348" s="2" t="s">
        <v>311</v>
      </c>
      <c r="E348" s="2">
        <v>5.2327000000000004</v>
      </c>
      <c r="F348" s="2">
        <v>7.0423</v>
      </c>
      <c r="G348" s="2">
        <v>10.2318</v>
      </c>
      <c r="H348" s="2">
        <v>1.3874</v>
      </c>
      <c r="I348" s="2">
        <v>0.82989999999999997</v>
      </c>
      <c r="J348">
        <f>0.146527709509104*(100)</f>
        <v>14.652770950910398</v>
      </c>
      <c r="K348">
        <f>0.0445293065079989*(100)</f>
        <v>4.4529306507998898</v>
      </c>
      <c r="L348" s="2">
        <v>1.3037000000000001</v>
      </c>
      <c r="M348" s="2">
        <v>0.7</v>
      </c>
      <c r="N348" s="2">
        <v>2.5367000000000002</v>
      </c>
      <c r="O348" s="2">
        <v>0.44640000000000002</v>
      </c>
      <c r="P348" s="2">
        <v>1.7954000000000001</v>
      </c>
      <c r="Q348" s="2">
        <v>21.566299999999998</v>
      </c>
      <c r="R348" s="2">
        <v>-3.5907092952789301</v>
      </c>
      <c r="S348" s="2">
        <v>20.945118123106301</v>
      </c>
      <c r="T348" s="2">
        <v>6.3710143821547804</v>
      </c>
      <c r="U348" s="2">
        <v>49.249499999999998</v>
      </c>
      <c r="V348" s="2">
        <v>2.9465197034536401</v>
      </c>
      <c r="W348" s="2">
        <v>2.7956798660881201</v>
      </c>
      <c r="X348" s="2">
        <v>69.069199218694905</v>
      </c>
      <c r="Y348" s="2">
        <v>5.3789453127895497</v>
      </c>
      <c r="Z348" s="4">
        <v>6.9</v>
      </c>
      <c r="AA348" s="4">
        <v>8.2000000000000011</v>
      </c>
      <c r="AB348" s="2">
        <v>1.6</v>
      </c>
      <c r="AC348" s="2">
        <v>16.3</v>
      </c>
      <c r="AD348" s="2">
        <v>3.9000000000000057</v>
      </c>
      <c r="AE348" s="2">
        <v>0</v>
      </c>
    </row>
    <row r="349" spans="1:31" x14ac:dyDescent="0.25">
      <c r="A349" s="2" t="s">
        <v>455</v>
      </c>
      <c r="B349" s="2">
        <v>2018</v>
      </c>
      <c r="C349" s="2" t="s">
        <v>456</v>
      </c>
      <c r="D349" s="2" t="s">
        <v>311</v>
      </c>
      <c r="E349" s="2">
        <v>4.8426</v>
      </c>
      <c r="F349" s="2">
        <v>6.0784000000000002</v>
      </c>
      <c r="G349" s="2">
        <v>7.3106999999999998</v>
      </c>
      <c r="H349" s="2">
        <v>1.4661999999999999</v>
      </c>
      <c r="I349" s="2">
        <v>0.98089999999999999</v>
      </c>
      <c r="J349">
        <f>0.278164771232853*(100)</f>
        <v>27.816477123285299</v>
      </c>
      <c r="K349">
        <f>0.0249156551683252*(100)</f>
        <v>2.4915655168325199</v>
      </c>
      <c r="L349" s="2">
        <v>1.5053000000000001</v>
      </c>
      <c r="M349" s="2">
        <v>0.70379999999999998</v>
      </c>
      <c r="N349" s="2">
        <v>2.9407999999999999</v>
      </c>
      <c r="O349" s="2">
        <v>0.46429999999999999</v>
      </c>
      <c r="P349" s="2">
        <v>1.7125999999999999</v>
      </c>
      <c r="Q349" s="2">
        <v>27.559100000000001</v>
      </c>
      <c r="R349" s="2">
        <v>-7.3325863525181996</v>
      </c>
      <c r="S349" s="2">
        <v>24.117138534013499</v>
      </c>
      <c r="T349" s="2">
        <v>11.892965412830399</v>
      </c>
      <c r="U349" s="2">
        <v>54.287799999999997</v>
      </c>
      <c r="V349" s="2">
        <v>8.3462285284283713</v>
      </c>
      <c r="W349" s="2">
        <v>3.2924758228787998</v>
      </c>
      <c r="X349" s="2">
        <v>77.682030954742501</v>
      </c>
      <c r="Y349" s="2">
        <v>3.2266712970777505</v>
      </c>
      <c r="Z349" s="4">
        <v>6.6000000000000005</v>
      </c>
      <c r="AA349" s="4">
        <v>8.1</v>
      </c>
      <c r="AB349" s="2">
        <v>2.1</v>
      </c>
      <c r="AC349" s="2">
        <v>12.5</v>
      </c>
      <c r="AD349" s="2">
        <v>4.7999999999999972</v>
      </c>
      <c r="AE349" s="2">
        <v>0</v>
      </c>
    </row>
    <row r="350" spans="1:31" x14ac:dyDescent="0.25">
      <c r="A350" s="2" t="s">
        <v>457</v>
      </c>
      <c r="B350" s="2">
        <v>2016</v>
      </c>
      <c r="C350" s="2" t="s">
        <v>458</v>
      </c>
      <c r="D350" s="2" t="s">
        <v>311</v>
      </c>
      <c r="E350" s="2">
        <v>9.2738999999999994</v>
      </c>
      <c r="F350" s="2">
        <v>14.143800000000001</v>
      </c>
      <c r="G350" s="2">
        <v>14.822100000000001</v>
      </c>
      <c r="H350" s="2">
        <v>1.5506</v>
      </c>
      <c r="I350" s="2">
        <v>0.68689999999999996</v>
      </c>
      <c r="J350">
        <f>0.296856976128588*(100)</f>
        <v>29.685697612858803</v>
      </c>
      <c r="K350">
        <f>-0.118208127529663*(100)</f>
        <v>-11.820812752966301</v>
      </c>
      <c r="L350" s="2">
        <v>1.0339</v>
      </c>
      <c r="M350" s="2">
        <v>0.7349</v>
      </c>
      <c r="N350" s="2">
        <v>8.8892000000000007</v>
      </c>
      <c r="O350" s="2">
        <v>0.55210000000000004</v>
      </c>
      <c r="P350" s="2">
        <v>4.9177999999999997</v>
      </c>
      <c r="Q350" s="2">
        <v>65.312799999999996</v>
      </c>
      <c r="R350" s="2">
        <v>83.186969204145299</v>
      </c>
      <c r="S350" s="2">
        <v>29.525007606387</v>
      </c>
      <c r="T350" s="2">
        <v>12.436794367655301</v>
      </c>
      <c r="U350" s="2">
        <v>55.738900000000001</v>
      </c>
      <c r="V350" s="2">
        <v>8.8086834553903302</v>
      </c>
      <c r="W350" s="2">
        <v>8.5607995340286909</v>
      </c>
      <c r="X350" s="2">
        <v>48.263094194660098</v>
      </c>
      <c r="Y350" s="2">
        <v>-13.503440891690799</v>
      </c>
      <c r="Z350" s="4">
        <v>6.7</v>
      </c>
      <c r="AA350" s="4">
        <v>11.3</v>
      </c>
      <c r="AB350" s="2">
        <v>2</v>
      </c>
      <c r="AC350" s="2">
        <v>15.9</v>
      </c>
      <c r="AD350" s="2">
        <v>7.7000000000000028</v>
      </c>
      <c r="AE350" s="2">
        <v>0</v>
      </c>
    </row>
    <row r="351" spans="1:31" x14ac:dyDescent="0.25">
      <c r="A351" s="2" t="s">
        <v>457</v>
      </c>
      <c r="B351" s="2">
        <v>2017</v>
      </c>
      <c r="C351" s="2" t="s">
        <v>458</v>
      </c>
      <c r="D351" s="2" t="s">
        <v>311</v>
      </c>
      <c r="E351" s="2">
        <v>9.8772000000000002</v>
      </c>
      <c r="F351" s="2">
        <v>15.129200000000001</v>
      </c>
      <c r="G351" s="2">
        <v>14.309100000000001</v>
      </c>
      <c r="H351" s="2">
        <v>1.5628</v>
      </c>
      <c r="I351" s="2">
        <v>0.51990000000000003</v>
      </c>
      <c r="J351">
        <f>0.234528041308165*(100)</f>
        <v>23.452804130816499</v>
      </c>
      <c r="K351">
        <f>-0.0374879731825986*(100)</f>
        <v>-3.7487973182598595</v>
      </c>
      <c r="L351" s="2">
        <v>0.80859999999999999</v>
      </c>
      <c r="M351" s="2">
        <v>0.74860000000000004</v>
      </c>
      <c r="N351" s="2">
        <v>12.5962</v>
      </c>
      <c r="O351" s="2">
        <v>0.56459999999999999</v>
      </c>
      <c r="P351" s="2">
        <v>5.5861000000000001</v>
      </c>
      <c r="Q351" s="2">
        <v>35.827100000000002</v>
      </c>
      <c r="R351" s="2">
        <v>23.133673496893099</v>
      </c>
      <c r="S351" s="2">
        <v>31.9166675112827</v>
      </c>
      <c r="T351" s="2">
        <v>8.1748439630462304</v>
      </c>
      <c r="U351" s="2">
        <v>61.255600000000001</v>
      </c>
      <c r="V351" s="2">
        <v>11.7346397939541</v>
      </c>
      <c r="W351" s="2">
        <v>9.7507868529646409</v>
      </c>
      <c r="X351" s="2">
        <v>55.619928295464007</v>
      </c>
      <c r="Y351" s="2">
        <v>-4.6750510164765195</v>
      </c>
      <c r="Z351" s="4">
        <v>6.9</v>
      </c>
      <c r="AA351" s="4">
        <v>8.2000000000000011</v>
      </c>
      <c r="AB351" s="2">
        <v>1.6</v>
      </c>
      <c r="AC351" s="2">
        <v>16.3</v>
      </c>
      <c r="AD351" s="2">
        <v>3.9000000000000057</v>
      </c>
      <c r="AE351" s="2">
        <v>0</v>
      </c>
    </row>
    <row r="352" spans="1:31" x14ac:dyDescent="0.25">
      <c r="A352" s="2" t="s">
        <v>457</v>
      </c>
      <c r="B352" s="2">
        <v>2018</v>
      </c>
      <c r="C352" s="2" t="s">
        <v>458</v>
      </c>
      <c r="D352" s="2" t="s">
        <v>311</v>
      </c>
      <c r="E352" s="2">
        <v>3.5125000000000002</v>
      </c>
      <c r="F352" s="2">
        <v>1.2593000000000001</v>
      </c>
      <c r="G352" s="2">
        <v>3.1901000000000002</v>
      </c>
      <c r="H352" s="2">
        <v>1.4245000000000001</v>
      </c>
      <c r="I352" s="2">
        <v>0.45590000000000003</v>
      </c>
      <c r="J352">
        <f>0.176904054015342*(100)</f>
        <v>17.6904054015342</v>
      </c>
      <c r="K352">
        <f>-0.0218922326782565*(100)</f>
        <v>-2.1892232678256502</v>
      </c>
      <c r="L352" s="2">
        <v>0.55769999999999997</v>
      </c>
      <c r="M352" s="2">
        <v>0.53339999999999999</v>
      </c>
      <c r="N352" s="2">
        <v>10.440300000000001</v>
      </c>
      <c r="O352" s="2">
        <v>0.41920000000000002</v>
      </c>
      <c r="P352" s="2">
        <v>4.0585000000000004</v>
      </c>
      <c r="Q352" s="2">
        <v>-10.191700000000001</v>
      </c>
      <c r="R352" s="2">
        <v>-89.895823274782899</v>
      </c>
      <c r="S352" s="2">
        <v>5.8090061594939604</v>
      </c>
      <c r="T352" s="2">
        <v>-11.6698324150133</v>
      </c>
      <c r="U352" s="2">
        <v>65.239900000000006</v>
      </c>
      <c r="V352" s="2">
        <v>9.3282363694018908</v>
      </c>
      <c r="W352" s="2">
        <v>8.5782077120352191</v>
      </c>
      <c r="X352" s="2">
        <v>64.439777073917597</v>
      </c>
      <c r="Y352" s="2">
        <v>-3.57907966114669</v>
      </c>
      <c r="Z352" s="4">
        <v>6.6000000000000005</v>
      </c>
      <c r="AA352" s="4">
        <v>8.1</v>
      </c>
      <c r="AB352" s="2">
        <v>2.1</v>
      </c>
      <c r="AC352" s="2">
        <v>12.5</v>
      </c>
      <c r="AD352" s="2">
        <v>4.7999999999999972</v>
      </c>
      <c r="AE352" s="2">
        <v>0</v>
      </c>
    </row>
    <row r="353" spans="1:31" x14ac:dyDescent="0.25">
      <c r="A353" s="2" t="s">
        <v>493</v>
      </c>
      <c r="B353" s="2">
        <v>2014</v>
      </c>
      <c r="C353" s="2" t="s">
        <v>494</v>
      </c>
      <c r="D353" s="2" t="s">
        <v>311</v>
      </c>
      <c r="E353" s="2">
        <v>4.9432</v>
      </c>
      <c r="F353" s="2">
        <v>12.789</v>
      </c>
      <c r="G353" s="2">
        <v>4.3685</v>
      </c>
      <c r="H353" s="2">
        <v>0.91610000000000003</v>
      </c>
      <c r="I353" s="2">
        <v>0.39229999999999998</v>
      </c>
      <c r="J353">
        <f>0.163526681604411*(100)</f>
        <v>16.352668160441102</v>
      </c>
      <c r="K353">
        <f>0.0404981466523279*(100)</f>
        <v>4.0498146652327902</v>
      </c>
      <c r="L353" s="2">
        <v>1.7425999999999999</v>
      </c>
      <c r="M353" s="2">
        <v>1.0618000000000001</v>
      </c>
      <c r="N353" s="2">
        <v>9.9126999999999992</v>
      </c>
      <c r="O353" s="2">
        <v>0.55940000000000001</v>
      </c>
      <c r="P353" s="2">
        <v>29.47</v>
      </c>
      <c r="Q353" s="2">
        <v>6.0511999999999997</v>
      </c>
      <c r="R353" s="2">
        <v>67.099265906695507</v>
      </c>
      <c r="S353" s="2">
        <v>17.8665699753873</v>
      </c>
      <c r="T353" s="2">
        <v>14.7722064234</v>
      </c>
      <c r="U353" s="2">
        <v>84.081100000000006</v>
      </c>
      <c r="V353" s="2">
        <v>26.0525252045692</v>
      </c>
      <c r="W353" s="2">
        <v>3.1057064408491599</v>
      </c>
      <c r="X353" s="2">
        <v>80.568122311570406</v>
      </c>
      <c r="Y353" s="2">
        <v>6.58676494418898</v>
      </c>
      <c r="Z353" s="4">
        <v>7.3</v>
      </c>
      <c r="AA353" s="4">
        <v>12.2</v>
      </c>
      <c r="AB353" s="2">
        <v>2</v>
      </c>
      <c r="AC353" s="2">
        <v>16.899999999999999</v>
      </c>
      <c r="AD353" s="2">
        <v>9.5999999999999943</v>
      </c>
      <c r="AE353" s="2">
        <v>0</v>
      </c>
    </row>
    <row r="354" spans="1:31" x14ac:dyDescent="0.25">
      <c r="A354" s="2" t="s">
        <v>493</v>
      </c>
      <c r="B354" s="2">
        <v>2015</v>
      </c>
      <c r="C354" s="2" t="s">
        <v>494</v>
      </c>
      <c r="D354" s="2" t="s">
        <v>311</v>
      </c>
      <c r="E354" s="2">
        <v>4.4863</v>
      </c>
      <c r="F354" s="2">
        <v>12.7393</v>
      </c>
      <c r="G354" s="2">
        <v>4.1805000000000003</v>
      </c>
      <c r="H354" s="2">
        <v>0.98870000000000002</v>
      </c>
      <c r="I354" s="2">
        <v>0.51829999999999998</v>
      </c>
      <c r="J354">
        <f>0.226296215927295*(100)</f>
        <v>22.629621592729503</v>
      </c>
      <c r="K354">
        <f>0.0668941705542855*(100)</f>
        <v>6.6894170554285495</v>
      </c>
      <c r="L354" s="2">
        <v>1.8893</v>
      </c>
      <c r="M354" s="2">
        <v>1.1309</v>
      </c>
      <c r="N354" s="2">
        <v>11.801600000000001</v>
      </c>
      <c r="O354" s="2">
        <v>0.57399999999999995</v>
      </c>
      <c r="P354" s="2">
        <v>28.2516</v>
      </c>
      <c r="Q354" s="2">
        <v>14.5122</v>
      </c>
      <c r="R354" s="2">
        <v>10.407173451069299</v>
      </c>
      <c r="S354" s="2">
        <v>5.49529110378485</v>
      </c>
      <c r="T354" s="2">
        <v>15.581932529451301</v>
      </c>
      <c r="U354" s="2">
        <v>82.908799999999999</v>
      </c>
      <c r="V354" s="2">
        <v>33.882779535017896</v>
      </c>
      <c r="W354" s="2">
        <v>3.6944097682998098</v>
      </c>
      <c r="X354" s="2">
        <v>86.939162219022307</v>
      </c>
      <c r="Y354" s="2">
        <v>9.9206870560707898</v>
      </c>
      <c r="Z354" s="4">
        <v>6.9099999999999993</v>
      </c>
      <c r="AA354" s="4">
        <v>13.3</v>
      </c>
      <c r="AB354" s="2">
        <v>1.4</v>
      </c>
      <c r="AC354" s="2">
        <v>17.600000000000001</v>
      </c>
      <c r="AD354" s="2">
        <v>7.2999999999999972</v>
      </c>
      <c r="AE354" s="2">
        <v>0</v>
      </c>
    </row>
    <row r="355" spans="1:31" x14ac:dyDescent="0.25">
      <c r="A355" s="2" t="s">
        <v>459</v>
      </c>
      <c r="B355" s="2">
        <v>2017</v>
      </c>
      <c r="C355" s="2" t="s">
        <v>460</v>
      </c>
      <c r="D355" s="2" t="s">
        <v>311</v>
      </c>
      <c r="E355" s="2">
        <v>4.1764999999999999</v>
      </c>
      <c r="F355" s="2">
        <v>9.8209999999999997</v>
      </c>
      <c r="G355" s="2">
        <v>7.3800999999999997</v>
      </c>
      <c r="H355" s="2">
        <v>1.0561</v>
      </c>
      <c r="I355" s="2">
        <v>0.82720000000000005</v>
      </c>
      <c r="J355">
        <f>0.342786307747316*(100)</f>
        <v>34.278630774731603</v>
      </c>
      <c r="K355">
        <f>0.0320758294727346*(100)</f>
        <v>3.2075829472734601</v>
      </c>
      <c r="L355" s="2">
        <v>3.7490999999999999</v>
      </c>
      <c r="M355" s="2">
        <v>0.83850000000000002</v>
      </c>
      <c r="N355" s="2">
        <v>9.3434000000000008</v>
      </c>
      <c r="O355" s="2">
        <v>0.46729999999999999</v>
      </c>
      <c r="P355" s="2">
        <v>2.2370999999999999</v>
      </c>
      <c r="Q355" s="2">
        <v>9.2949000000000002</v>
      </c>
      <c r="R355" s="2">
        <v>9.3345765863038501</v>
      </c>
      <c r="S355" s="2">
        <v>1.3531794582265999</v>
      </c>
      <c r="T355" s="2">
        <v>7.0277162445684302</v>
      </c>
      <c r="U355" s="2">
        <v>70.412899999999993</v>
      </c>
      <c r="V355" s="2">
        <v>16.728352770351201</v>
      </c>
      <c r="W355" s="2">
        <v>5.7420876551730302</v>
      </c>
      <c r="X355" s="2">
        <v>107.40322433531999</v>
      </c>
      <c r="Y355" s="2">
        <v>4.8657616509146306</v>
      </c>
      <c r="Z355" s="4">
        <v>6.9</v>
      </c>
      <c r="AA355" s="4">
        <v>8.2000000000000011</v>
      </c>
      <c r="AB355" s="2">
        <v>1.6</v>
      </c>
      <c r="AC355" s="2">
        <v>16.3</v>
      </c>
      <c r="AD355" s="2">
        <v>3.9000000000000057</v>
      </c>
      <c r="AE355" s="2">
        <v>0</v>
      </c>
    </row>
    <row r="356" spans="1:31" x14ac:dyDescent="0.25">
      <c r="A356" s="2" t="s">
        <v>459</v>
      </c>
      <c r="B356" s="2">
        <v>2018</v>
      </c>
      <c r="C356" s="2" t="s">
        <v>460</v>
      </c>
      <c r="D356" s="2" t="s">
        <v>311</v>
      </c>
      <c r="E356" s="2">
        <v>4.1124999999999998</v>
      </c>
      <c r="F356" s="2">
        <v>10.0205</v>
      </c>
      <c r="G356" s="2">
        <v>6.8076999999999996</v>
      </c>
      <c r="H356" s="2">
        <v>1.0779000000000001</v>
      </c>
      <c r="I356" s="2">
        <v>0.77129999999999999</v>
      </c>
      <c r="J356">
        <f>0.328236867029786*(100)</f>
        <v>32.823686702978598</v>
      </c>
      <c r="K356">
        <f>0.0272595811980685*(100)</f>
        <v>2.7259581198068501</v>
      </c>
      <c r="L356" s="2">
        <v>3.1328999999999998</v>
      </c>
      <c r="M356" s="2">
        <v>0.90590000000000004</v>
      </c>
      <c r="N356" s="2">
        <v>11.0702</v>
      </c>
      <c r="O356" s="2">
        <v>0.51090000000000002</v>
      </c>
      <c r="P356" s="2">
        <v>2.5617999999999999</v>
      </c>
      <c r="Q356" s="2">
        <v>18.308700000000002</v>
      </c>
      <c r="R356" s="2">
        <v>8.9716751327318001</v>
      </c>
      <c r="S356" s="2">
        <v>14.7974809110903</v>
      </c>
      <c r="T356" s="2">
        <v>7.2562677620590401</v>
      </c>
      <c r="U356" s="2">
        <v>72.388999999999996</v>
      </c>
      <c r="V356" s="2">
        <v>20.3180807774473</v>
      </c>
      <c r="W356" s="2">
        <v>6.6588943773404701</v>
      </c>
      <c r="X356" s="2">
        <v>110.43537176904501</v>
      </c>
      <c r="Y356" s="2">
        <v>4.1286122720595397</v>
      </c>
      <c r="Z356" s="4">
        <v>6.6000000000000005</v>
      </c>
      <c r="AA356" s="4">
        <v>8.1</v>
      </c>
      <c r="AB356" s="2">
        <v>2.1</v>
      </c>
      <c r="AC356" s="2">
        <v>12.5</v>
      </c>
      <c r="AD356" s="2">
        <v>4.7999999999999972</v>
      </c>
      <c r="AE356" s="2">
        <v>0</v>
      </c>
    </row>
    <row r="357" spans="1:31" x14ac:dyDescent="0.25">
      <c r="A357" s="2" t="s">
        <v>459</v>
      </c>
      <c r="B357" s="2">
        <v>2019</v>
      </c>
      <c r="C357" s="2" t="s">
        <v>460</v>
      </c>
      <c r="D357" s="2" t="s">
        <v>311</v>
      </c>
      <c r="E357" s="2">
        <v>4.01</v>
      </c>
      <c r="F357" s="2">
        <v>10.0809</v>
      </c>
      <c r="G357" s="2">
        <v>6.3993000000000002</v>
      </c>
      <c r="H357" s="2">
        <v>1.0778000000000001</v>
      </c>
      <c r="I357" s="2">
        <v>0.7238</v>
      </c>
      <c r="J357">
        <f>0.334436441569914*(100)</f>
        <v>33.443644156991397</v>
      </c>
      <c r="K357">
        <f>0.0727049568778473*(100)</f>
        <v>7.27049568778473</v>
      </c>
      <c r="L357" s="2">
        <v>2.6833999999999998</v>
      </c>
      <c r="M357" s="2">
        <v>0.94140000000000001</v>
      </c>
      <c r="N357" s="2">
        <v>14.386799999999999</v>
      </c>
      <c r="O357" s="2">
        <v>0.5181</v>
      </c>
      <c r="P357" s="2">
        <v>2.8729</v>
      </c>
      <c r="Q357" s="2">
        <v>17.023900000000001</v>
      </c>
      <c r="R357" s="2">
        <v>9.1876715919312097</v>
      </c>
      <c r="S357" s="2">
        <v>15.9635595848336</v>
      </c>
      <c r="T357" s="2">
        <v>7.4174794864063802</v>
      </c>
      <c r="U357" s="2">
        <v>74.195400000000006</v>
      </c>
      <c r="V357" s="2">
        <v>24.0000562711401</v>
      </c>
      <c r="W357" s="2">
        <v>8.2404059628097706</v>
      </c>
      <c r="X357" s="2">
        <v>106.73684552059399</v>
      </c>
      <c r="Y357" s="2">
        <v>11.1806736226917</v>
      </c>
      <c r="Z357" s="4">
        <v>6</v>
      </c>
      <c r="AA357" s="4">
        <v>8.6999999999999993</v>
      </c>
      <c r="AB357" s="2">
        <v>2.9</v>
      </c>
      <c r="AC357" s="2">
        <v>15.6</v>
      </c>
      <c r="AD357" s="2">
        <v>5.2000000000000028</v>
      </c>
      <c r="AE357" s="2">
        <v>0</v>
      </c>
    </row>
    <row r="358" spans="1:31" x14ac:dyDescent="0.25">
      <c r="A358" s="2" t="s">
        <v>461</v>
      </c>
      <c r="B358" s="2">
        <v>2021</v>
      </c>
      <c r="C358" s="2" t="s">
        <v>462</v>
      </c>
      <c r="D358" s="2" t="s">
        <v>311</v>
      </c>
      <c r="E358" s="2">
        <v>6.2492000000000001</v>
      </c>
      <c r="F358" s="2">
        <v>15.2027</v>
      </c>
      <c r="G358" s="2">
        <v>6.5148999999999999</v>
      </c>
      <c r="H358" s="2">
        <v>1.2565999999999999</v>
      </c>
      <c r="I358" s="2">
        <v>1.1544000000000001</v>
      </c>
      <c r="J358">
        <f>0.360000705773296*(100)</f>
        <v>36.000070577329602</v>
      </c>
      <c r="K358">
        <f>0.0794014476828257*(100)</f>
        <v>7.9401447682825701</v>
      </c>
      <c r="L358" s="2">
        <v>5.5551000000000004</v>
      </c>
      <c r="M358" s="2">
        <v>1.3322000000000001</v>
      </c>
      <c r="N358" s="2">
        <v>14.2515</v>
      </c>
      <c r="O358" s="2">
        <v>0.95760000000000001</v>
      </c>
      <c r="P358" s="2">
        <v>8.8454999999999995</v>
      </c>
      <c r="Q358" s="2">
        <v>18.664000000000001</v>
      </c>
      <c r="R358" s="2">
        <v>19.912388019097001</v>
      </c>
      <c r="S358" s="2">
        <v>0.56894044178657099</v>
      </c>
      <c r="T358" s="2">
        <v>0.246110032878608</v>
      </c>
      <c r="U358" s="2">
        <v>67.213200000000001</v>
      </c>
      <c r="V358" s="2">
        <v>7.2786923744981804</v>
      </c>
      <c r="W358" s="2">
        <v>4.6917846805580199</v>
      </c>
      <c r="X358" s="2">
        <v>85.139257431003301</v>
      </c>
      <c r="Y358" s="2">
        <v>6.1078120969485497</v>
      </c>
      <c r="Z358" s="4">
        <v>8.4</v>
      </c>
      <c r="AA358" s="4">
        <v>9</v>
      </c>
      <c r="AB358" s="2">
        <v>0.9</v>
      </c>
      <c r="AC358" s="2">
        <v>20.9</v>
      </c>
      <c r="AD358" s="2">
        <v>1.0999999999999943</v>
      </c>
      <c r="AE358" s="2">
        <v>0</v>
      </c>
    </row>
    <row r="359" spans="1:31" x14ac:dyDescent="0.25">
      <c r="A359" s="2" t="s">
        <v>463</v>
      </c>
      <c r="B359" s="2">
        <v>2014</v>
      </c>
      <c r="C359" s="2" t="s">
        <v>464</v>
      </c>
      <c r="D359" s="2" t="s">
        <v>311</v>
      </c>
      <c r="E359" s="2">
        <v>3.5385</v>
      </c>
      <c r="F359" s="2">
        <v>17.805800000000001</v>
      </c>
      <c r="G359" s="2">
        <v>2.2006000000000001</v>
      </c>
      <c r="H359" s="2">
        <v>0.94910000000000005</v>
      </c>
      <c r="I359" s="2">
        <v>0.54390000000000005</v>
      </c>
      <c r="J359">
        <f>0.113651587011226*(100)</f>
        <v>11.365158701122601</v>
      </c>
      <c r="K359">
        <f>-0.063069637572534*(100)</f>
        <v>-6.3069637572534001</v>
      </c>
      <c r="L359" s="2">
        <v>3.2924000000000002</v>
      </c>
      <c r="M359" s="2">
        <v>1.4997</v>
      </c>
      <c r="N359" s="2">
        <v>14.428800000000001</v>
      </c>
      <c r="O359" s="2">
        <v>1.1468</v>
      </c>
      <c r="P359" s="2">
        <v>5.2098000000000004</v>
      </c>
      <c r="Q359" s="2">
        <v>19.694800000000001</v>
      </c>
      <c r="R359" s="2">
        <v>2.9029929745657501</v>
      </c>
      <c r="S359" s="2">
        <v>33.7192120562692</v>
      </c>
      <c r="T359" s="2">
        <v>18.7105843740034</v>
      </c>
      <c r="U359" s="2">
        <v>89.743399999999994</v>
      </c>
      <c r="V359" s="2">
        <v>8.5094090132829301</v>
      </c>
      <c r="W359" s="2">
        <v>1.5086235565572801</v>
      </c>
      <c r="X359" s="2">
        <v>66.847622407278891</v>
      </c>
      <c r="Y359" s="2">
        <v>-5.6497195861736893</v>
      </c>
      <c r="Z359" s="4">
        <v>7.3</v>
      </c>
      <c r="AA359" s="4">
        <v>12.2</v>
      </c>
      <c r="AB359" s="2">
        <v>2</v>
      </c>
      <c r="AC359" s="2">
        <v>16.899999999999999</v>
      </c>
      <c r="AD359" s="2">
        <v>9.5999999999999943</v>
      </c>
      <c r="AE359" s="2">
        <v>0</v>
      </c>
    </row>
    <row r="360" spans="1:31" x14ac:dyDescent="0.25">
      <c r="A360" s="2" t="s">
        <v>463</v>
      </c>
      <c r="B360" s="2">
        <v>2016</v>
      </c>
      <c r="C360" s="2" t="s">
        <v>464</v>
      </c>
      <c r="D360" s="2" t="s">
        <v>311</v>
      </c>
      <c r="E360" s="2">
        <v>2.8454999999999999</v>
      </c>
      <c r="F360" s="2">
        <v>10.963699999999999</v>
      </c>
      <c r="G360" s="2">
        <v>2.8986999999999998</v>
      </c>
      <c r="H360" s="2">
        <v>1.0227999999999999</v>
      </c>
      <c r="I360" s="2">
        <v>0.56240000000000001</v>
      </c>
      <c r="J360">
        <f>0.148857112762173*(100)</f>
        <v>14.8857112762173</v>
      </c>
      <c r="K360">
        <f>-0.0477328950495578*(100)</f>
        <v>-4.7732895049557804</v>
      </c>
      <c r="L360" s="2">
        <v>1.7102999999999999</v>
      </c>
      <c r="M360" s="2">
        <v>0.82569999999999999</v>
      </c>
      <c r="N360" s="2">
        <v>13.1402</v>
      </c>
      <c r="O360" s="2">
        <v>0.6704</v>
      </c>
      <c r="P360" s="2">
        <v>2.9937999999999998</v>
      </c>
      <c r="Q360" s="2">
        <v>3.3418000000000001</v>
      </c>
      <c r="R360" s="2">
        <v>1.9924565108691099</v>
      </c>
      <c r="S360" s="2">
        <v>16.628720868502</v>
      </c>
      <c r="T360" s="2">
        <v>41.881150677552498</v>
      </c>
      <c r="U360" s="2">
        <v>85.823800000000006</v>
      </c>
      <c r="V360" s="2">
        <v>6.6647019398947798</v>
      </c>
      <c r="W360" s="2">
        <v>2.79756900622289</v>
      </c>
      <c r="X360" s="2">
        <v>85.868501056555402</v>
      </c>
      <c r="Y360" s="2">
        <v>-6.5958727037092908</v>
      </c>
      <c r="Z360" s="4">
        <v>6.7</v>
      </c>
      <c r="AA360" s="4">
        <v>11.3</v>
      </c>
      <c r="AB360" s="2">
        <v>2</v>
      </c>
      <c r="AC360" s="2">
        <v>15.9</v>
      </c>
      <c r="AD360" s="2">
        <v>7.7000000000000028</v>
      </c>
      <c r="AE360" s="2">
        <v>0</v>
      </c>
    </row>
    <row r="361" spans="1:31" x14ac:dyDescent="0.25">
      <c r="A361" s="2" t="s">
        <v>463</v>
      </c>
      <c r="B361" s="2">
        <v>2017</v>
      </c>
      <c r="C361" s="2" t="s">
        <v>464</v>
      </c>
      <c r="D361" s="2" t="s">
        <v>311</v>
      </c>
      <c r="E361" s="2">
        <v>2.6135000000000002</v>
      </c>
      <c r="F361" s="2">
        <v>9.5603999999999996</v>
      </c>
      <c r="G361" s="2">
        <v>2.9554999999999998</v>
      </c>
      <c r="H361" s="2">
        <v>1.0654999999999999</v>
      </c>
      <c r="I361" s="2">
        <v>0.60450000000000004</v>
      </c>
      <c r="J361">
        <f>0.164260786931573*(100)</f>
        <v>16.426078693157301</v>
      </c>
      <c r="K361">
        <f>0.0354696807494647*(100)</f>
        <v>3.54696807494647</v>
      </c>
      <c r="L361" s="2">
        <v>1.5965</v>
      </c>
      <c r="M361" s="2">
        <v>0.78639999999999999</v>
      </c>
      <c r="N361" s="2">
        <v>13.4749</v>
      </c>
      <c r="O361" s="2">
        <v>0.62870000000000004</v>
      </c>
      <c r="P361" s="2">
        <v>2.8401999999999998</v>
      </c>
      <c r="Q361" s="2">
        <v>10.143000000000001</v>
      </c>
      <c r="R361" s="2">
        <v>7.7729511830342499</v>
      </c>
      <c r="S361" s="2">
        <v>17.0669823544882</v>
      </c>
      <c r="T361" s="2">
        <v>8.8493345763275801</v>
      </c>
      <c r="U361" s="2">
        <v>85.694900000000004</v>
      </c>
      <c r="V361" s="2">
        <v>11.4839175307388</v>
      </c>
      <c r="W361" s="2">
        <v>3.3097398744563198</v>
      </c>
      <c r="X361" s="2">
        <v>85.430952659613496</v>
      </c>
      <c r="Y361" s="2">
        <v>5.2326928152783694</v>
      </c>
      <c r="Z361" s="4">
        <v>6.9</v>
      </c>
      <c r="AA361" s="4">
        <v>8.2000000000000011</v>
      </c>
      <c r="AB361" s="2">
        <v>1.6</v>
      </c>
      <c r="AC361" s="2">
        <v>16.3</v>
      </c>
      <c r="AD361" s="2">
        <v>3.9000000000000057</v>
      </c>
      <c r="AE361" s="2">
        <v>0</v>
      </c>
    </row>
    <row r="362" spans="1:31" x14ac:dyDescent="0.25">
      <c r="A362" s="2" t="s">
        <v>463</v>
      </c>
      <c r="B362" s="2">
        <v>2018</v>
      </c>
      <c r="C362" s="2" t="s">
        <v>464</v>
      </c>
      <c r="D362" s="2" t="s">
        <v>311</v>
      </c>
      <c r="E362" s="2">
        <v>2.3353000000000002</v>
      </c>
      <c r="F362" s="2">
        <v>9.9184000000000001</v>
      </c>
      <c r="G362" s="2">
        <v>2.8824999999999998</v>
      </c>
      <c r="H362" s="2">
        <v>0.98460000000000003</v>
      </c>
      <c r="I362" s="2">
        <v>0.58720000000000006</v>
      </c>
      <c r="J362">
        <f>0.15712013365208*(100)</f>
        <v>15.712013365208</v>
      </c>
      <c r="K362">
        <f>0.00779506536432382*(100)</f>
        <v>0.77950653643238199</v>
      </c>
      <c r="L362" s="2">
        <v>1.6737</v>
      </c>
      <c r="M362" s="2">
        <v>0.78059999999999996</v>
      </c>
      <c r="N362" s="2">
        <v>14.899900000000001</v>
      </c>
      <c r="O362" s="2">
        <v>0.59699999999999998</v>
      </c>
      <c r="P362" s="2">
        <v>2.6373000000000002</v>
      </c>
      <c r="Q362" s="2">
        <v>13.245799999999999</v>
      </c>
      <c r="R362" s="2">
        <v>11.8605334696077</v>
      </c>
      <c r="S362" s="2">
        <v>21.0948377160151</v>
      </c>
      <c r="T362" s="2">
        <v>8.3186080519607408</v>
      </c>
      <c r="U362" s="2">
        <v>86.828999999999994</v>
      </c>
      <c r="V362" s="2">
        <v>11.337382644040799</v>
      </c>
      <c r="W362" s="2">
        <v>3.5157396850249101</v>
      </c>
      <c r="X362" s="2">
        <v>85.025067491049597</v>
      </c>
      <c r="Y362" s="2">
        <v>1.2455486863741301</v>
      </c>
      <c r="Z362" s="4">
        <v>6.6000000000000005</v>
      </c>
      <c r="AA362" s="4">
        <v>8.1</v>
      </c>
      <c r="AB362" s="2">
        <v>2.1</v>
      </c>
      <c r="AC362" s="2">
        <v>12.5</v>
      </c>
      <c r="AD362" s="2">
        <v>4.7999999999999972</v>
      </c>
      <c r="AE362" s="2">
        <v>0</v>
      </c>
    </row>
    <row r="363" spans="1:31" x14ac:dyDescent="0.25">
      <c r="A363" s="2" t="s">
        <v>463</v>
      </c>
      <c r="B363" s="2">
        <v>2019</v>
      </c>
      <c r="C363" s="2" t="s">
        <v>464</v>
      </c>
      <c r="D363" s="2" t="s">
        <v>311</v>
      </c>
      <c r="E363" s="2">
        <v>2.1869999999999998</v>
      </c>
      <c r="F363" s="2">
        <v>9.4128000000000007</v>
      </c>
      <c r="G363" s="2">
        <v>2.8222999999999998</v>
      </c>
      <c r="H363" s="2">
        <v>1.0333000000000001</v>
      </c>
      <c r="I363" s="2">
        <v>0.62749999999999995</v>
      </c>
      <c r="J363">
        <f>0.18960675208132*(100)</f>
        <v>18.960675208131999</v>
      </c>
      <c r="K363">
        <f>-0.0376915833992556*(100)</f>
        <v>-3.7691583399255602</v>
      </c>
      <c r="L363" s="2">
        <v>1.8541000000000001</v>
      </c>
      <c r="M363" s="2">
        <v>0.81859999999999999</v>
      </c>
      <c r="N363" s="2">
        <v>17.7576</v>
      </c>
      <c r="O363" s="2">
        <v>0.58220000000000005</v>
      </c>
      <c r="P363" s="2">
        <v>2.7772000000000001</v>
      </c>
      <c r="Q363" s="2">
        <v>23.9162</v>
      </c>
      <c r="R363" s="2">
        <v>26.711590562376401</v>
      </c>
      <c r="S363" s="2">
        <v>31.695230156817601</v>
      </c>
      <c r="T363" s="2">
        <v>54.538543351934401</v>
      </c>
      <c r="U363" s="2">
        <v>84.054299999999998</v>
      </c>
      <c r="V363" s="2">
        <v>17.5809650531457</v>
      </c>
      <c r="W363" s="2">
        <v>5.4544291886425098</v>
      </c>
      <c r="X363" s="2">
        <v>85.9081520231219</v>
      </c>
      <c r="Y363" s="2">
        <v>-6.2004215156978706</v>
      </c>
      <c r="Z363" s="4">
        <v>6</v>
      </c>
      <c r="AA363" s="4">
        <v>8.6999999999999993</v>
      </c>
      <c r="AB363" s="2">
        <v>2.9</v>
      </c>
      <c r="AC363" s="2">
        <v>15.6</v>
      </c>
      <c r="AD363" s="2">
        <v>5.2000000000000028</v>
      </c>
      <c r="AE363" s="2">
        <v>0</v>
      </c>
    </row>
    <row r="364" spans="1:31" x14ac:dyDescent="0.25">
      <c r="A364" s="2" t="s">
        <v>463</v>
      </c>
      <c r="B364" s="2">
        <v>2020</v>
      </c>
      <c r="C364" s="2" t="s">
        <v>464</v>
      </c>
      <c r="D364" s="2" t="s">
        <v>311</v>
      </c>
      <c r="E364" s="2">
        <v>2.0125999999999999</v>
      </c>
      <c r="F364" s="2">
        <v>8.3308999999999997</v>
      </c>
      <c r="G364" s="2">
        <v>2.9569999999999999</v>
      </c>
      <c r="H364" s="2">
        <v>1.0122</v>
      </c>
      <c r="I364" s="2">
        <v>0.93920000000000003</v>
      </c>
      <c r="J364">
        <f>0.187973363060561*(100)</f>
        <v>18.797336306056099</v>
      </c>
      <c r="K364">
        <f>0.0180576540947314*(100)</f>
        <v>1.8057654094731399</v>
      </c>
      <c r="L364" s="2">
        <v>1.9298999999999999</v>
      </c>
      <c r="M364" s="2">
        <v>0.81510000000000005</v>
      </c>
      <c r="N364" s="2">
        <v>19.4343</v>
      </c>
      <c r="O364" s="2">
        <v>0.53890000000000005</v>
      </c>
      <c r="P364" s="2">
        <v>2.7488000000000001</v>
      </c>
      <c r="Q364" s="2">
        <v>14.4505</v>
      </c>
      <c r="R364" s="2">
        <v>23.2414695145983</v>
      </c>
      <c r="S364" s="2">
        <v>17.121467808380402</v>
      </c>
      <c r="T364" s="2">
        <v>9.6992434146690094</v>
      </c>
      <c r="U364" s="2">
        <v>82.296599999999998</v>
      </c>
      <c r="V364" s="2">
        <v>19.146962135728902</v>
      </c>
      <c r="W364" s="2">
        <v>6.6934569624113598</v>
      </c>
      <c r="X364" s="2">
        <v>88.464021624999603</v>
      </c>
      <c r="Y364" s="2">
        <v>2.9756020101295899</v>
      </c>
      <c r="Z364" s="4">
        <v>2.2999999999999998</v>
      </c>
      <c r="AA364" s="4">
        <v>10.100000000000001</v>
      </c>
      <c r="AB364" s="2">
        <v>2.5</v>
      </c>
      <c r="AC364" s="2">
        <v>16.100000000000001</v>
      </c>
      <c r="AD364" s="2">
        <v>2.7000000000000028</v>
      </c>
      <c r="AE364" s="2">
        <v>0</v>
      </c>
    </row>
    <row r="365" spans="1:31" x14ac:dyDescent="0.25">
      <c r="A365" s="2" t="s">
        <v>465</v>
      </c>
      <c r="B365" s="2">
        <v>2016</v>
      </c>
      <c r="C365" s="2" t="s">
        <v>466</v>
      </c>
      <c r="D365" s="2" t="s">
        <v>299</v>
      </c>
      <c r="E365" s="2">
        <v>2.6267999999999998</v>
      </c>
      <c r="F365" s="2">
        <v>8.1340000000000003</v>
      </c>
      <c r="G365" s="2">
        <v>3.4754</v>
      </c>
      <c r="H365" s="2">
        <v>1.3765000000000001</v>
      </c>
      <c r="I365" s="2">
        <v>0.62739999999999996</v>
      </c>
      <c r="J365">
        <f>0.280693672718453*(100)</f>
        <v>28.069367271845302</v>
      </c>
      <c r="K365">
        <f>-0.0381677731968869*(100)</f>
        <v>-3.8167773196886898</v>
      </c>
      <c r="L365" s="2">
        <v>1.1407</v>
      </c>
      <c r="M365" s="2">
        <v>0.68179999999999996</v>
      </c>
      <c r="N365" s="2">
        <v>44.6755</v>
      </c>
      <c r="O365" s="2">
        <v>0.51549999999999996</v>
      </c>
      <c r="P365" s="2">
        <v>8.6808999999999994</v>
      </c>
      <c r="Q365" s="2">
        <v>62.525599999999997</v>
      </c>
      <c r="R365" s="2">
        <v>34.848438132560503</v>
      </c>
      <c r="S365" s="2">
        <v>12.2617620231483</v>
      </c>
      <c r="T365" s="2">
        <v>12.4907711363342</v>
      </c>
      <c r="U365" s="2">
        <v>86.487499999999997</v>
      </c>
      <c r="V365" s="2">
        <v>30.207193633710698</v>
      </c>
      <c r="W365" s="2">
        <v>9.3863971393627494</v>
      </c>
      <c r="X365" s="2">
        <v>103.829700369623</v>
      </c>
      <c r="Y365" s="2">
        <v>-6.7734130577855201</v>
      </c>
      <c r="Z365" s="4">
        <v>6.7</v>
      </c>
      <c r="AA365" s="4">
        <v>11.3</v>
      </c>
      <c r="AB365" s="2">
        <v>2</v>
      </c>
      <c r="AC365" s="2">
        <v>15.9</v>
      </c>
      <c r="AD365" s="2">
        <v>5.7000000000000028</v>
      </c>
      <c r="AE365" s="2">
        <v>0</v>
      </c>
    </row>
    <row r="366" spans="1:31" x14ac:dyDescent="0.25">
      <c r="A366" s="2" t="s">
        <v>465</v>
      </c>
      <c r="B366" s="2">
        <v>2017</v>
      </c>
      <c r="C366" s="2" t="s">
        <v>466</v>
      </c>
      <c r="D366" s="2" t="s">
        <v>299</v>
      </c>
      <c r="E366" s="2">
        <v>2.5152999999999999</v>
      </c>
      <c r="F366" s="2">
        <v>8.1577000000000002</v>
      </c>
      <c r="G366" s="2">
        <v>3.6103999999999998</v>
      </c>
      <c r="H366" s="2">
        <v>1.2909999999999999</v>
      </c>
      <c r="I366" s="2">
        <v>0.55110000000000003</v>
      </c>
      <c r="J366">
        <f>0.200257198052786*(100)</f>
        <v>20.025719805278598</v>
      </c>
      <c r="K366">
        <f>0.0279218046321603*(100)</f>
        <v>2.7921804632160301</v>
      </c>
      <c r="L366" s="2">
        <v>1.2847</v>
      </c>
      <c r="M366" s="2">
        <v>0.76029999999999998</v>
      </c>
      <c r="N366" s="2">
        <v>40.851500000000001</v>
      </c>
      <c r="O366" s="2">
        <v>0.58640000000000003</v>
      </c>
      <c r="P366" s="2">
        <v>5.6725000000000003</v>
      </c>
      <c r="Q366" s="2">
        <v>21.819700000000001</v>
      </c>
      <c r="R366" s="2">
        <v>27.505288777661299</v>
      </c>
      <c r="S366" s="2">
        <v>2.2907406911470898</v>
      </c>
      <c r="T366" s="2">
        <v>7.2809068859330797</v>
      </c>
      <c r="U366" s="2">
        <v>85.253299999999996</v>
      </c>
      <c r="V366" s="2">
        <v>25.777801166357101</v>
      </c>
      <c r="W366" s="2">
        <v>10.293059965695299</v>
      </c>
      <c r="X366" s="2">
        <v>110.41379768119499</v>
      </c>
      <c r="Y366" s="2">
        <v>4.1055218975539596</v>
      </c>
      <c r="Z366" s="4">
        <v>6.9</v>
      </c>
      <c r="AA366" s="4">
        <v>8.2000000000000011</v>
      </c>
      <c r="AB366" s="2">
        <v>1.6</v>
      </c>
      <c r="AC366" s="2">
        <v>16.3</v>
      </c>
      <c r="AD366" s="2">
        <v>6.2000000000000028</v>
      </c>
      <c r="AE366" s="2">
        <v>0</v>
      </c>
    </row>
    <row r="367" spans="1:31" x14ac:dyDescent="0.25">
      <c r="A367" s="2" t="s">
        <v>467</v>
      </c>
      <c r="B367" s="2">
        <v>2016</v>
      </c>
      <c r="C367" s="2" t="s">
        <v>468</v>
      </c>
      <c r="D367" s="2" t="s">
        <v>299</v>
      </c>
      <c r="E367" s="2">
        <v>4.9562999999999997</v>
      </c>
      <c r="F367" s="2">
        <v>14.056800000000001</v>
      </c>
      <c r="G367" s="2">
        <v>3.5617000000000001</v>
      </c>
      <c r="H367" s="2">
        <v>1.6513</v>
      </c>
      <c r="I367" s="2">
        <v>0.70599999999999996</v>
      </c>
      <c r="J367">
        <f>0.190097910130026*(100)</f>
        <v>19.009791013002602</v>
      </c>
      <c r="K367">
        <f>-0.0516064301108684*(100)</f>
        <v>-5.1606430110868402</v>
      </c>
      <c r="L367" s="2">
        <v>2.2229000000000001</v>
      </c>
      <c r="M367" s="2">
        <v>1.5094000000000001</v>
      </c>
      <c r="N367" s="2">
        <v>130.12309999999999</v>
      </c>
      <c r="O367" s="2">
        <v>1.2891999999999999</v>
      </c>
      <c r="P367" s="2">
        <v>47.851300000000002</v>
      </c>
      <c r="Q367" s="2">
        <v>14.6938</v>
      </c>
      <c r="R367" s="2">
        <v>10.824175150900301</v>
      </c>
      <c r="S367" s="2">
        <v>27.145988380261102</v>
      </c>
      <c r="T367" s="2">
        <v>12.706424472152101</v>
      </c>
      <c r="U367" s="2">
        <v>74.190799999999996</v>
      </c>
      <c r="V367" s="2">
        <v>22.8882519447235</v>
      </c>
      <c r="W367" s="2">
        <v>27.9498776047412</v>
      </c>
      <c r="X367" s="2">
        <v>113.126396599801</v>
      </c>
      <c r="Y367" s="2">
        <v>-3.3246914374976599</v>
      </c>
      <c r="Z367" s="4">
        <v>6.7</v>
      </c>
      <c r="AA367" s="4">
        <v>11.3</v>
      </c>
      <c r="AB367" s="2">
        <v>2</v>
      </c>
      <c r="AC367" s="2">
        <v>15.9</v>
      </c>
      <c r="AD367" s="2">
        <v>5.7000000000000028</v>
      </c>
      <c r="AE367" s="2">
        <v>0</v>
      </c>
    </row>
    <row r="368" spans="1:31" x14ac:dyDescent="0.25">
      <c r="A368" s="2" t="s">
        <v>467</v>
      </c>
      <c r="B368" s="2">
        <v>2017</v>
      </c>
      <c r="C368" s="2" t="s">
        <v>468</v>
      </c>
      <c r="D368" s="2" t="s">
        <v>299</v>
      </c>
      <c r="E368" s="2">
        <v>5.2037000000000004</v>
      </c>
      <c r="F368" s="2">
        <v>14.756600000000001</v>
      </c>
      <c r="G368" s="2">
        <v>3.0310999999999999</v>
      </c>
      <c r="H368" s="2">
        <v>1.7864</v>
      </c>
      <c r="I368" s="2">
        <v>0.75490000000000002</v>
      </c>
      <c r="J368">
        <f>0.229896439303156*(100)</f>
        <v>22.989643930315601</v>
      </c>
      <c r="K368">
        <f>-0.141289725359909*(100)</f>
        <v>-14.128972535990899</v>
      </c>
      <c r="L368" s="2">
        <v>2.7677</v>
      </c>
      <c r="M368" s="2">
        <v>1.7018</v>
      </c>
      <c r="N368" s="2">
        <v>172.81299999999999</v>
      </c>
      <c r="O368" s="2">
        <v>1.4490000000000001</v>
      </c>
      <c r="P368" s="2">
        <v>67.330299999999994</v>
      </c>
      <c r="Q368" s="2">
        <v>51.410600000000002</v>
      </c>
      <c r="R368" s="2">
        <v>22.157831423854098</v>
      </c>
      <c r="S368" s="2">
        <v>38.577699442459902</v>
      </c>
      <c r="T368" s="2">
        <v>9.6312962944362894</v>
      </c>
      <c r="U368" s="2">
        <v>75.049400000000006</v>
      </c>
      <c r="V368" s="2">
        <v>27.211544704163298</v>
      </c>
      <c r="W368" s="2">
        <v>32.100566592962501</v>
      </c>
      <c r="X368" s="2">
        <v>109.583611319252</v>
      </c>
      <c r="Y368" s="2">
        <v>-8.5030442268236399</v>
      </c>
      <c r="Z368" s="4">
        <v>6.9</v>
      </c>
      <c r="AA368" s="4">
        <v>8.2000000000000011</v>
      </c>
      <c r="AB368" s="2">
        <v>1.6</v>
      </c>
      <c r="AC368" s="2">
        <v>16.3</v>
      </c>
      <c r="AD368" s="2">
        <v>6.2000000000000028</v>
      </c>
      <c r="AE368" s="2">
        <v>0</v>
      </c>
    </row>
    <row r="369" spans="1:31" x14ac:dyDescent="0.25">
      <c r="A369" s="2" t="s">
        <v>467</v>
      </c>
      <c r="B369" s="2">
        <v>2018</v>
      </c>
      <c r="C369" s="2" t="s">
        <v>468</v>
      </c>
      <c r="D369" s="2" t="s">
        <v>299</v>
      </c>
      <c r="E369" s="2">
        <v>6.2149999999999999</v>
      </c>
      <c r="F369" s="2">
        <v>18.2578</v>
      </c>
      <c r="G369" s="2">
        <v>3.7361</v>
      </c>
      <c r="H369" s="2">
        <v>1.7473000000000001</v>
      </c>
      <c r="I369" s="2">
        <v>0.52370000000000005</v>
      </c>
      <c r="J369">
        <f>0.22022860978908*(100)</f>
        <v>22.022860978908</v>
      </c>
      <c r="K369">
        <f>0.0293202828358783*(100)</f>
        <v>2.93202828358783</v>
      </c>
      <c r="L369" s="2">
        <v>2.3208000000000002</v>
      </c>
      <c r="M369" s="2">
        <v>1.6332</v>
      </c>
      <c r="N369" s="2">
        <v>173.34979999999999</v>
      </c>
      <c r="O369" s="2">
        <v>1.4278</v>
      </c>
      <c r="P369" s="2">
        <v>56.082299999999996</v>
      </c>
      <c r="Q369" s="2">
        <v>27.846599999999999</v>
      </c>
      <c r="R369" s="2">
        <v>58.147426824893103</v>
      </c>
      <c r="S369" s="2">
        <v>23.954567008349301</v>
      </c>
      <c r="T369" s="2">
        <v>16.632733055216399</v>
      </c>
      <c r="U369" s="2">
        <v>74.974999999999994</v>
      </c>
      <c r="V369" s="2">
        <v>24.033549059354101</v>
      </c>
      <c r="W369" s="2">
        <v>29.063733009012601</v>
      </c>
      <c r="X369" s="2">
        <v>110.222231316829</v>
      </c>
      <c r="Y369" s="2">
        <v>1.7049128929048503</v>
      </c>
      <c r="Z369" s="4">
        <v>6.6000000000000005</v>
      </c>
      <c r="AA369" s="4">
        <v>8.1</v>
      </c>
      <c r="AB369" s="2">
        <v>2.1</v>
      </c>
      <c r="AC369" s="2">
        <v>12.5</v>
      </c>
      <c r="AD369" s="2">
        <v>6.0999999999999943</v>
      </c>
      <c r="AE369" s="2">
        <v>0</v>
      </c>
    </row>
    <row r="370" spans="1:31" x14ac:dyDescent="0.25">
      <c r="A370" s="2" t="s">
        <v>467</v>
      </c>
      <c r="B370" s="2">
        <v>2020</v>
      </c>
      <c r="C370" s="2" t="s">
        <v>468</v>
      </c>
      <c r="D370" s="2" t="s">
        <v>299</v>
      </c>
      <c r="E370" s="2">
        <v>3.9411999999999998</v>
      </c>
      <c r="F370" s="2">
        <v>13.0025</v>
      </c>
      <c r="G370" s="2">
        <v>2.7925</v>
      </c>
      <c r="H370" s="2">
        <v>1.6395999999999999</v>
      </c>
      <c r="I370" s="2">
        <v>0.59489999999999998</v>
      </c>
      <c r="J370">
        <f>0.256187913410359*(100)</f>
        <v>25.618791341035902</v>
      </c>
      <c r="K370">
        <f>0.0322768153925085*(100)</f>
        <v>3.2276815392508498</v>
      </c>
      <c r="L370" s="2">
        <v>2.0676999999999999</v>
      </c>
      <c r="M370" s="2">
        <v>1.4039999999999999</v>
      </c>
      <c r="N370" s="2">
        <v>203.56899999999999</v>
      </c>
      <c r="O370" s="2">
        <v>1.2685999999999999</v>
      </c>
      <c r="P370" s="2">
        <v>75.043000000000006</v>
      </c>
      <c r="Q370" s="2">
        <v>28.3933</v>
      </c>
      <c r="R370" s="2">
        <v>0.57764070769284404</v>
      </c>
      <c r="S370" s="2">
        <v>29.8227961680061</v>
      </c>
      <c r="T370" s="2">
        <v>17.3311594370413</v>
      </c>
      <c r="U370" s="2">
        <v>77.771799999999999</v>
      </c>
      <c r="V370" s="2">
        <v>22.867002472535898</v>
      </c>
      <c r="W370" s="2">
        <v>35.274204571738302</v>
      </c>
      <c r="X370" s="2">
        <v>114.77883900633302</v>
      </c>
      <c r="Y370" s="2">
        <v>2.2447204215346201</v>
      </c>
      <c r="Z370" s="4">
        <v>2.2999999999999998</v>
      </c>
      <c r="AA370" s="4">
        <v>10.100000000000001</v>
      </c>
      <c r="AB370" s="2">
        <v>2.5</v>
      </c>
      <c r="AC370" s="2">
        <v>16.100000000000001</v>
      </c>
      <c r="AD370" s="2">
        <v>2.4000000000000057</v>
      </c>
      <c r="AE370" s="2">
        <v>0</v>
      </c>
    </row>
    <row r="371" spans="1:31" x14ac:dyDescent="0.25">
      <c r="A371" s="2" t="s">
        <v>467</v>
      </c>
      <c r="B371" s="2">
        <v>2021</v>
      </c>
      <c r="C371" s="2" t="s">
        <v>468</v>
      </c>
      <c r="D371" s="2" t="s">
        <v>299</v>
      </c>
      <c r="E371" s="2">
        <v>3.4906000000000001</v>
      </c>
      <c r="F371" s="2">
        <v>13.668200000000001</v>
      </c>
      <c r="G371" s="2">
        <v>2.2098</v>
      </c>
      <c r="H371" s="2">
        <v>1.5458000000000001</v>
      </c>
      <c r="I371" s="2">
        <v>0.57230000000000003</v>
      </c>
      <c r="J371">
        <f>0.255573266769259*(100)</f>
        <v>25.5573266769259</v>
      </c>
      <c r="K371">
        <f>0.00087842125456289*(100)</f>
        <v>8.7842125456289E-2</v>
      </c>
      <c r="L371" s="2">
        <v>2.3933</v>
      </c>
      <c r="M371" s="2">
        <v>1.5744</v>
      </c>
      <c r="N371" s="2">
        <v>269.50549999999998</v>
      </c>
      <c r="O371" s="2">
        <v>1.4305000000000001</v>
      </c>
      <c r="P371" s="2">
        <v>110.7226</v>
      </c>
      <c r="Q371" s="2">
        <v>64.313599999999994</v>
      </c>
      <c r="R371" s="2">
        <v>33.982827812454197</v>
      </c>
      <c r="S371" s="2">
        <v>55.611139254379999</v>
      </c>
      <c r="T371" s="2">
        <v>32.450846655309398</v>
      </c>
      <c r="U371" s="2">
        <v>77.273499999999999</v>
      </c>
      <c r="V371" s="2">
        <v>18.143171508264601</v>
      </c>
      <c r="W371" s="2">
        <v>48.669460644524598</v>
      </c>
      <c r="X371" s="2">
        <v>122.555447594128</v>
      </c>
      <c r="Y371" s="2">
        <v>5.7772754668226803E-2</v>
      </c>
      <c r="Z371" s="4">
        <v>8.4</v>
      </c>
      <c r="AA371" s="4">
        <v>9</v>
      </c>
      <c r="AB371" s="2">
        <v>0.9</v>
      </c>
      <c r="AC371" s="2">
        <v>20.9</v>
      </c>
      <c r="AD371" s="2">
        <v>9.0999999999999943</v>
      </c>
      <c r="AE371" s="2">
        <v>0</v>
      </c>
    </row>
    <row r="372" spans="1:31" x14ac:dyDescent="0.25">
      <c r="A372" s="2" t="s">
        <v>469</v>
      </c>
      <c r="B372" s="2">
        <v>2018</v>
      </c>
      <c r="C372" s="2" t="s">
        <v>470</v>
      </c>
      <c r="D372" s="2" t="s">
        <v>299</v>
      </c>
      <c r="E372" s="2">
        <v>6.4941000000000004</v>
      </c>
      <c r="F372" s="2">
        <v>10.4663</v>
      </c>
      <c r="G372" s="2">
        <v>1.5117</v>
      </c>
      <c r="H372" s="2">
        <v>1.1194999999999999</v>
      </c>
      <c r="I372" s="2">
        <v>0.74209999999999998</v>
      </c>
      <c r="J372">
        <f>0.33840643823015*(100)</f>
        <v>33.840643823015</v>
      </c>
      <c r="K372">
        <f>0.114556634260954*(100)</f>
        <v>11.4556634260954</v>
      </c>
      <c r="L372" s="2">
        <v>16.9558</v>
      </c>
      <c r="M372" s="2">
        <v>5.6840000000000002</v>
      </c>
      <c r="N372" s="2">
        <v>44.5154</v>
      </c>
      <c r="O372" s="2">
        <v>3.4946999999999999</v>
      </c>
      <c r="P372" s="2">
        <v>52.592599999999997</v>
      </c>
      <c r="Q372" s="2">
        <v>8.6704000000000008</v>
      </c>
      <c r="R372" s="2">
        <v>16.5975153268909</v>
      </c>
      <c r="S372" s="2">
        <v>0.12681266112644601</v>
      </c>
      <c r="T372" s="2">
        <v>8.7847921192545098</v>
      </c>
      <c r="U372" s="2">
        <v>66.2483</v>
      </c>
      <c r="V372" s="2">
        <v>9.4336262468627794</v>
      </c>
      <c r="W372" s="2">
        <v>3.9889746762680001</v>
      </c>
      <c r="X372" s="2">
        <v>115.75776196918599</v>
      </c>
      <c r="Y372" s="2">
        <v>2.1759946516908002</v>
      </c>
      <c r="Z372" s="4">
        <v>6.6000000000000005</v>
      </c>
      <c r="AA372" s="4">
        <v>8.1</v>
      </c>
      <c r="AB372" s="2">
        <v>2.1</v>
      </c>
      <c r="AC372" s="2">
        <v>12.5</v>
      </c>
      <c r="AD372" s="2">
        <v>6.0999999999999943</v>
      </c>
      <c r="AE372" s="2">
        <v>0</v>
      </c>
    </row>
    <row r="373" spans="1:31" x14ac:dyDescent="0.25">
      <c r="A373" s="2" t="s">
        <v>469</v>
      </c>
      <c r="B373" s="2">
        <v>2019</v>
      </c>
      <c r="C373" s="2" t="s">
        <v>470</v>
      </c>
      <c r="D373" s="2" t="s">
        <v>299</v>
      </c>
      <c r="E373" s="2">
        <v>6.2308000000000003</v>
      </c>
      <c r="F373" s="2">
        <v>11.1511</v>
      </c>
      <c r="G373" s="2">
        <v>1.3696999999999999</v>
      </c>
      <c r="H373" s="2">
        <v>1.1380999999999999</v>
      </c>
      <c r="I373" s="2">
        <v>0.77159999999999995</v>
      </c>
      <c r="J373">
        <f>0.336908166551379*(100)</f>
        <v>33.690816655137901</v>
      </c>
      <c r="K373">
        <f>0.0858630665665468*(100)</f>
        <v>8.5863066566546795</v>
      </c>
      <c r="L373" s="2">
        <v>18.315300000000001</v>
      </c>
      <c r="M373" s="2">
        <v>6.1954000000000002</v>
      </c>
      <c r="N373" s="2">
        <v>49.6571</v>
      </c>
      <c r="O373" s="2">
        <v>4.0016999999999996</v>
      </c>
      <c r="P373" s="2">
        <v>51.123899999999999</v>
      </c>
      <c r="Q373" s="2">
        <v>19.470700000000001</v>
      </c>
      <c r="R373" s="2">
        <v>14.208074745252899</v>
      </c>
      <c r="S373" s="2">
        <v>8.45904146584326</v>
      </c>
      <c r="T373" s="2">
        <v>5.4325079431716503</v>
      </c>
      <c r="U373" s="2">
        <v>67.1554</v>
      </c>
      <c r="V373" s="2">
        <v>9.6017389218038591</v>
      </c>
      <c r="W373" s="2">
        <v>4.2723741718509203</v>
      </c>
      <c r="X373" s="2">
        <v>109.980048216122</v>
      </c>
      <c r="Y373" s="2">
        <v>1.5011409913784199</v>
      </c>
      <c r="Z373" s="4">
        <v>6</v>
      </c>
      <c r="AA373" s="4">
        <v>8.6999999999999993</v>
      </c>
      <c r="AB373" s="2">
        <v>2.9</v>
      </c>
      <c r="AC373" s="2">
        <v>15.6</v>
      </c>
      <c r="AD373" s="2">
        <v>4.7999999999999972</v>
      </c>
      <c r="AE373" s="2">
        <v>0</v>
      </c>
    </row>
    <row r="374" spans="1:31" x14ac:dyDescent="0.25">
      <c r="A374" s="2" t="s">
        <v>469</v>
      </c>
      <c r="B374" s="2">
        <v>2020</v>
      </c>
      <c r="C374" s="2" t="s">
        <v>470</v>
      </c>
      <c r="D374" s="2" t="s">
        <v>299</v>
      </c>
      <c r="E374" s="2">
        <v>6.2670000000000003</v>
      </c>
      <c r="F374" s="2">
        <v>10.551399999999999</v>
      </c>
      <c r="G374" s="2">
        <v>1.3626</v>
      </c>
      <c r="H374" s="2">
        <v>1.1076999999999999</v>
      </c>
      <c r="I374" s="2">
        <v>0.74270000000000003</v>
      </c>
      <c r="J374">
        <f>0.280673841445616*(100)</f>
        <v>28.067384144561601</v>
      </c>
      <c r="K374">
        <f>0.0242041131208065*(100)</f>
        <v>2.4204113120806499</v>
      </c>
      <c r="L374" s="2">
        <v>18.1966</v>
      </c>
      <c r="M374" s="2">
        <v>6.1215000000000002</v>
      </c>
      <c r="N374" s="2">
        <v>52.159100000000002</v>
      </c>
      <c r="O374" s="2">
        <v>4.04</v>
      </c>
      <c r="P374" s="2">
        <v>44.507199999999997</v>
      </c>
      <c r="Q374" s="2">
        <v>12.430899999999999</v>
      </c>
      <c r="R374" s="2">
        <v>3.3279652057054898</v>
      </c>
      <c r="S374" s="2">
        <v>14.2722330959148</v>
      </c>
      <c r="T374" s="2">
        <v>6.8165984271387803</v>
      </c>
      <c r="U374" s="2">
        <v>68.212900000000005</v>
      </c>
      <c r="V374" s="2">
        <v>8.2426038651736206</v>
      </c>
      <c r="W374" s="2">
        <v>4.0773162444098796</v>
      </c>
      <c r="X374" s="2">
        <v>110.211095985398</v>
      </c>
      <c r="Y374" s="2">
        <v>0.43632344616255803</v>
      </c>
      <c r="Z374" s="4">
        <v>2.2999999999999998</v>
      </c>
      <c r="AA374" s="4">
        <v>10.100000000000001</v>
      </c>
      <c r="AB374" s="2">
        <v>2.5</v>
      </c>
      <c r="AC374" s="2">
        <v>16.100000000000001</v>
      </c>
      <c r="AD374" s="2">
        <v>2.4000000000000057</v>
      </c>
      <c r="AE374" s="2">
        <v>0</v>
      </c>
    </row>
    <row r="375" spans="1:31" x14ac:dyDescent="0.25">
      <c r="A375" s="2" t="s">
        <v>469</v>
      </c>
      <c r="B375" s="2">
        <v>2021</v>
      </c>
      <c r="C375" s="2" t="s">
        <v>470</v>
      </c>
      <c r="D375" s="2" t="s">
        <v>299</v>
      </c>
      <c r="E375" s="2">
        <v>7.4474999999999998</v>
      </c>
      <c r="F375" s="2">
        <v>13.9191</v>
      </c>
      <c r="G375" s="2">
        <v>1.3134999999999999</v>
      </c>
      <c r="H375" s="2">
        <v>1.0849</v>
      </c>
      <c r="I375" s="2">
        <v>0.73519999999999996</v>
      </c>
      <c r="J375">
        <f>0.294248621185388*(100)</f>
        <v>29.424862118538801</v>
      </c>
      <c r="K375">
        <f>0.048977211239974*(100)</f>
        <v>4.8977211239973997</v>
      </c>
      <c r="L375" s="2">
        <v>20.930900000000001</v>
      </c>
      <c r="M375" s="2">
        <v>6.9951999999999996</v>
      </c>
      <c r="N375" s="2">
        <v>64.973600000000005</v>
      </c>
      <c r="O375" s="2">
        <v>4.7652000000000001</v>
      </c>
      <c r="P375" s="2">
        <v>48.405999999999999</v>
      </c>
      <c r="Q375" s="2">
        <v>39.123399999999997</v>
      </c>
      <c r="R375" s="2">
        <v>42.617089877330301</v>
      </c>
      <c r="S375" s="2">
        <v>21.3750836833505</v>
      </c>
      <c r="T375" s="2">
        <v>13.016364786712201</v>
      </c>
      <c r="U375" s="2">
        <v>69.640900000000002</v>
      </c>
      <c r="V375" s="2">
        <v>5.5639712495564595</v>
      </c>
      <c r="W375" s="2">
        <v>4.3633372442559599</v>
      </c>
      <c r="X375" s="2">
        <v>111.30385845616499</v>
      </c>
      <c r="Y375" s="2">
        <v>0.78565116695163295</v>
      </c>
      <c r="Z375" s="4">
        <v>8.4</v>
      </c>
      <c r="AA375" s="4">
        <v>9</v>
      </c>
      <c r="AB375" s="2">
        <v>0.9</v>
      </c>
      <c r="AC375" s="2">
        <v>20.9</v>
      </c>
      <c r="AD375" s="2">
        <v>9.0999999999999943</v>
      </c>
      <c r="AE375" s="2">
        <v>0</v>
      </c>
    </row>
    <row r="376" spans="1:31" x14ac:dyDescent="0.25">
      <c r="A376" s="2" t="s">
        <v>471</v>
      </c>
      <c r="B376" s="2">
        <v>2019</v>
      </c>
      <c r="C376" s="2" t="s">
        <v>472</v>
      </c>
      <c r="D376" s="2" t="s">
        <v>299</v>
      </c>
      <c r="E376" s="2">
        <v>5.2329999999999997</v>
      </c>
      <c r="F376" s="2">
        <v>9.5663</v>
      </c>
      <c r="G376" s="2">
        <v>1.4577</v>
      </c>
      <c r="H376" s="2">
        <v>1.3285</v>
      </c>
      <c r="I376" s="2">
        <v>0.59630000000000005</v>
      </c>
      <c r="J376">
        <f>0.176152204910414*(100)</f>
        <v>17.615220491041399</v>
      </c>
      <c r="K376">
        <f>-0.0577347175114544*(100)</f>
        <v>-5.7734717511454399</v>
      </c>
      <c r="L376" s="2">
        <v>6.0073999999999996</v>
      </c>
      <c r="M376" s="2">
        <v>3.2642000000000002</v>
      </c>
      <c r="N376" s="2">
        <v>102.2953</v>
      </c>
      <c r="O376" s="2">
        <v>2.6358000000000001</v>
      </c>
      <c r="P376" s="2">
        <v>62.134900000000002</v>
      </c>
      <c r="Q376" s="2">
        <v>5.5670000000000002</v>
      </c>
      <c r="R376" s="2">
        <v>-0.40157828747601898</v>
      </c>
      <c r="S376" s="2">
        <v>17.766541425926999</v>
      </c>
      <c r="T376" s="2">
        <v>5.38909750264515</v>
      </c>
      <c r="U376" s="2">
        <v>69.273499999999999</v>
      </c>
      <c r="V376" s="2">
        <v>8.6632802060117999</v>
      </c>
      <c r="W376" s="2">
        <v>12.4155724275788</v>
      </c>
      <c r="X376" s="2">
        <v>111.06554067031699</v>
      </c>
      <c r="Y376" s="2">
        <v>-1.6411381027438401</v>
      </c>
      <c r="Z376" s="4">
        <v>6</v>
      </c>
      <c r="AA376" s="4">
        <v>8.6999999999999993</v>
      </c>
      <c r="AB376" s="2">
        <v>2.9</v>
      </c>
      <c r="AC376" s="2">
        <v>15.6</v>
      </c>
      <c r="AD376" s="2">
        <v>4.7999999999999972</v>
      </c>
      <c r="AE376" s="2">
        <v>0</v>
      </c>
    </row>
    <row r="377" spans="1:31" x14ac:dyDescent="0.25">
      <c r="A377" s="2" t="s">
        <v>471</v>
      </c>
      <c r="B377" s="2">
        <v>2020</v>
      </c>
      <c r="C377" s="2" t="s">
        <v>472</v>
      </c>
      <c r="D377" s="2" t="s">
        <v>299</v>
      </c>
      <c r="E377" s="2">
        <v>4.5373000000000001</v>
      </c>
      <c r="F377" s="2">
        <v>10.250500000000001</v>
      </c>
      <c r="G377" s="2">
        <v>1.0624</v>
      </c>
      <c r="H377" s="2">
        <v>1.4822</v>
      </c>
      <c r="I377" s="2">
        <v>0.69950000000000001</v>
      </c>
      <c r="J377">
        <f>0.252950731631474*(100)</f>
        <v>25.295073163147404</v>
      </c>
      <c r="K377">
        <f>-0.0214462942671993*(100)</f>
        <v>-2.1446294267199297</v>
      </c>
      <c r="L377" s="2">
        <v>7.681</v>
      </c>
      <c r="M377" s="2">
        <v>4.2137000000000002</v>
      </c>
      <c r="N377" s="2">
        <v>145.79179999999999</v>
      </c>
      <c r="O377" s="2">
        <v>3.4609000000000001</v>
      </c>
      <c r="P377" s="2">
        <v>99.255799999999994</v>
      </c>
      <c r="Q377" s="2">
        <v>61.345599999999997</v>
      </c>
      <c r="R377" s="2">
        <v>18.308035987695899</v>
      </c>
      <c r="S377" s="2">
        <v>26.7601681219145</v>
      </c>
      <c r="T377" s="2">
        <v>5.7204191816607199</v>
      </c>
      <c r="U377" s="2">
        <v>69.261300000000006</v>
      </c>
      <c r="V377" s="2">
        <v>12.987537752883499</v>
      </c>
      <c r="W377" s="2">
        <v>13.398376459465201</v>
      </c>
      <c r="X377" s="2">
        <v>109.71173938328501</v>
      </c>
      <c r="Y377" s="2">
        <v>-0.47984315275581096</v>
      </c>
      <c r="Z377" s="4">
        <v>2.2999999999999998</v>
      </c>
      <c r="AA377" s="4">
        <v>10.100000000000001</v>
      </c>
      <c r="AB377" s="2">
        <v>2.5</v>
      </c>
      <c r="AC377" s="2">
        <v>16.100000000000001</v>
      </c>
      <c r="AD377" s="2">
        <v>2.4000000000000057</v>
      </c>
      <c r="AE377" s="2">
        <v>0</v>
      </c>
    </row>
    <row r="378" spans="1:31" x14ac:dyDescent="0.25">
      <c r="A378" s="2" t="s">
        <v>471</v>
      </c>
      <c r="B378" s="2">
        <v>2021</v>
      </c>
      <c r="C378" s="2" t="s">
        <v>472</v>
      </c>
      <c r="D378" s="2" t="s">
        <v>299</v>
      </c>
      <c r="E378" s="2">
        <v>5.6970000000000001</v>
      </c>
      <c r="F378" s="2">
        <v>12.342700000000001</v>
      </c>
      <c r="G378" s="2">
        <v>1.0822000000000001</v>
      </c>
      <c r="H378" s="2">
        <v>1.3593</v>
      </c>
      <c r="I378" s="2">
        <v>0.82989999999999997</v>
      </c>
      <c r="J378">
        <f>0.255996099854177*(100)</f>
        <v>25.599609985417697</v>
      </c>
      <c r="K378">
        <f>0.126646325089759*(100)</f>
        <v>12.664632508975901</v>
      </c>
      <c r="L378" s="2">
        <v>11.2347</v>
      </c>
      <c r="M378" s="2">
        <v>5.3087</v>
      </c>
      <c r="N378" s="2">
        <v>170.75460000000001</v>
      </c>
      <c r="O378" s="2">
        <v>4.4019000000000004</v>
      </c>
      <c r="P378" s="2">
        <v>99.420100000000005</v>
      </c>
      <c r="Q378" s="2">
        <v>32.56</v>
      </c>
      <c r="R378" s="2">
        <v>29.470408895381201</v>
      </c>
      <c r="S378" s="2">
        <v>-13.816508422078</v>
      </c>
      <c r="T378" s="2">
        <v>11.0740281845724</v>
      </c>
      <c r="U378" s="2">
        <v>63.635899999999999</v>
      </c>
      <c r="V378" s="2">
        <v>3.0526848148129599</v>
      </c>
      <c r="W378" s="2">
        <v>12.508806236808001</v>
      </c>
      <c r="X378" s="2">
        <v>115.79294257132599</v>
      </c>
      <c r="Y378" s="2">
        <v>1.6949935083108498</v>
      </c>
      <c r="Z378" s="4">
        <v>8.4</v>
      </c>
      <c r="AA378" s="4">
        <v>9</v>
      </c>
      <c r="AB378" s="2">
        <v>0.9</v>
      </c>
      <c r="AC378" s="2">
        <v>20.9</v>
      </c>
      <c r="AD378" s="2">
        <v>9.0999999999999943</v>
      </c>
      <c r="AE378" s="2">
        <v>0</v>
      </c>
    </row>
    <row r="379" spans="1:31" x14ac:dyDescent="0.25">
      <c r="A379" s="2" t="s">
        <v>473</v>
      </c>
      <c r="B379" s="2">
        <v>2014</v>
      </c>
      <c r="C379" s="2" t="s">
        <v>474</v>
      </c>
      <c r="D379" s="2" t="s">
        <v>298</v>
      </c>
      <c r="E379" s="2">
        <v>5.4234</v>
      </c>
      <c r="F379" s="2">
        <v>9.3628999999999998</v>
      </c>
      <c r="G379" s="2">
        <v>12.6844</v>
      </c>
      <c r="H379" s="2">
        <v>1.6497999999999999</v>
      </c>
      <c r="I379" s="2">
        <v>0.65169999999999995</v>
      </c>
      <c r="J379">
        <f>0.44212528283423*(100)</f>
        <v>44.212528283423005</v>
      </c>
      <c r="K379">
        <f>0.0512488938271624*(100)</f>
        <v>5.1248893827162396</v>
      </c>
      <c r="L379" s="2">
        <v>0.49580000000000002</v>
      </c>
      <c r="M379" s="2">
        <v>0.44090000000000001</v>
      </c>
      <c r="N379" s="2">
        <v>2.6655000000000002</v>
      </c>
      <c r="O379" s="2">
        <v>0.30430000000000001</v>
      </c>
      <c r="P379" s="2">
        <v>5.4909999999999997</v>
      </c>
      <c r="Q379" s="2">
        <v>7.4855</v>
      </c>
      <c r="R379" s="2">
        <v>6.3936326740298597</v>
      </c>
      <c r="S379" s="2">
        <v>8.1818280401032304</v>
      </c>
      <c r="T379" s="2">
        <v>2.3675792730395799</v>
      </c>
      <c r="U379" s="2">
        <v>62.8934</v>
      </c>
      <c r="V379" s="2">
        <v>21.1239885488948</v>
      </c>
      <c r="W379" s="2">
        <v>3.3023298675397399</v>
      </c>
      <c r="X379" s="2">
        <v>101.091843050157</v>
      </c>
      <c r="Y379" s="2">
        <v>11.008636708101099</v>
      </c>
      <c r="Z379" s="4">
        <v>7.3</v>
      </c>
      <c r="AA379" s="4">
        <v>12.2</v>
      </c>
      <c r="AB379" s="2">
        <v>2</v>
      </c>
      <c r="AC379" s="2">
        <v>16.899999999999999</v>
      </c>
      <c r="AD379" s="2">
        <v>6.7000000000000028</v>
      </c>
      <c r="AE379" s="2">
        <v>0</v>
      </c>
    </row>
    <row r="380" spans="1:31" x14ac:dyDescent="0.25">
      <c r="A380" s="2" t="s">
        <v>473</v>
      </c>
      <c r="B380" s="2">
        <v>2015</v>
      </c>
      <c r="C380" s="2" t="s">
        <v>474</v>
      </c>
      <c r="D380" s="2" t="s">
        <v>298</v>
      </c>
      <c r="E380" s="2">
        <v>8.7646999999999995</v>
      </c>
      <c r="F380" s="2">
        <v>19.4651</v>
      </c>
      <c r="G380" s="2">
        <v>22.4664</v>
      </c>
      <c r="H380" s="2">
        <v>1.5207999999999999</v>
      </c>
      <c r="I380" s="2">
        <v>0.76700000000000002</v>
      </c>
      <c r="J380">
        <f>0.572050382677945*(100)</f>
        <v>57.205038267794492</v>
      </c>
      <c r="K380">
        <f>0.00108875518528078*(100)</f>
        <v>0.10887551852807799</v>
      </c>
      <c r="L380" s="2">
        <v>0.52429999999999999</v>
      </c>
      <c r="M380" s="2">
        <v>0.43169999999999997</v>
      </c>
      <c r="N380" s="2">
        <v>2.5059</v>
      </c>
      <c r="O380" s="2">
        <v>0.29809999999999998</v>
      </c>
      <c r="P380" s="2">
        <v>5.4957000000000003</v>
      </c>
      <c r="Q380" s="2">
        <v>13.2864</v>
      </c>
      <c r="R380" s="2">
        <v>96.251193564452606</v>
      </c>
      <c r="S380" s="2">
        <v>23.010686593705799</v>
      </c>
      <c r="T380" s="2">
        <v>35.273654263951201</v>
      </c>
      <c r="U380" s="2">
        <v>63.8202</v>
      </c>
      <c r="V380" s="2">
        <v>18.319080295344101</v>
      </c>
      <c r="W380" s="2">
        <v>2.909519410323</v>
      </c>
      <c r="X380" s="2">
        <v>105.55846852656501</v>
      </c>
      <c r="Y380" s="2">
        <v>0.25869439871396899</v>
      </c>
      <c r="Z380" s="4">
        <v>6.9099999999999993</v>
      </c>
      <c r="AA380" s="4">
        <v>13.3</v>
      </c>
      <c r="AB380" s="2">
        <v>1.4</v>
      </c>
      <c r="AC380" s="2">
        <v>17.600000000000001</v>
      </c>
      <c r="AD380" s="2">
        <v>5.7000000000000028</v>
      </c>
      <c r="AE380" s="2">
        <v>0</v>
      </c>
    </row>
    <row r="381" spans="1:31" x14ac:dyDescent="0.25">
      <c r="A381" s="2" t="s">
        <v>473</v>
      </c>
      <c r="B381" s="2">
        <v>2016</v>
      </c>
      <c r="C381" s="2" t="s">
        <v>474</v>
      </c>
      <c r="D381" s="2" t="s">
        <v>298</v>
      </c>
      <c r="E381" s="2">
        <v>4.5791000000000004</v>
      </c>
      <c r="F381" s="2">
        <v>5.2408999999999999</v>
      </c>
      <c r="G381" s="2">
        <v>6.9947999999999997</v>
      </c>
      <c r="H381" s="2">
        <v>1.4137</v>
      </c>
      <c r="I381" s="2">
        <v>0.63280000000000003</v>
      </c>
      <c r="J381">
        <f>0.305176981146336*(100)</f>
        <v>30.5176981146336</v>
      </c>
      <c r="K381">
        <f>-0.000901652160117838*(100)</f>
        <v>-9.0165216011783803E-2</v>
      </c>
      <c r="L381" s="2">
        <v>0.63500000000000001</v>
      </c>
      <c r="M381" s="2">
        <v>0.48430000000000001</v>
      </c>
      <c r="N381" s="2">
        <v>2.4611999999999998</v>
      </c>
      <c r="O381" s="2">
        <v>0.3246</v>
      </c>
      <c r="P381" s="2">
        <v>5.2849000000000004</v>
      </c>
      <c r="Q381" s="2">
        <v>32.451900000000002</v>
      </c>
      <c r="R381" s="2">
        <v>-54.767080333129002</v>
      </c>
      <c r="S381" s="2">
        <v>19.371787427769998</v>
      </c>
      <c r="T381" s="2">
        <v>0.88043362732331099</v>
      </c>
      <c r="U381" s="2">
        <v>62.379100000000001</v>
      </c>
      <c r="V381" s="2">
        <v>16.253817846026301</v>
      </c>
      <c r="W381" s="2">
        <v>2.7220461064399299</v>
      </c>
      <c r="X381" s="2">
        <v>103.79138256037</v>
      </c>
      <c r="Y381" s="2">
        <v>-0.18967762201972399</v>
      </c>
      <c r="Z381" s="4">
        <v>6.7</v>
      </c>
      <c r="AA381" s="4">
        <v>11.3</v>
      </c>
      <c r="AB381" s="2">
        <v>2</v>
      </c>
      <c r="AC381" s="2">
        <v>15.9</v>
      </c>
      <c r="AD381" s="2">
        <v>5.7000000000000028</v>
      </c>
      <c r="AE381" s="2">
        <v>0</v>
      </c>
    </row>
    <row r="382" spans="1:31" x14ac:dyDescent="0.25">
      <c r="A382" s="2" t="s">
        <v>473</v>
      </c>
      <c r="B382" s="2">
        <v>2017</v>
      </c>
      <c r="C382" s="2" t="s">
        <v>474</v>
      </c>
      <c r="D382" s="2" t="s">
        <v>298</v>
      </c>
      <c r="E382" s="2">
        <v>3.2633000000000001</v>
      </c>
      <c r="F382" s="2">
        <v>2.8125</v>
      </c>
      <c r="G382" s="2">
        <v>5.0528000000000004</v>
      </c>
      <c r="H382" s="2">
        <v>1.6415999999999999</v>
      </c>
      <c r="I382" s="2">
        <v>0.8266</v>
      </c>
      <c r="J382">
        <f>0.503864250464132*(100)</f>
        <v>50.386425046413194</v>
      </c>
      <c r="K382">
        <f>0.0227754133014375*(100)</f>
        <v>2.2775413301437499</v>
      </c>
      <c r="L382" s="2">
        <v>0.55320000000000003</v>
      </c>
      <c r="M382" s="2">
        <v>0.43759999999999999</v>
      </c>
      <c r="N382" s="2">
        <v>2.1095999999999999</v>
      </c>
      <c r="O382" s="2">
        <v>0.29020000000000001</v>
      </c>
      <c r="P382" s="2">
        <v>4.0205000000000002</v>
      </c>
      <c r="Q382" s="2">
        <v>9.5182000000000002</v>
      </c>
      <c r="R382" s="2">
        <v>-22.9413100641437</v>
      </c>
      <c r="S382" s="2">
        <v>25.3737126475087</v>
      </c>
      <c r="T382" s="2">
        <v>11.779808681611399</v>
      </c>
      <c r="U382" s="2">
        <v>63.312100000000001</v>
      </c>
      <c r="V382" s="2">
        <v>22.383644077100701</v>
      </c>
      <c r="W382" s="2">
        <v>2.6773046410060801</v>
      </c>
      <c r="X382" s="2">
        <v>84.510523525376897</v>
      </c>
      <c r="Y382" s="2">
        <v>5.5656942637090294</v>
      </c>
      <c r="Z382" s="4">
        <v>6.9</v>
      </c>
      <c r="AA382" s="4">
        <v>8.2000000000000011</v>
      </c>
      <c r="AB382" s="2">
        <v>1.6</v>
      </c>
      <c r="AC382" s="2">
        <v>16.3</v>
      </c>
      <c r="AD382" s="2">
        <v>6.2000000000000028</v>
      </c>
      <c r="AE382" s="2">
        <v>0</v>
      </c>
    </row>
    <row r="383" spans="1:31" x14ac:dyDescent="0.25">
      <c r="A383" s="2" t="s">
        <v>473</v>
      </c>
      <c r="B383" s="2">
        <v>2018</v>
      </c>
      <c r="C383" s="2" t="s">
        <v>474</v>
      </c>
      <c r="D383" s="2" t="s">
        <v>298</v>
      </c>
      <c r="E383" s="2">
        <v>5.1769999999999996</v>
      </c>
      <c r="F383" s="2">
        <v>4.1631999999999998</v>
      </c>
      <c r="G383" s="2">
        <v>9.1140000000000008</v>
      </c>
      <c r="H383" s="2">
        <v>1.5661</v>
      </c>
      <c r="I383" s="2">
        <v>0.82250000000000001</v>
      </c>
      <c r="J383">
        <f>0.46585670176155*(100)</f>
        <v>46.585670176154999</v>
      </c>
      <c r="K383">
        <f>0.140358076594809*(100)</f>
        <v>14.0358076594809</v>
      </c>
      <c r="L383" s="2">
        <v>0.79359999999999997</v>
      </c>
      <c r="M383" s="2">
        <v>0.61370000000000002</v>
      </c>
      <c r="N383" s="2">
        <v>2.9796</v>
      </c>
      <c r="O383" s="2">
        <v>0.41320000000000001</v>
      </c>
      <c r="P383" s="2">
        <v>4.7626999999999997</v>
      </c>
      <c r="Q383" s="2">
        <v>63.7316</v>
      </c>
      <c r="R383" s="2">
        <v>105.746593508819</v>
      </c>
      <c r="S383" s="2">
        <v>10.1084112333254</v>
      </c>
      <c r="T383" s="2">
        <v>5.4211726941712897</v>
      </c>
      <c r="U383" s="2">
        <v>64.989599999999996</v>
      </c>
      <c r="V383" s="2">
        <v>21.916837671716799</v>
      </c>
      <c r="W383" s="2">
        <v>2.49767619525861</v>
      </c>
      <c r="X383" s="2">
        <v>83.3414799063533</v>
      </c>
      <c r="Y383" s="2">
        <v>23.241270422499298</v>
      </c>
      <c r="Z383" s="4">
        <v>6.6000000000000005</v>
      </c>
      <c r="AA383" s="4">
        <v>8.1</v>
      </c>
      <c r="AB383" s="2">
        <v>2.1</v>
      </c>
      <c r="AC383" s="2">
        <v>12.5</v>
      </c>
      <c r="AD383" s="2">
        <v>6.0999999999999943</v>
      </c>
      <c r="AE383" s="2">
        <v>0</v>
      </c>
    </row>
    <row r="384" spans="1:31" x14ac:dyDescent="0.25">
      <c r="A384" s="2" t="s">
        <v>473</v>
      </c>
      <c r="B384" s="2">
        <v>2019</v>
      </c>
      <c r="C384" s="2" t="s">
        <v>474</v>
      </c>
      <c r="D384" s="2" t="s">
        <v>298</v>
      </c>
      <c r="E384" s="2">
        <v>5.4142999999999999</v>
      </c>
      <c r="F384" s="2">
        <v>5.5736999999999997</v>
      </c>
      <c r="G384" s="2">
        <v>9.5632999999999999</v>
      </c>
      <c r="H384" s="2">
        <v>1.6002000000000001</v>
      </c>
      <c r="I384" s="2">
        <v>0.85699999999999998</v>
      </c>
      <c r="J384">
        <f>0.52257083203418*(100)</f>
        <v>52.257083203417999</v>
      </c>
      <c r="K384">
        <f>0.0685936213431966*(100)</f>
        <v>6.8593621343196602</v>
      </c>
      <c r="L384" s="2">
        <v>0.82889999999999997</v>
      </c>
      <c r="M384" s="2">
        <v>0.6028</v>
      </c>
      <c r="N384" s="2">
        <v>2.7136</v>
      </c>
      <c r="O384" s="2">
        <v>0.3997</v>
      </c>
      <c r="P384" s="2">
        <v>4.9913999999999996</v>
      </c>
      <c r="Q384" s="2">
        <v>2.3757000000000001</v>
      </c>
      <c r="R384" s="2">
        <v>7.0347356620841897</v>
      </c>
      <c r="S384" s="2">
        <v>1.2060532272451601</v>
      </c>
      <c r="T384" s="2">
        <v>5.0167450540892702</v>
      </c>
      <c r="U384" s="2">
        <v>64.555899999999994</v>
      </c>
      <c r="V384" s="2">
        <v>23.812325253458898</v>
      </c>
      <c r="W384" s="2">
        <v>2.29613854108208</v>
      </c>
      <c r="X384" s="2">
        <v>87.671163198296398</v>
      </c>
      <c r="Y384" s="2">
        <v>11.195565410291799</v>
      </c>
      <c r="Z384" s="4">
        <v>6</v>
      </c>
      <c r="AA384" s="4">
        <v>8.6999999999999993</v>
      </c>
      <c r="AB384" s="2">
        <v>2.9</v>
      </c>
      <c r="AC384" s="2">
        <v>15.6</v>
      </c>
      <c r="AD384" s="2">
        <v>4.7999999999999972</v>
      </c>
      <c r="AE384" s="2">
        <v>0</v>
      </c>
    </row>
    <row r="385" spans="1:31" x14ac:dyDescent="0.25">
      <c r="A385" s="2" t="s">
        <v>473</v>
      </c>
      <c r="B385" s="2">
        <v>2020</v>
      </c>
      <c r="C385" s="2" t="s">
        <v>474</v>
      </c>
      <c r="D385" s="2" t="s">
        <v>298</v>
      </c>
      <c r="E385" s="2">
        <v>6.0488</v>
      </c>
      <c r="F385" s="2">
        <v>10.6249</v>
      </c>
      <c r="G385" s="2">
        <v>13.1898</v>
      </c>
      <c r="H385" s="2">
        <v>1.8320000000000001</v>
      </c>
      <c r="I385" s="2">
        <v>1.0933999999999999</v>
      </c>
      <c r="J385">
        <f>0.700737925658634*(100)</f>
        <v>70.0737925658634</v>
      </c>
      <c r="K385">
        <f>0.0352015267918605*(100)</f>
        <v>3.5201526791860496</v>
      </c>
      <c r="L385" s="2">
        <v>0.78959999999999997</v>
      </c>
      <c r="M385" s="2">
        <v>0.52190000000000003</v>
      </c>
      <c r="N385" s="2">
        <v>2.3024</v>
      </c>
      <c r="O385" s="2">
        <v>0.34360000000000002</v>
      </c>
      <c r="P385" s="2">
        <v>5.4204999999999997</v>
      </c>
      <c r="Q385" s="2">
        <v>-10.455399999999999</v>
      </c>
      <c r="R385" s="2">
        <v>50.000542896637903</v>
      </c>
      <c r="S385" s="2">
        <v>5.4512434273316996</v>
      </c>
      <c r="T385" s="2">
        <v>25.056393690403699</v>
      </c>
      <c r="U385" s="2">
        <v>58.421700000000001</v>
      </c>
      <c r="V385" s="2">
        <v>22.151661204832703</v>
      </c>
      <c r="W385" s="2">
        <v>2.8796155326816599</v>
      </c>
      <c r="X385" s="2">
        <v>89.386130669855206</v>
      </c>
      <c r="Y385" s="2">
        <v>6.1841740459262704</v>
      </c>
      <c r="Z385" s="4">
        <v>2.2999999999999998</v>
      </c>
      <c r="AA385" s="4">
        <v>10.100000000000001</v>
      </c>
      <c r="AB385" s="2">
        <v>2.5</v>
      </c>
      <c r="AC385" s="2">
        <v>16.100000000000001</v>
      </c>
      <c r="AD385" s="2">
        <v>2.4000000000000057</v>
      </c>
      <c r="AE385" s="2">
        <v>0</v>
      </c>
    </row>
    <row r="386" spans="1:31" x14ac:dyDescent="0.25">
      <c r="A386" s="2" t="s">
        <v>473</v>
      </c>
      <c r="B386" s="2">
        <v>2021</v>
      </c>
      <c r="C386" s="2" t="s">
        <v>474</v>
      </c>
      <c r="D386" s="2" t="s">
        <v>298</v>
      </c>
      <c r="E386" s="2">
        <v>7.3681999999999999</v>
      </c>
      <c r="F386" s="2">
        <v>13.88</v>
      </c>
      <c r="G386" s="2">
        <v>12.217599999999999</v>
      </c>
      <c r="H386" s="2">
        <v>1.5479000000000001</v>
      </c>
      <c r="I386" s="2">
        <v>0.89049999999999996</v>
      </c>
      <c r="J386">
        <f>0.459562827629691*(100)</f>
        <v>45.956282762969096</v>
      </c>
      <c r="K386">
        <f>-0.0130413753671364*(100)</f>
        <v>-1.3041375367136401</v>
      </c>
      <c r="L386" s="2">
        <v>1.3395999999999999</v>
      </c>
      <c r="M386" s="2">
        <v>0.78169999999999995</v>
      </c>
      <c r="N386" s="2">
        <v>3.6956000000000002</v>
      </c>
      <c r="O386" s="2">
        <v>0.51080000000000003</v>
      </c>
      <c r="P386" s="2">
        <v>6.5705</v>
      </c>
      <c r="Q386" s="2">
        <v>67.111800000000002</v>
      </c>
      <c r="R386" s="2">
        <v>64.744758044981594</v>
      </c>
      <c r="S386" s="2">
        <v>16.375184432927899</v>
      </c>
      <c r="T386" s="2">
        <v>15.579997604368399</v>
      </c>
      <c r="U386" s="2">
        <v>57.7624</v>
      </c>
      <c r="V386" s="2">
        <v>16.149830456774598</v>
      </c>
      <c r="W386" s="2">
        <v>3.1772179821402999</v>
      </c>
      <c r="X386" s="2">
        <v>74.065924820231899</v>
      </c>
      <c r="Y386" s="2">
        <v>-1.5909874236284001</v>
      </c>
      <c r="Z386" s="4">
        <v>8.4</v>
      </c>
      <c r="AA386" s="4">
        <v>9</v>
      </c>
      <c r="AB386" s="2">
        <v>0.9</v>
      </c>
      <c r="AC386" s="2">
        <v>20.9</v>
      </c>
      <c r="AD386" s="2">
        <v>9.0999999999999943</v>
      </c>
      <c r="AE386" s="2">
        <v>0</v>
      </c>
    </row>
    <row r="387" spans="1:31" x14ac:dyDescent="0.25">
      <c r="A387" s="2" t="s">
        <v>475</v>
      </c>
      <c r="B387" s="2">
        <v>2014</v>
      </c>
      <c r="C387" s="2" t="s">
        <v>476</v>
      </c>
      <c r="D387" s="2" t="s">
        <v>298</v>
      </c>
      <c r="E387" s="2">
        <v>4.6188000000000002</v>
      </c>
      <c r="F387" s="2">
        <v>9.7723999999999993</v>
      </c>
      <c r="G387" s="2">
        <v>12.5886</v>
      </c>
      <c r="H387" s="2">
        <v>1.0674999999999999</v>
      </c>
      <c r="I387" s="2">
        <v>0.32979999999999998</v>
      </c>
      <c r="J387">
        <f>0.269126923109567*(100)</f>
        <v>26.9126923109567</v>
      </c>
      <c r="K387">
        <f>0.0145459941759219*(100)</f>
        <v>1.4545994175921899</v>
      </c>
      <c r="L387" s="2">
        <v>0.58209999999999995</v>
      </c>
      <c r="M387" s="2">
        <v>0.52600000000000002</v>
      </c>
      <c r="N387" s="2">
        <v>5.9741999999999997</v>
      </c>
      <c r="O387" s="2">
        <v>0.3034</v>
      </c>
      <c r="P387" s="2">
        <v>22.280799999999999</v>
      </c>
      <c r="Q387" s="2">
        <v>14.041399999999999</v>
      </c>
      <c r="R387" s="2">
        <v>28.4123932099893</v>
      </c>
      <c r="S387" s="2">
        <v>4.6154117488052204</v>
      </c>
      <c r="T387" s="2">
        <v>64.723698785379497</v>
      </c>
      <c r="U387" s="2">
        <v>64.582599999999999</v>
      </c>
      <c r="V387" s="2">
        <v>11.7476963596181</v>
      </c>
      <c r="W387" s="2">
        <v>5.4916102888181397</v>
      </c>
      <c r="X387" s="2">
        <v>98.280347065914697</v>
      </c>
      <c r="Y387" s="2">
        <v>3.16602449384912</v>
      </c>
      <c r="Z387" s="4">
        <v>7.3</v>
      </c>
      <c r="AA387" s="4">
        <v>12.2</v>
      </c>
      <c r="AB387" s="2">
        <v>2</v>
      </c>
      <c r="AC387" s="2">
        <v>16.899999999999999</v>
      </c>
      <c r="AD387" s="2">
        <v>6.7000000000000028</v>
      </c>
      <c r="AE387" s="2">
        <v>0</v>
      </c>
    </row>
    <row r="388" spans="1:31" x14ac:dyDescent="0.25">
      <c r="A388" s="2" t="s">
        <v>475</v>
      </c>
      <c r="B388" s="2">
        <v>2015</v>
      </c>
      <c r="C388" s="2" t="s">
        <v>476</v>
      </c>
      <c r="D388" s="2" t="s">
        <v>298</v>
      </c>
      <c r="E388" s="2">
        <v>3.6598000000000002</v>
      </c>
      <c r="F388" s="2">
        <v>6.0251999999999999</v>
      </c>
      <c r="G388" s="2">
        <v>10.0998</v>
      </c>
      <c r="H388" s="2">
        <v>0.96970000000000001</v>
      </c>
      <c r="I388" s="2">
        <v>0.28910000000000002</v>
      </c>
      <c r="J388">
        <f>0.189564758865772*(100)</f>
        <v>18.956475886577202</v>
      </c>
      <c r="K388">
        <f>-0.0176493975878461*(100)</f>
        <v>-1.7649397587846098</v>
      </c>
      <c r="L388" s="2">
        <v>0.55289999999999995</v>
      </c>
      <c r="M388" s="2">
        <v>0.50939999999999996</v>
      </c>
      <c r="N388" s="2">
        <v>5.7919999999999998</v>
      </c>
      <c r="O388" s="2">
        <v>0.28639999999999999</v>
      </c>
      <c r="P388" s="2">
        <v>21.045300000000001</v>
      </c>
      <c r="Q388" s="2">
        <v>1.8608</v>
      </c>
      <c r="R388" s="2">
        <v>-22.319835413802199</v>
      </c>
      <c r="S388" s="2">
        <v>10.794325659977901</v>
      </c>
      <c r="T388" s="2">
        <v>1.4400138979733299</v>
      </c>
      <c r="U388" s="2">
        <v>67.573800000000006</v>
      </c>
      <c r="V388" s="2">
        <v>9.7770946751800896</v>
      </c>
      <c r="W388" s="2">
        <v>9.0427155521048608</v>
      </c>
      <c r="X388" s="2">
        <v>125.60449476860799</v>
      </c>
      <c r="Y388" s="2">
        <v>-4.3778672261418103</v>
      </c>
      <c r="Z388" s="4">
        <v>6.9099999999999993</v>
      </c>
      <c r="AA388" s="4">
        <v>13.3</v>
      </c>
      <c r="AB388" s="2">
        <v>1.4</v>
      </c>
      <c r="AC388" s="2">
        <v>17.600000000000001</v>
      </c>
      <c r="AD388" s="2">
        <v>5.7000000000000028</v>
      </c>
      <c r="AE388" s="2">
        <v>0</v>
      </c>
    </row>
    <row r="389" spans="1:31" x14ac:dyDescent="0.25">
      <c r="A389" s="2" t="s">
        <v>475</v>
      </c>
      <c r="B389" s="2">
        <v>2016</v>
      </c>
      <c r="C389" s="2" t="s">
        <v>476</v>
      </c>
      <c r="D389" s="2" t="s">
        <v>298</v>
      </c>
      <c r="E389" s="2">
        <v>4.3236999999999997</v>
      </c>
      <c r="F389" s="2">
        <v>7.8395999999999999</v>
      </c>
      <c r="G389" s="2">
        <v>11.9398</v>
      </c>
      <c r="H389" s="2">
        <v>1.1953</v>
      </c>
      <c r="I389" s="2">
        <v>0.33389999999999997</v>
      </c>
      <c r="J389">
        <f>0.213563723217643*(100)</f>
        <v>21.356372321764301</v>
      </c>
      <c r="K389">
        <f>-0.0270420553749136*(100)</f>
        <v>-2.7042055374913598</v>
      </c>
      <c r="L389" s="2">
        <v>0.53669999999999995</v>
      </c>
      <c r="M389" s="2">
        <v>0.52639999999999998</v>
      </c>
      <c r="N389" s="2">
        <v>8.4201999999999995</v>
      </c>
      <c r="O389" s="2">
        <v>0.29549999999999998</v>
      </c>
      <c r="P389" s="2">
        <v>18.5578</v>
      </c>
      <c r="Q389" s="2">
        <v>7.1829000000000001</v>
      </c>
      <c r="R389" s="2">
        <v>30.4249378783304</v>
      </c>
      <c r="S389" s="2">
        <v>1.18422821257343</v>
      </c>
      <c r="T389" s="2">
        <v>2.4776873151443</v>
      </c>
      <c r="U389" s="2">
        <v>66.909700000000001</v>
      </c>
      <c r="V389" s="2">
        <v>19.872276236763401</v>
      </c>
      <c r="W389" s="2">
        <v>9.6341077591529292</v>
      </c>
      <c r="X389" s="2">
        <v>85.533032367721688</v>
      </c>
      <c r="Y389" s="2">
        <v>-6.1889806572563097</v>
      </c>
      <c r="Z389" s="4">
        <v>6.7</v>
      </c>
      <c r="AA389" s="4">
        <v>11.3</v>
      </c>
      <c r="AB389" s="2">
        <v>2</v>
      </c>
      <c r="AC389" s="2">
        <v>15.9</v>
      </c>
      <c r="AD389" s="2">
        <v>5.7000000000000028</v>
      </c>
      <c r="AE389" s="2">
        <v>0</v>
      </c>
    </row>
    <row r="390" spans="1:31" x14ac:dyDescent="0.25">
      <c r="A390" s="2" t="s">
        <v>475</v>
      </c>
      <c r="B390" s="2">
        <v>2017</v>
      </c>
      <c r="C390" s="2" t="s">
        <v>476</v>
      </c>
      <c r="D390" s="2" t="s">
        <v>298</v>
      </c>
      <c r="E390" s="2">
        <v>4.2625000000000002</v>
      </c>
      <c r="F390" s="2">
        <v>7.6444999999999999</v>
      </c>
      <c r="G390" s="2">
        <v>11.7927</v>
      </c>
      <c r="H390" s="2">
        <v>1.1200000000000001</v>
      </c>
      <c r="I390" s="2">
        <v>0.3755</v>
      </c>
      <c r="J390">
        <f>0.191728352155528*(100)</f>
        <v>19.172835215552801</v>
      </c>
      <c r="K390">
        <f>0.140729780580595*(100)</f>
        <v>14.072978058059499</v>
      </c>
      <c r="L390" s="2">
        <v>0.59430000000000005</v>
      </c>
      <c r="M390" s="2">
        <v>0.54900000000000004</v>
      </c>
      <c r="N390" s="2">
        <v>8.2659000000000002</v>
      </c>
      <c r="O390" s="2">
        <v>0.29759999999999998</v>
      </c>
      <c r="P390" s="2">
        <v>16.806100000000001</v>
      </c>
      <c r="Q390" s="2">
        <v>3.2059000000000002</v>
      </c>
      <c r="R390" s="2">
        <v>3.2543560285222002</v>
      </c>
      <c r="S390" s="2">
        <v>3.1775773293870002</v>
      </c>
      <c r="T390" s="2">
        <v>5.49374984090346</v>
      </c>
      <c r="U390" s="2">
        <v>66.228300000000004</v>
      </c>
      <c r="V390" s="2">
        <v>19.557874437239402</v>
      </c>
      <c r="W390" s="2">
        <v>8.9776152631982509</v>
      </c>
      <c r="X390" s="2">
        <v>126.44142624417</v>
      </c>
      <c r="Y390" s="2">
        <v>31.804025644031903</v>
      </c>
      <c r="Z390" s="4">
        <v>6.9</v>
      </c>
      <c r="AA390" s="4">
        <v>8.2000000000000011</v>
      </c>
      <c r="AB390" s="2">
        <v>1.6</v>
      </c>
      <c r="AC390" s="2">
        <v>16.3</v>
      </c>
      <c r="AD390" s="2">
        <v>6.2000000000000028</v>
      </c>
      <c r="AE390" s="2">
        <v>0</v>
      </c>
    </row>
    <row r="391" spans="1:31" x14ac:dyDescent="0.25">
      <c r="A391" s="2" t="s">
        <v>475</v>
      </c>
      <c r="B391" s="2">
        <v>2018</v>
      </c>
      <c r="C391" s="2" t="s">
        <v>476</v>
      </c>
      <c r="D391" s="2" t="s">
        <v>298</v>
      </c>
      <c r="E391" s="2">
        <v>4.7918000000000003</v>
      </c>
      <c r="F391" s="2">
        <v>8.2538</v>
      </c>
      <c r="G391" s="2">
        <v>15.7011</v>
      </c>
      <c r="H391" s="2">
        <v>0.98670000000000002</v>
      </c>
      <c r="I391" s="2">
        <v>0.35070000000000001</v>
      </c>
      <c r="J391">
        <f>0.135047519298226*(100)</f>
        <v>13.5047519298226</v>
      </c>
      <c r="K391">
        <f>0.035130823540538*(100)</f>
        <v>3.5130823540538003</v>
      </c>
      <c r="L391" s="2">
        <v>0.55920000000000003</v>
      </c>
      <c r="M391" s="2">
        <v>0.50119999999999998</v>
      </c>
      <c r="N391" s="2">
        <v>7.3560999999999996</v>
      </c>
      <c r="O391" s="2">
        <v>0.25230000000000002</v>
      </c>
      <c r="P391" s="2">
        <v>14.399699999999999</v>
      </c>
      <c r="Q391" s="2">
        <v>-10.9726</v>
      </c>
      <c r="R391" s="2">
        <v>9.8496771532252794</v>
      </c>
      <c r="S391" s="2">
        <v>-0.66615345557461103</v>
      </c>
      <c r="T391" s="2">
        <v>-0.233006178568651</v>
      </c>
      <c r="U391" s="2">
        <v>65.596100000000007</v>
      </c>
      <c r="V391" s="2">
        <v>16.494486873482998</v>
      </c>
      <c r="W391" s="2">
        <v>11.0843490932994</v>
      </c>
      <c r="X391" s="2">
        <v>116.82792483315301</v>
      </c>
      <c r="Y391" s="2">
        <v>9.2890500542984888</v>
      </c>
      <c r="Z391" s="4">
        <v>6.6000000000000005</v>
      </c>
      <c r="AA391" s="4">
        <v>8.1</v>
      </c>
      <c r="AB391" s="2">
        <v>2.1</v>
      </c>
      <c r="AC391" s="2">
        <v>12.5</v>
      </c>
      <c r="AD391" s="2">
        <v>6.0999999999999943</v>
      </c>
      <c r="AE391" s="2">
        <v>0</v>
      </c>
    </row>
    <row r="392" spans="1:31" x14ac:dyDescent="0.25">
      <c r="A392" s="2" t="s">
        <v>475</v>
      </c>
      <c r="B392" s="2">
        <v>2019</v>
      </c>
      <c r="C392" s="2" t="s">
        <v>476</v>
      </c>
      <c r="D392" s="2" t="s">
        <v>298</v>
      </c>
      <c r="E392" s="2">
        <v>3.5198999999999998</v>
      </c>
      <c r="F392" s="2">
        <v>8.4413</v>
      </c>
      <c r="G392" s="2">
        <v>14.742900000000001</v>
      </c>
      <c r="H392" s="2">
        <v>1.0121</v>
      </c>
      <c r="I392" s="2">
        <v>0.38390000000000002</v>
      </c>
      <c r="J392">
        <f>0.127533467207168*(100)</f>
        <v>12.753346720716799</v>
      </c>
      <c r="K392">
        <f>-0.0941578881053135*(100)</f>
        <v>-9.4157888105313496</v>
      </c>
      <c r="L392" s="2">
        <v>0.6119</v>
      </c>
      <c r="M392" s="2">
        <v>0.54779999999999995</v>
      </c>
      <c r="N392" s="2">
        <v>10.2644</v>
      </c>
      <c r="O392" s="2">
        <v>0.27329999999999999</v>
      </c>
      <c r="P392" s="2">
        <v>18.7774</v>
      </c>
      <c r="Q392" s="2">
        <v>13.828900000000001</v>
      </c>
      <c r="R392" s="2">
        <v>5.3265796366218296</v>
      </c>
      <c r="S392" s="2">
        <v>8.4258405845199196</v>
      </c>
      <c r="T392" s="2">
        <v>-1.97693084049509</v>
      </c>
      <c r="U392" s="2">
        <v>68.7791</v>
      </c>
      <c r="V392" s="2">
        <v>18.196119589824001</v>
      </c>
      <c r="W392" s="2">
        <v>13.7576503648511</v>
      </c>
      <c r="X392" s="2">
        <v>87.550638059879404</v>
      </c>
      <c r="Y392" s="2">
        <v>-25.212301252816399</v>
      </c>
      <c r="Z392" s="4">
        <v>6</v>
      </c>
      <c r="AA392" s="4">
        <v>8.6999999999999993</v>
      </c>
      <c r="AB392" s="2">
        <v>2.9</v>
      </c>
      <c r="AC392" s="2">
        <v>15.6</v>
      </c>
      <c r="AD392" s="2">
        <v>4.7999999999999972</v>
      </c>
      <c r="AE392" s="2">
        <v>0</v>
      </c>
    </row>
    <row r="393" spans="1:31" x14ac:dyDescent="0.25">
      <c r="A393" s="2" t="s">
        <v>475</v>
      </c>
      <c r="B393" s="2">
        <v>2020</v>
      </c>
      <c r="C393" s="2" t="s">
        <v>476</v>
      </c>
      <c r="D393" s="2" t="s">
        <v>298</v>
      </c>
      <c r="E393" s="2">
        <v>3.9918999999999998</v>
      </c>
      <c r="F393" s="2">
        <v>6.7108999999999996</v>
      </c>
      <c r="G393" s="2">
        <v>9.8068000000000008</v>
      </c>
      <c r="H393" s="2">
        <v>1.0861000000000001</v>
      </c>
      <c r="I393" s="2">
        <v>0.41820000000000002</v>
      </c>
      <c r="J393">
        <f>0.353283860957889*(100)</f>
        <v>35.3283860957889</v>
      </c>
      <c r="K393">
        <f>0.149118016850155*(100)</f>
        <v>14.911801685015499</v>
      </c>
      <c r="L393" s="2">
        <v>0.5927</v>
      </c>
      <c r="M393" s="2">
        <v>0.5363</v>
      </c>
      <c r="N393" s="2">
        <v>12.970499999999999</v>
      </c>
      <c r="O393" s="2">
        <v>0.27579999999999999</v>
      </c>
      <c r="P393" s="2">
        <v>23.000800000000002</v>
      </c>
      <c r="Q393" s="2">
        <v>3.9697</v>
      </c>
      <c r="R393" s="2">
        <v>-16.458459185935101</v>
      </c>
      <c r="S393" s="2">
        <v>12.8943827605923</v>
      </c>
      <c r="T393" s="2">
        <v>3.8711991330950601</v>
      </c>
      <c r="U393" s="2">
        <v>71.407300000000006</v>
      </c>
      <c r="V393" s="2">
        <v>23.87918252739</v>
      </c>
      <c r="W393" s="2">
        <v>14.2990068677494</v>
      </c>
      <c r="X393" s="2">
        <v>112.18157317517901</v>
      </c>
      <c r="Y393" s="2">
        <v>41.2217809660497</v>
      </c>
      <c r="Z393" s="4">
        <v>2.2999999999999998</v>
      </c>
      <c r="AA393" s="4">
        <v>10.100000000000001</v>
      </c>
      <c r="AB393" s="2">
        <v>2.5</v>
      </c>
      <c r="AC393" s="2">
        <v>16.100000000000001</v>
      </c>
      <c r="AD393" s="2">
        <v>2.4000000000000057</v>
      </c>
      <c r="AE393" s="2">
        <v>0</v>
      </c>
    </row>
    <row r="394" spans="1:31" x14ac:dyDescent="0.25">
      <c r="A394" s="2" t="s">
        <v>475</v>
      </c>
      <c r="B394" s="2">
        <v>2021</v>
      </c>
      <c r="C394" s="2" t="s">
        <v>476</v>
      </c>
      <c r="D394" s="2" t="s">
        <v>298</v>
      </c>
      <c r="E394" s="2">
        <v>4.4596</v>
      </c>
      <c r="F394" s="2">
        <v>8.2759999999999998</v>
      </c>
      <c r="G394" s="2">
        <v>14.8218</v>
      </c>
      <c r="H394" s="2">
        <v>1.0750999999999999</v>
      </c>
      <c r="I394" s="2">
        <v>0.54549999999999998</v>
      </c>
      <c r="J394">
        <f>0.467855328885967*(100)</f>
        <v>46.785532888596698</v>
      </c>
      <c r="K394">
        <f>0.113467175419742*(100)</f>
        <v>11.346717541974199</v>
      </c>
      <c r="L394" s="2">
        <v>0.51559999999999995</v>
      </c>
      <c r="M394" s="2">
        <v>0.42109999999999997</v>
      </c>
      <c r="N394" s="2">
        <v>11.456</v>
      </c>
      <c r="O394" s="2">
        <v>0.21560000000000001</v>
      </c>
      <c r="P394" s="2">
        <v>13.553000000000001</v>
      </c>
      <c r="Q394" s="2">
        <v>-7.0602</v>
      </c>
      <c r="R394" s="2">
        <v>23.520374699501101</v>
      </c>
      <c r="S394" s="2">
        <v>9.7023456314118501</v>
      </c>
      <c r="T394" s="2">
        <v>6.6777814604983501</v>
      </c>
      <c r="U394" s="2">
        <v>72.237200000000001</v>
      </c>
      <c r="V394" s="2">
        <v>24.955770762005699</v>
      </c>
      <c r="W394" s="2">
        <v>15.639800167131201</v>
      </c>
      <c r="X394" s="2">
        <v>130.840720611027</v>
      </c>
      <c r="Y394" s="2">
        <v>40.412142548479103</v>
      </c>
      <c r="Z394" s="4">
        <v>8.4</v>
      </c>
      <c r="AA394" s="4">
        <v>9</v>
      </c>
      <c r="AB394" s="2">
        <v>0.9</v>
      </c>
      <c r="AC394" s="2">
        <v>20.9</v>
      </c>
      <c r="AD394" s="2">
        <v>9.0999999999999943</v>
      </c>
      <c r="AE394" s="2">
        <v>0</v>
      </c>
    </row>
    <row r="395" spans="1:31" x14ac:dyDescent="0.25">
      <c r="A395" s="2" t="s">
        <v>477</v>
      </c>
      <c r="B395" s="2">
        <v>2014</v>
      </c>
      <c r="C395" s="2" t="s">
        <v>478</v>
      </c>
      <c r="D395" s="2" t="s">
        <v>298</v>
      </c>
      <c r="E395" s="2">
        <v>9.5259</v>
      </c>
      <c r="F395" s="2">
        <v>9.5333000000000006</v>
      </c>
      <c r="G395" s="2">
        <v>166.17490000000001</v>
      </c>
      <c r="H395" s="2">
        <v>4.0204000000000004</v>
      </c>
      <c r="I395" s="2">
        <v>3.7469000000000001</v>
      </c>
      <c r="J395">
        <f>0.778751280371376*(100)</f>
        <v>77.8751280371376</v>
      </c>
      <c r="K395">
        <f>-0.0905806310395128*(100)</f>
        <v>-9.0580631039512802</v>
      </c>
      <c r="L395" s="2">
        <v>2.1682999999999999</v>
      </c>
      <c r="M395" s="2">
        <v>0.34689999999999999</v>
      </c>
      <c r="N395" s="2">
        <v>2.1602999999999999</v>
      </c>
      <c r="O395" s="2">
        <v>4.9799999999999997E-2</v>
      </c>
      <c r="P395" s="2">
        <v>5.7792000000000003</v>
      </c>
      <c r="Q395" s="2">
        <v>3.6453000000000002</v>
      </c>
      <c r="R395" s="2">
        <v>-1.6393983848839999</v>
      </c>
      <c r="S395" s="2">
        <v>15.56895548038</v>
      </c>
      <c r="T395" s="2">
        <v>7.46663996616783</v>
      </c>
      <c r="U395" s="2">
        <v>32.527500000000003</v>
      </c>
      <c r="V395" s="2">
        <v>27.483802759787899</v>
      </c>
      <c r="W395" s="2">
        <v>31.623625054725998</v>
      </c>
      <c r="X395" s="2">
        <v>96.329082927803796</v>
      </c>
      <c r="Y395" s="2">
        <v>-63.463960602737004</v>
      </c>
      <c r="Z395" s="4">
        <v>7.3</v>
      </c>
      <c r="AA395" s="4">
        <v>12.2</v>
      </c>
      <c r="AB395" s="2">
        <v>2</v>
      </c>
      <c r="AC395" s="2">
        <v>16.899999999999999</v>
      </c>
      <c r="AD395" s="2">
        <v>6.7000000000000028</v>
      </c>
      <c r="AE395" s="2">
        <v>0</v>
      </c>
    </row>
    <row r="396" spans="1:31" x14ac:dyDescent="0.25">
      <c r="A396" s="2" t="s">
        <v>477</v>
      </c>
      <c r="B396" s="2">
        <v>2015</v>
      </c>
      <c r="C396" s="2" t="s">
        <v>478</v>
      </c>
      <c r="D396" s="2" t="s">
        <v>298</v>
      </c>
      <c r="E396" s="2">
        <v>7.4863999999999997</v>
      </c>
      <c r="F396" s="2">
        <v>6.6845999999999997</v>
      </c>
      <c r="G396" s="2">
        <v>216.02619999999999</v>
      </c>
      <c r="H396" s="2">
        <v>4.4890999999999996</v>
      </c>
      <c r="I396" s="2">
        <v>4.2397</v>
      </c>
      <c r="J396">
        <f>0.652520673670947*(100)</f>
        <v>65.252067367094696</v>
      </c>
      <c r="K396">
        <f>-0.0735926322621645*(100)</f>
        <v>-7.3592632262164503</v>
      </c>
      <c r="L396" s="2">
        <v>2.1636000000000002</v>
      </c>
      <c r="M396" s="2">
        <v>0.1804</v>
      </c>
      <c r="N396" s="2">
        <v>1.8523000000000001</v>
      </c>
      <c r="O396" s="2">
        <v>3.6799999999999999E-2</v>
      </c>
      <c r="P396" s="2">
        <v>4.2084999999999999</v>
      </c>
      <c r="Q396" s="2">
        <v>-21.221499999999999</v>
      </c>
      <c r="R396" s="2">
        <v>-27.643526711402199</v>
      </c>
      <c r="S396" s="2">
        <v>5.1462548194472904</v>
      </c>
      <c r="T396" s="2">
        <v>4.5348108613416001</v>
      </c>
      <c r="U396" s="2">
        <v>32.777900000000002</v>
      </c>
      <c r="V396" s="2">
        <v>28.219405568022697</v>
      </c>
      <c r="W396" s="2">
        <v>36.4884619726108</v>
      </c>
      <c r="X396" s="2">
        <v>92.944053973301692</v>
      </c>
      <c r="Y396" s="2">
        <v>-67.276599724869101</v>
      </c>
      <c r="Z396" s="4">
        <v>6.9099999999999993</v>
      </c>
      <c r="AA396" s="4">
        <v>13.3</v>
      </c>
      <c r="AB396" s="2">
        <v>1.4</v>
      </c>
      <c r="AC396" s="2">
        <v>17.600000000000001</v>
      </c>
      <c r="AD396" s="2">
        <v>5.7000000000000028</v>
      </c>
      <c r="AE396" s="2">
        <v>0</v>
      </c>
    </row>
    <row r="397" spans="1:31" x14ac:dyDescent="0.25">
      <c r="A397" s="2" t="s">
        <v>477</v>
      </c>
      <c r="B397" s="2">
        <v>2016</v>
      </c>
      <c r="C397" s="2" t="s">
        <v>478</v>
      </c>
      <c r="D397" s="2" t="s">
        <v>298</v>
      </c>
      <c r="E397" s="2">
        <v>10.544</v>
      </c>
      <c r="F397" s="2">
        <v>10.4224</v>
      </c>
      <c r="G397" s="2">
        <v>282.30450000000002</v>
      </c>
      <c r="H397" s="2">
        <v>1.3339000000000001</v>
      </c>
      <c r="I397" s="2">
        <v>1.24</v>
      </c>
      <c r="J397">
        <f>0.459884072800132*(100)</f>
        <v>45.988407280013199</v>
      </c>
      <c r="K397">
        <f>-0.0615920961638694*(100)</f>
        <v>-6.1592096163869403</v>
      </c>
      <c r="L397" s="2">
        <v>2.2029999999999998</v>
      </c>
      <c r="M397" s="2">
        <v>0.19070000000000001</v>
      </c>
      <c r="N397" s="2">
        <v>2.0712000000000002</v>
      </c>
      <c r="O397" s="2">
        <v>3.39E-2</v>
      </c>
      <c r="P397" s="2">
        <v>3.9962</v>
      </c>
      <c r="Q397" s="2">
        <v>1.9617</v>
      </c>
      <c r="R397" s="2">
        <v>66.900421099205403</v>
      </c>
      <c r="S397" s="2">
        <v>5.90915391908751</v>
      </c>
      <c r="T397" s="2">
        <v>8.5040345232525301</v>
      </c>
      <c r="U397" s="2">
        <v>31.481300000000001</v>
      </c>
      <c r="V397" s="2">
        <v>20.054000348966799</v>
      </c>
      <c r="W397" s="2">
        <v>47.4668690084129</v>
      </c>
      <c r="X397" s="2">
        <v>90.539128755081492</v>
      </c>
      <c r="Y397" s="2">
        <v>-58.824432367830902</v>
      </c>
      <c r="Z397" s="4">
        <v>6.7</v>
      </c>
      <c r="AA397" s="4">
        <v>11.3</v>
      </c>
      <c r="AB397" s="2">
        <v>2</v>
      </c>
      <c r="AC397" s="2">
        <v>15.9</v>
      </c>
      <c r="AD397" s="2">
        <v>5.7000000000000028</v>
      </c>
      <c r="AE397" s="2">
        <v>0</v>
      </c>
    </row>
    <row r="398" spans="1:31" x14ac:dyDescent="0.25">
      <c r="A398" s="2" t="s">
        <v>477</v>
      </c>
      <c r="B398" s="2">
        <v>2017</v>
      </c>
      <c r="C398" s="2" t="s">
        <v>478</v>
      </c>
      <c r="D398" s="2" t="s">
        <v>298</v>
      </c>
      <c r="E398" s="2">
        <v>3.4493999999999998</v>
      </c>
      <c r="F398" s="2">
        <v>1.1950000000000001</v>
      </c>
      <c r="G398" s="2">
        <v>48.433500000000002</v>
      </c>
      <c r="H398" s="2">
        <v>4.0293000000000001</v>
      </c>
      <c r="I398" s="2">
        <v>3.7591999999999999</v>
      </c>
      <c r="J398">
        <f>1.44755969446492*(100)</f>
        <v>144.755969446492</v>
      </c>
      <c r="K398">
        <f>-0.0946308486424986*(100)</f>
        <v>-9.4630848642498595</v>
      </c>
      <c r="L398" s="2">
        <v>2.2317999999999998</v>
      </c>
      <c r="M398" s="2">
        <v>0.23280000000000001</v>
      </c>
      <c r="N398" s="2">
        <v>1.9565999999999999</v>
      </c>
      <c r="O398" s="2">
        <v>3.8399999999999997E-2</v>
      </c>
      <c r="P398" s="2">
        <v>4.3324999999999996</v>
      </c>
      <c r="Q398" s="2">
        <v>18.316800000000001</v>
      </c>
      <c r="R398" s="2">
        <v>-88.367772369105396</v>
      </c>
      <c r="S398" s="2">
        <v>-0.66875723545514199</v>
      </c>
      <c r="T398" s="2">
        <v>-6.0109050101255903</v>
      </c>
      <c r="U398" s="2">
        <v>34.8855</v>
      </c>
      <c r="V398" s="2">
        <v>30.481086964276798</v>
      </c>
      <c r="W398" s="2">
        <v>26.230786984440801</v>
      </c>
      <c r="X398" s="2">
        <v>87.809631218641002</v>
      </c>
      <c r="Y398" s="2">
        <v>-85.820223568623902</v>
      </c>
      <c r="Z398" s="4">
        <v>6.9</v>
      </c>
      <c r="AA398" s="4">
        <v>8.2000000000000011</v>
      </c>
      <c r="AB398" s="2">
        <v>1.6</v>
      </c>
      <c r="AC398" s="2">
        <v>16.3</v>
      </c>
      <c r="AD398" s="2">
        <v>6.2000000000000028</v>
      </c>
      <c r="AE398" s="2">
        <v>0</v>
      </c>
    </row>
    <row r="399" spans="1:31" x14ac:dyDescent="0.25">
      <c r="A399" s="2" t="s">
        <v>477</v>
      </c>
      <c r="B399" s="2">
        <v>2018</v>
      </c>
      <c r="C399" s="2" t="s">
        <v>478</v>
      </c>
      <c r="D399" s="2" t="s">
        <v>298</v>
      </c>
      <c r="E399" s="2">
        <v>6.9619</v>
      </c>
      <c r="F399" s="2">
        <v>5.2450999999999999</v>
      </c>
      <c r="G399" s="2">
        <v>147.7901</v>
      </c>
      <c r="H399" s="2">
        <v>1.0667</v>
      </c>
      <c r="I399" s="2">
        <v>1.0005999999999999</v>
      </c>
      <c r="J399">
        <f>0.419530879488491*(100)</f>
        <v>41.953087948849102</v>
      </c>
      <c r="K399">
        <f>-0.065914012137306*(100)</f>
        <v>-6.5914012137305997</v>
      </c>
      <c r="L399" s="2">
        <v>2.2084999999999999</v>
      </c>
      <c r="M399" s="2">
        <v>0.19289999999999999</v>
      </c>
      <c r="N399" s="2">
        <v>1.4554</v>
      </c>
      <c r="O399" s="2">
        <v>3.6499999999999998E-2</v>
      </c>
      <c r="P399" s="2">
        <v>3.9014000000000002</v>
      </c>
      <c r="Q399" s="2">
        <v>-4.9138000000000002</v>
      </c>
      <c r="R399" s="2">
        <v>331.84553635543801</v>
      </c>
      <c r="S399" s="2">
        <v>2.2505567165759399</v>
      </c>
      <c r="T399" s="2">
        <v>3.4001821261608298</v>
      </c>
      <c r="U399" s="2">
        <v>34.812600000000003</v>
      </c>
      <c r="V399" s="2">
        <v>16.021222840751999</v>
      </c>
      <c r="W399" s="2">
        <v>25.775088304590302</v>
      </c>
      <c r="X399" s="2">
        <v>88.283095308608296</v>
      </c>
      <c r="Y399" s="2">
        <v>-63.613797270228702</v>
      </c>
      <c r="Z399" s="4">
        <v>6.6000000000000005</v>
      </c>
      <c r="AA399" s="4">
        <v>8.1</v>
      </c>
      <c r="AB399" s="2">
        <v>2.1</v>
      </c>
      <c r="AC399" s="2">
        <v>12.5</v>
      </c>
      <c r="AD399" s="2">
        <v>6.0999999999999943</v>
      </c>
      <c r="AE399" s="2">
        <v>0</v>
      </c>
    </row>
    <row r="400" spans="1:31" x14ac:dyDescent="0.25">
      <c r="A400" s="2" t="s">
        <v>477</v>
      </c>
      <c r="B400" s="2">
        <v>2019</v>
      </c>
      <c r="C400" s="2" t="s">
        <v>478</v>
      </c>
      <c r="D400" s="2" t="s">
        <v>298</v>
      </c>
      <c r="E400" s="2">
        <v>7.0381999999999998</v>
      </c>
      <c r="F400" s="2">
        <v>6.1670999999999996</v>
      </c>
      <c r="G400" s="2">
        <v>147.49209999999999</v>
      </c>
      <c r="H400" s="2">
        <v>5.7572999999999999</v>
      </c>
      <c r="I400" s="2">
        <v>5.4957000000000003</v>
      </c>
      <c r="J400">
        <f>4.6829753269939*(100)</f>
        <v>468.29753269939005</v>
      </c>
      <c r="K400">
        <f>-0.070839549318422*(100)</f>
        <v>-7.0839549318422002</v>
      </c>
      <c r="L400" s="2">
        <v>2.2313999999999998</v>
      </c>
      <c r="M400" s="2">
        <v>0.16350000000000001</v>
      </c>
      <c r="N400" s="2">
        <v>1.5406</v>
      </c>
      <c r="O400" s="2">
        <v>3.8800000000000001E-2</v>
      </c>
      <c r="P400" s="2">
        <v>5.0826000000000002</v>
      </c>
      <c r="Q400" s="2">
        <v>8.2728999999999999</v>
      </c>
      <c r="R400" s="2">
        <v>19.162650121505202</v>
      </c>
      <c r="S400" s="2">
        <v>-0.18331117647474901</v>
      </c>
      <c r="T400" s="2">
        <v>0.57388488191623099</v>
      </c>
      <c r="U400" s="2">
        <v>34.860100000000003</v>
      </c>
      <c r="V400" s="2">
        <v>30.089928198046799</v>
      </c>
      <c r="W400" s="2">
        <v>25.9377787800471</v>
      </c>
      <c r="X400" s="2">
        <v>90.810188299874</v>
      </c>
      <c r="Y400" s="2">
        <v>-63.544617280538894</v>
      </c>
      <c r="Z400" s="4">
        <v>6</v>
      </c>
      <c r="AA400" s="4">
        <v>8.6999999999999993</v>
      </c>
      <c r="AB400" s="2">
        <v>2.9</v>
      </c>
      <c r="AC400" s="2">
        <v>15.6</v>
      </c>
      <c r="AD400" s="2">
        <v>4.7999999999999972</v>
      </c>
      <c r="AE400" s="2">
        <v>0</v>
      </c>
    </row>
    <row r="401" spans="1:31" x14ac:dyDescent="0.25">
      <c r="A401" s="2" t="s">
        <v>477</v>
      </c>
      <c r="B401" s="2">
        <v>2020</v>
      </c>
      <c r="C401" s="2" t="s">
        <v>478</v>
      </c>
      <c r="D401" s="2" t="s">
        <v>298</v>
      </c>
      <c r="E401" s="2">
        <v>9.0344999999999995</v>
      </c>
      <c r="F401" s="2">
        <v>9.0761000000000003</v>
      </c>
      <c r="G401" s="2">
        <v>381.77569999999997</v>
      </c>
      <c r="H401" s="2">
        <v>6.3212999999999999</v>
      </c>
      <c r="I401" s="2">
        <v>6.2352999999999996</v>
      </c>
      <c r="J401">
        <f>4.44751193049173*(100)</f>
        <v>444.75119304917303</v>
      </c>
      <c r="K401">
        <f>-0.0425535066587988*(100)</f>
        <v>-4.2553506658798801</v>
      </c>
      <c r="L401" s="2">
        <v>1.7235</v>
      </c>
      <c r="M401" s="2">
        <v>6.5799999999999997E-2</v>
      </c>
      <c r="N401" s="2">
        <v>1.1801999999999999</v>
      </c>
      <c r="O401" s="2">
        <v>0.02</v>
      </c>
      <c r="P401" s="2">
        <v>4.3261000000000003</v>
      </c>
      <c r="Q401" s="2">
        <v>-45.769199999999998</v>
      </c>
      <c r="R401" s="2">
        <v>49.934078081131801</v>
      </c>
      <c r="S401" s="2">
        <v>11.4116143765324</v>
      </c>
      <c r="T401" s="2">
        <v>2.5576742240821999</v>
      </c>
      <c r="U401" s="2">
        <v>40.215499999999999</v>
      </c>
      <c r="V401" s="2">
        <v>35.007649346301903</v>
      </c>
      <c r="W401" s="2">
        <v>62.4993830259261</v>
      </c>
      <c r="X401" s="2">
        <v>82.466583799606397</v>
      </c>
      <c r="Y401" s="2">
        <v>-90.321514682081101</v>
      </c>
      <c r="Z401" s="4">
        <v>2.2999999999999998</v>
      </c>
      <c r="AA401" s="4">
        <v>10.100000000000001</v>
      </c>
      <c r="AB401" s="2">
        <v>2.5</v>
      </c>
      <c r="AC401" s="2">
        <v>16.100000000000001</v>
      </c>
      <c r="AD401" s="2">
        <v>2.4000000000000057</v>
      </c>
      <c r="AE401" s="2">
        <v>0</v>
      </c>
    </row>
    <row r="402" spans="1:31" x14ac:dyDescent="0.25">
      <c r="A402" s="2" t="s">
        <v>477</v>
      </c>
      <c r="B402" s="2">
        <v>2021</v>
      </c>
      <c r="C402" s="2" t="s">
        <v>478</v>
      </c>
      <c r="D402" s="2" t="s">
        <v>298</v>
      </c>
      <c r="E402" s="2">
        <v>10.665100000000001</v>
      </c>
      <c r="F402" s="2">
        <v>12.8408</v>
      </c>
      <c r="G402" s="2">
        <v>459.3913</v>
      </c>
      <c r="H402" s="2">
        <v>3.3111999999999999</v>
      </c>
      <c r="I402" s="2">
        <v>3.2336999999999998</v>
      </c>
      <c r="J402">
        <f>2.88911549813233*(100)</f>
        <v>288.91154981323297</v>
      </c>
      <c r="K402">
        <f>-0.0245560340699155*(100)</f>
        <v>-2.4556034069915502</v>
      </c>
      <c r="L402" s="2">
        <v>2.9270999999999998</v>
      </c>
      <c r="M402" s="2">
        <v>7.46E-2</v>
      </c>
      <c r="N402" s="2">
        <v>2.2583000000000002</v>
      </c>
      <c r="O402" s="2">
        <v>0.02</v>
      </c>
      <c r="P402" s="2">
        <v>6.4226999999999999</v>
      </c>
      <c r="Q402" s="2">
        <v>11.8634</v>
      </c>
      <c r="R402" s="2">
        <v>53.4779085290225</v>
      </c>
      <c r="S402" s="2">
        <v>12.2689714908261</v>
      </c>
      <c r="T402" s="2">
        <v>12.194710374569301</v>
      </c>
      <c r="U402" s="2">
        <v>40.451900000000002</v>
      </c>
      <c r="V402" s="2">
        <v>34.027404803225195</v>
      </c>
      <c r="W402" s="2">
        <v>72.744831042781001</v>
      </c>
      <c r="X402" s="2">
        <v>84.971624918920895</v>
      </c>
      <c r="Y402" s="2">
        <v>-52.657946229696094</v>
      </c>
      <c r="Z402" s="4">
        <v>8.4</v>
      </c>
      <c r="AA402" s="4">
        <v>9</v>
      </c>
      <c r="AB402" s="2">
        <v>0.9</v>
      </c>
      <c r="AC402" s="2">
        <v>20.9</v>
      </c>
      <c r="AD402" s="2">
        <v>9.0999999999999943</v>
      </c>
      <c r="AE402" s="2">
        <v>0</v>
      </c>
    </row>
    <row r="403" spans="1:31" x14ac:dyDescent="0.25">
      <c r="A403" s="2" t="s">
        <v>479</v>
      </c>
      <c r="B403" s="2">
        <v>2020</v>
      </c>
      <c r="C403" s="2" t="s">
        <v>480</v>
      </c>
      <c r="D403" s="2" t="s">
        <v>318</v>
      </c>
      <c r="E403" s="2">
        <v>6.1191000000000004</v>
      </c>
      <c r="F403" s="2">
        <v>11.709199999999999</v>
      </c>
      <c r="G403" s="2">
        <v>12.711499999999999</v>
      </c>
      <c r="H403" s="2">
        <v>0.93810000000000004</v>
      </c>
      <c r="I403" s="2">
        <v>0.89839999999999998</v>
      </c>
      <c r="J403">
        <f>0.334492871034719*(100)</f>
        <v>33.449287103471896</v>
      </c>
      <c r="K403">
        <f>0.0857575767944846*(100)</f>
        <v>8.5757576794484613</v>
      </c>
      <c r="L403" s="2">
        <v>14.9742</v>
      </c>
      <c r="M403" s="2">
        <v>0.99950000000000006</v>
      </c>
      <c r="N403" s="2">
        <v>0.57599999999999996</v>
      </c>
      <c r="O403" s="2">
        <v>0.1946</v>
      </c>
      <c r="P403" s="2">
        <v>3.0343</v>
      </c>
      <c r="Q403" s="2">
        <v>2.4948000000000001</v>
      </c>
      <c r="R403" s="2">
        <v>133.30487746459201</v>
      </c>
      <c r="S403" s="2">
        <v>18.676343320063399</v>
      </c>
      <c r="T403" s="2">
        <v>26.1775567462231</v>
      </c>
      <c r="U403" s="2">
        <v>63.3063</v>
      </c>
      <c r="V403" s="2">
        <v>43.3277674287257</v>
      </c>
      <c r="W403" s="2">
        <v>1.1861181957931599</v>
      </c>
      <c r="X403" s="2">
        <v>103.65198495909999</v>
      </c>
      <c r="Y403" s="2">
        <v>30.274205622584699</v>
      </c>
      <c r="Z403" s="4">
        <v>2.2999999999999998</v>
      </c>
      <c r="AA403" s="4">
        <v>10.100000000000001</v>
      </c>
      <c r="AB403" s="2">
        <v>2.5</v>
      </c>
      <c r="AC403" s="2">
        <v>16.100000000000001</v>
      </c>
      <c r="AD403" s="2">
        <v>2.4000000000000057</v>
      </c>
      <c r="AE403" s="2">
        <v>0</v>
      </c>
    </row>
    <row r="404" spans="1:31" x14ac:dyDescent="0.25">
      <c r="A404" s="2" t="s">
        <v>479</v>
      </c>
      <c r="B404" s="2">
        <v>2021</v>
      </c>
      <c r="C404" s="2" t="s">
        <v>480</v>
      </c>
      <c r="D404" s="2" t="s">
        <v>318</v>
      </c>
      <c r="E404" s="2">
        <v>3.8050999999999999</v>
      </c>
      <c r="F404" s="2">
        <v>5.1121999999999996</v>
      </c>
      <c r="G404" s="2">
        <v>8.5099</v>
      </c>
      <c r="H404" s="2">
        <v>0.96960000000000002</v>
      </c>
      <c r="I404" s="2">
        <v>0.91239999999999999</v>
      </c>
      <c r="J404">
        <f>0.275593914483142*(100)</f>
        <v>27.559391448314202</v>
      </c>
      <c r="K404">
        <f>0.052580814777926*(100)</f>
        <v>5.2580814777925999</v>
      </c>
      <c r="L404" s="2">
        <v>18.7363</v>
      </c>
      <c r="M404" s="2">
        <v>1.3143</v>
      </c>
      <c r="N404" s="2">
        <v>0.68020000000000003</v>
      </c>
      <c r="O404" s="2">
        <v>0.2571</v>
      </c>
      <c r="P404" s="2">
        <v>3.6993</v>
      </c>
      <c r="Q404" s="2">
        <v>54.361499999999999</v>
      </c>
      <c r="R404" s="2">
        <v>-50.565798223010098</v>
      </c>
      <c r="S404" s="2">
        <v>15.2943012680538</v>
      </c>
      <c r="T404" s="2">
        <v>19.349044774071199</v>
      </c>
      <c r="U404" s="2">
        <v>62.293199999999999</v>
      </c>
      <c r="V404" s="2">
        <v>41.384803923977898</v>
      </c>
      <c r="W404" s="2">
        <v>0.86167760921252401</v>
      </c>
      <c r="X404" s="2">
        <v>103.436106039886</v>
      </c>
      <c r="Y404" s="2">
        <v>13.644242943688202</v>
      </c>
      <c r="Z404" s="4">
        <v>8.4</v>
      </c>
      <c r="AA404" s="4">
        <v>9</v>
      </c>
      <c r="AB404" s="2">
        <v>0.9</v>
      </c>
      <c r="AC404" s="2">
        <v>20.9</v>
      </c>
      <c r="AD404" s="2">
        <v>10.400000000000006</v>
      </c>
      <c r="AE404" s="2">
        <v>0</v>
      </c>
    </row>
    <row r="405" spans="1:31" x14ac:dyDescent="0.25">
      <c r="A405" s="2" t="s">
        <v>481</v>
      </c>
      <c r="B405" s="2">
        <v>2019</v>
      </c>
      <c r="C405" s="2" t="s">
        <v>482</v>
      </c>
      <c r="D405" s="2" t="s">
        <v>318</v>
      </c>
      <c r="E405" s="2">
        <v>4.7834000000000003</v>
      </c>
      <c r="F405" s="2">
        <v>5.5056000000000003</v>
      </c>
      <c r="G405" s="2">
        <v>10.504099999999999</v>
      </c>
      <c r="H405" s="2">
        <v>0.39829999999999999</v>
      </c>
      <c r="I405" s="2">
        <v>0.38950000000000001</v>
      </c>
      <c r="J405">
        <f>0.145132674606372*(100)</f>
        <v>14.5132674606372</v>
      </c>
      <c r="K405">
        <f>0.073253220526382*(100)</f>
        <v>7.3253220526382004</v>
      </c>
      <c r="L405" s="2">
        <v>39.7254</v>
      </c>
      <c r="M405" s="2">
        <v>1.5773999999999999</v>
      </c>
      <c r="N405" s="2">
        <v>0.39250000000000002</v>
      </c>
      <c r="O405" s="2">
        <v>0.22600000000000001</v>
      </c>
      <c r="P405" s="2">
        <v>3.8509000000000002</v>
      </c>
      <c r="Q405" s="2">
        <v>3.9666999999999999</v>
      </c>
      <c r="R405" s="2">
        <v>-40.622436152120798</v>
      </c>
      <c r="S405" s="2">
        <v>11.692721668928799</v>
      </c>
      <c r="T405" s="2">
        <v>18.4295273134558</v>
      </c>
      <c r="U405" s="2">
        <v>72.916499999999999</v>
      </c>
      <c r="V405" s="2">
        <v>32.159283974422998</v>
      </c>
      <c r="W405" s="2">
        <v>0.48387099425444002</v>
      </c>
      <c r="X405" s="2">
        <v>101.30620665352801</v>
      </c>
      <c r="Y405" s="2">
        <v>25.032180654352999</v>
      </c>
      <c r="Z405" s="4">
        <v>6</v>
      </c>
      <c r="AA405" s="4">
        <v>8.6999999999999993</v>
      </c>
      <c r="AB405" s="2">
        <v>2.9</v>
      </c>
      <c r="AC405" s="2">
        <v>15.6</v>
      </c>
      <c r="AD405" s="2">
        <v>4.7999999999999972</v>
      </c>
      <c r="AE405" s="2">
        <v>0</v>
      </c>
    </row>
    <row r="406" spans="1:31" x14ac:dyDescent="0.25">
      <c r="A406" s="2" t="s">
        <v>481</v>
      </c>
      <c r="B406" s="2">
        <v>2020</v>
      </c>
      <c r="C406" s="2" t="s">
        <v>482</v>
      </c>
      <c r="D406" s="2" t="s">
        <v>318</v>
      </c>
      <c r="E406" s="2">
        <v>4.0618999999999996</v>
      </c>
      <c r="F406" s="2">
        <v>4.5991</v>
      </c>
      <c r="G406" s="2">
        <v>10.3142</v>
      </c>
      <c r="H406" s="2">
        <v>0.41570000000000001</v>
      </c>
      <c r="I406" s="2">
        <v>0.40799999999999997</v>
      </c>
      <c r="J406">
        <f>0.13267742349103*(100)</f>
        <v>13.267742349103001</v>
      </c>
      <c r="K406">
        <f>0.0771526699892739*(100)</f>
        <v>7.7152669989273903</v>
      </c>
      <c r="L406" s="2">
        <v>48.078499999999998</v>
      </c>
      <c r="M406" s="2">
        <v>1.3363</v>
      </c>
      <c r="N406" s="2">
        <v>0.37940000000000002</v>
      </c>
      <c r="O406" s="2">
        <v>0.20169999999999999</v>
      </c>
      <c r="P406" s="2">
        <v>2.8012000000000001</v>
      </c>
      <c r="Q406" s="2">
        <v>2.2753000000000001</v>
      </c>
      <c r="R406" s="2">
        <v>-5.2789233266951197</v>
      </c>
      <c r="S406" s="2">
        <v>16.144551195710999</v>
      </c>
      <c r="T406" s="2">
        <v>2.8986264727512299</v>
      </c>
      <c r="U406" s="2">
        <v>73.107399999999998</v>
      </c>
      <c r="V406" s="2">
        <v>39.149606593963199</v>
      </c>
      <c r="W406" s="2">
        <v>0.52985221928517701</v>
      </c>
      <c r="X406" s="2">
        <v>103.86410139606701</v>
      </c>
      <c r="Y406" s="2">
        <v>30.050860208102097</v>
      </c>
      <c r="Z406" s="4">
        <v>2.2999999999999998</v>
      </c>
      <c r="AA406" s="4">
        <v>10.100000000000001</v>
      </c>
      <c r="AB406" s="2">
        <v>2.5</v>
      </c>
      <c r="AC406" s="2">
        <v>16.100000000000001</v>
      </c>
      <c r="AD406" s="2">
        <v>2.4000000000000057</v>
      </c>
      <c r="AE406" s="2">
        <v>0</v>
      </c>
    </row>
    <row r="407" spans="1:31" x14ac:dyDescent="0.25">
      <c r="A407" s="5" t="s">
        <v>483</v>
      </c>
      <c r="B407" s="5">
        <v>2014</v>
      </c>
      <c r="C407" s="5" t="s">
        <v>484</v>
      </c>
      <c r="D407" s="5" t="s">
        <v>318</v>
      </c>
      <c r="E407" s="5">
        <v>12.625</v>
      </c>
      <c r="F407" s="5">
        <v>14.3993</v>
      </c>
      <c r="G407" s="5">
        <v>50.371699999999997</v>
      </c>
      <c r="H407" s="5">
        <v>0.28039999999999998</v>
      </c>
      <c r="I407" s="5">
        <v>0.25990000000000002</v>
      </c>
      <c r="J407">
        <f>0.154414746893821*(100)</f>
        <v>15.441474689382101</v>
      </c>
      <c r="K407">
        <f>0.349979030745498*(100)</f>
        <v>34.997903074549804</v>
      </c>
      <c r="L407" s="5">
        <v>22.591799999999999</v>
      </c>
      <c r="M407" s="5">
        <v>4.9291999999999998</v>
      </c>
      <c r="N407" s="5">
        <v>0.21199999999999999</v>
      </c>
      <c r="O407" s="5">
        <v>0.18140000000000001</v>
      </c>
      <c r="P407" s="5">
        <v>16.692799999999998</v>
      </c>
      <c r="Q407" s="5">
        <v>18.400400000000001</v>
      </c>
      <c r="R407" s="5">
        <v>31.5403253213242</v>
      </c>
      <c r="S407" s="5">
        <v>-1.7466249705077801</v>
      </c>
      <c r="T407" s="5">
        <v>10.175529829096099</v>
      </c>
      <c r="U407" s="5">
        <v>41.401400000000002</v>
      </c>
      <c r="V407" s="2">
        <v>27.196633945680198</v>
      </c>
      <c r="W407" s="5">
        <v>0.69409985897055204</v>
      </c>
      <c r="X407" s="2">
        <v>115.007877077016</v>
      </c>
      <c r="Y407" s="2">
        <v>79.184539227314801</v>
      </c>
      <c r="Z407" s="6">
        <v>7.3</v>
      </c>
      <c r="AA407" s="6">
        <v>12.2</v>
      </c>
      <c r="AB407" s="5">
        <v>2</v>
      </c>
      <c r="AC407" s="5">
        <v>16.899999999999999</v>
      </c>
      <c r="AD407" s="5">
        <v>10.299999999999997</v>
      </c>
      <c r="AE407" s="5">
        <v>0</v>
      </c>
    </row>
    <row r="408" spans="1:31" x14ac:dyDescent="0.25">
      <c r="A408" s="2" t="s">
        <v>483</v>
      </c>
      <c r="B408" s="2">
        <v>2015</v>
      </c>
      <c r="C408" s="2" t="s">
        <v>484</v>
      </c>
      <c r="D408" s="2" t="s">
        <v>318</v>
      </c>
      <c r="E408" s="2">
        <v>12.234999999999999</v>
      </c>
      <c r="F408" s="2">
        <v>12.9834</v>
      </c>
      <c r="G408" s="2">
        <v>53.1967</v>
      </c>
      <c r="H408" s="2">
        <v>0.32679999999999998</v>
      </c>
      <c r="I408" s="2">
        <v>0.30530000000000002</v>
      </c>
      <c r="J408">
        <f>0.212628301263422*(100)</f>
        <v>21.262830126342198</v>
      </c>
      <c r="K408">
        <f>0.349843596607046*(100)</f>
        <v>34.984359660704598</v>
      </c>
      <c r="L408" s="2">
        <v>23.613900000000001</v>
      </c>
      <c r="M408" s="2">
        <v>4.0568</v>
      </c>
      <c r="N408" s="2">
        <v>0.19950000000000001</v>
      </c>
      <c r="O408" s="2">
        <v>0.16769999999999999</v>
      </c>
      <c r="P408" s="2">
        <v>13.9932</v>
      </c>
      <c r="Q408" s="2">
        <v>-10.128</v>
      </c>
      <c r="R408" s="2">
        <v>-2.6204276947098202</v>
      </c>
      <c r="S408" s="2">
        <v>-3.3989284406330098</v>
      </c>
      <c r="T408" s="2">
        <v>6.0242864713369002</v>
      </c>
      <c r="U408" s="2">
        <v>35.664299999999997</v>
      </c>
      <c r="V408" s="2">
        <v>22.531563102108301</v>
      </c>
      <c r="W408" s="2">
        <v>0.76864898550251803</v>
      </c>
      <c r="X408" s="2">
        <v>116.69843798859301</v>
      </c>
      <c r="Y408" s="2">
        <v>73.092585398287</v>
      </c>
      <c r="Z408" s="4">
        <v>6.9099999999999993</v>
      </c>
      <c r="AA408" s="4">
        <v>13.3</v>
      </c>
      <c r="AB408" s="2">
        <v>1.4</v>
      </c>
      <c r="AC408" s="2">
        <v>17.600000000000001</v>
      </c>
      <c r="AD408" s="2">
        <v>9.7000000000000028</v>
      </c>
      <c r="AE408" s="2">
        <v>0</v>
      </c>
    </row>
    <row r="409" spans="1:31" x14ac:dyDescent="0.25">
      <c r="A409" s="2" t="s">
        <v>485</v>
      </c>
      <c r="B409" s="2">
        <v>2017</v>
      </c>
      <c r="C409" s="2" t="s">
        <v>486</v>
      </c>
      <c r="D409" s="2" t="s">
        <v>330</v>
      </c>
      <c r="E409" s="2">
        <v>4.9433999999999996</v>
      </c>
      <c r="F409" s="2">
        <v>6.8788</v>
      </c>
      <c r="G409" s="2">
        <v>16.089500000000001</v>
      </c>
      <c r="H409" s="2">
        <v>1.1803999999999999</v>
      </c>
      <c r="I409" s="2">
        <v>1.1534</v>
      </c>
      <c r="J409">
        <f>0.159037980816913*(100)</f>
        <v>15.903798081691301</v>
      </c>
      <c r="K409">
        <f>0.0863369954433449*(100)</f>
        <v>8.6336995443344904</v>
      </c>
      <c r="L409" s="2">
        <v>17.152699999999999</v>
      </c>
      <c r="M409" s="2">
        <v>0.70379999999999998</v>
      </c>
      <c r="N409" s="2">
        <v>0.27839999999999998</v>
      </c>
      <c r="O409" s="2">
        <v>0.16980000000000001</v>
      </c>
      <c r="P409" s="2">
        <v>1.2373000000000001</v>
      </c>
      <c r="Q409" s="2">
        <v>19.9086</v>
      </c>
      <c r="R409" s="2">
        <v>19.4533929354408</v>
      </c>
      <c r="S409" s="2">
        <v>5.9788844440228699</v>
      </c>
      <c r="T409" s="2">
        <v>7.1010164315083104</v>
      </c>
      <c r="U409" s="2">
        <v>61.173299999999998</v>
      </c>
      <c r="V409" s="2">
        <v>42.956397566027796</v>
      </c>
      <c r="W409" s="2">
        <v>0.61158600103314897</v>
      </c>
      <c r="X409" s="2">
        <v>73.13839199240671</v>
      </c>
      <c r="Y409" s="2">
        <v>32.0135007213647</v>
      </c>
      <c r="Z409" s="4">
        <v>6.9</v>
      </c>
      <c r="AA409" s="4">
        <v>8.2000000000000011</v>
      </c>
      <c r="AB409" s="2">
        <v>1.6</v>
      </c>
      <c r="AC409" s="2">
        <v>16.3</v>
      </c>
      <c r="AD409" s="2">
        <v>10.099999999999994</v>
      </c>
      <c r="AE409" s="2">
        <v>0</v>
      </c>
    </row>
    <row r="410" spans="1:31" x14ac:dyDescent="0.25">
      <c r="A410" s="2" t="s">
        <v>485</v>
      </c>
      <c r="B410" s="2">
        <v>2018</v>
      </c>
      <c r="C410" s="2" t="s">
        <v>486</v>
      </c>
      <c r="D410" s="2" t="s">
        <v>330</v>
      </c>
      <c r="E410" s="2">
        <v>5.0880999999999998</v>
      </c>
      <c r="F410" s="2">
        <v>6.9439000000000002</v>
      </c>
      <c r="G410" s="2">
        <v>17.839500000000001</v>
      </c>
      <c r="H410" s="2">
        <v>1.1009</v>
      </c>
      <c r="I410" s="2">
        <v>1.0867</v>
      </c>
      <c r="J410">
        <f>0.194080040247608*(100)</f>
        <v>19.4080040247608</v>
      </c>
      <c r="K410">
        <f>0.0855309027523923*(100)</f>
        <v>8.5530902752392297</v>
      </c>
      <c r="L410" s="2">
        <v>23.5199</v>
      </c>
      <c r="M410" s="2">
        <v>0.67320000000000002</v>
      </c>
      <c r="N410" s="2">
        <v>0.23419999999999999</v>
      </c>
      <c r="O410" s="2">
        <v>0.1532</v>
      </c>
      <c r="P410" s="2">
        <v>0.95630000000000004</v>
      </c>
      <c r="Q410" s="2">
        <v>-3.3816000000000002</v>
      </c>
      <c r="R410" s="2">
        <v>5.52161069952846</v>
      </c>
      <c r="S410" s="2">
        <v>8.46674915432442</v>
      </c>
      <c r="T410" s="2">
        <v>5.2337344315748799</v>
      </c>
      <c r="U410" s="2">
        <v>62.377200000000002</v>
      </c>
      <c r="V410" s="2">
        <v>40.660441279833002</v>
      </c>
      <c r="W410" s="2">
        <v>0.56019129030996595</v>
      </c>
      <c r="X410" s="2">
        <v>60.560024499275301</v>
      </c>
      <c r="Y410" s="2">
        <v>36.2452744857911</v>
      </c>
      <c r="Z410" s="4">
        <v>6.6000000000000005</v>
      </c>
      <c r="AA410" s="4">
        <v>8.1</v>
      </c>
      <c r="AB410" s="2">
        <v>2.1</v>
      </c>
      <c r="AC410" s="2">
        <v>12.5</v>
      </c>
      <c r="AD410" s="2">
        <v>6.0999999999999943</v>
      </c>
      <c r="AE410" s="2">
        <v>0</v>
      </c>
    </row>
    <row r="411" spans="1:31" x14ac:dyDescent="0.25">
      <c r="A411" s="2" t="s">
        <v>485</v>
      </c>
      <c r="B411" s="2">
        <v>2019</v>
      </c>
      <c r="C411" s="2" t="s">
        <v>486</v>
      </c>
      <c r="D411" s="2" t="s">
        <v>330</v>
      </c>
      <c r="E411" s="2">
        <v>5.3315999999999999</v>
      </c>
      <c r="F411" s="2">
        <v>6.9897</v>
      </c>
      <c r="G411" s="2">
        <v>20.936699999999998</v>
      </c>
      <c r="H411" s="2">
        <v>1.2422</v>
      </c>
      <c r="I411" s="2">
        <v>1.2237</v>
      </c>
      <c r="J411">
        <f>0.154514781913941*(100)</f>
        <v>15.4514781913941</v>
      </c>
      <c r="K411">
        <f>0.0760335455727063*(100)</f>
        <v>7.6033545572706291</v>
      </c>
      <c r="L411" s="2">
        <v>22.013200000000001</v>
      </c>
      <c r="M411" s="2">
        <v>0.59140000000000004</v>
      </c>
      <c r="N411" s="2">
        <v>0.2064</v>
      </c>
      <c r="O411" s="2">
        <v>0.13980000000000001</v>
      </c>
      <c r="P411" s="2">
        <v>0.7651</v>
      </c>
      <c r="Q411" s="2">
        <v>-0.48980000000000001</v>
      </c>
      <c r="R411" s="2">
        <v>5.83602017830931</v>
      </c>
      <c r="S411" s="2">
        <v>9.4404627444078208</v>
      </c>
      <c r="T411" s="2">
        <v>4.6962931568947797</v>
      </c>
      <c r="U411" s="2">
        <v>64.040800000000004</v>
      </c>
      <c r="V411" s="2">
        <v>45.201543943083202</v>
      </c>
      <c r="W411" s="2">
        <v>0.52663910494886701</v>
      </c>
      <c r="X411" s="2">
        <v>71.811146605937509</v>
      </c>
      <c r="Y411" s="2">
        <v>36.3898425341227</v>
      </c>
      <c r="Z411" s="4">
        <v>6</v>
      </c>
      <c r="AA411" s="4">
        <v>8.6999999999999993</v>
      </c>
      <c r="AB411" s="2">
        <v>2.9</v>
      </c>
      <c r="AC411" s="2">
        <v>15.6</v>
      </c>
      <c r="AD411" s="2">
        <v>4.7999999999999972</v>
      </c>
      <c r="AE411" s="2">
        <v>0</v>
      </c>
    </row>
    <row r="412" spans="1:31" x14ac:dyDescent="0.25">
      <c r="A412" s="2" t="s">
        <v>485</v>
      </c>
      <c r="B412" s="2">
        <v>2020</v>
      </c>
      <c r="C412" s="2" t="s">
        <v>486</v>
      </c>
      <c r="D412" s="2" t="s">
        <v>330</v>
      </c>
      <c r="E412" s="2">
        <v>5.6341999999999999</v>
      </c>
      <c r="F412" s="2">
        <v>7.5128000000000004</v>
      </c>
      <c r="G412" s="2">
        <v>21.663399999999999</v>
      </c>
      <c r="H412" s="2">
        <v>1.9490000000000001</v>
      </c>
      <c r="I412" s="2">
        <v>1.9209000000000001</v>
      </c>
      <c r="J412">
        <f>0.280962700717215*(100)</f>
        <v>28.096270071721502</v>
      </c>
      <c r="K412">
        <f>0.084830115195996*(100)</f>
        <v>8.4830115195996001</v>
      </c>
      <c r="L412" s="2">
        <v>19.322900000000001</v>
      </c>
      <c r="M412" s="2">
        <v>0.54900000000000004</v>
      </c>
      <c r="N412" s="2">
        <v>0.20419999999999999</v>
      </c>
      <c r="O412" s="2">
        <v>0.13850000000000001</v>
      </c>
      <c r="P412" s="2">
        <v>0.68300000000000005</v>
      </c>
      <c r="Q412" s="2">
        <v>5.8964999999999996</v>
      </c>
      <c r="R412" s="2">
        <v>12.5998357045688</v>
      </c>
      <c r="S412" s="2">
        <v>4.5515719507386896</v>
      </c>
      <c r="T412" s="2">
        <v>5.2942373986648201</v>
      </c>
      <c r="U412" s="2">
        <v>63.822699999999998</v>
      </c>
      <c r="V412" s="2">
        <v>49.982603895959997</v>
      </c>
      <c r="W412" s="2">
        <v>0.53692739240530596</v>
      </c>
      <c r="X412" s="2">
        <v>72.841747526171304</v>
      </c>
      <c r="Y412" s="2">
        <v>39.959521937224501</v>
      </c>
      <c r="Z412" s="4">
        <v>2.2999999999999998</v>
      </c>
      <c r="AA412" s="4">
        <v>10.100000000000001</v>
      </c>
      <c r="AB412" s="2">
        <v>2.5</v>
      </c>
      <c r="AC412" s="2">
        <v>16.100000000000001</v>
      </c>
      <c r="AD412" s="2">
        <v>2.4000000000000057</v>
      </c>
      <c r="AE412" s="2">
        <v>0</v>
      </c>
    </row>
    <row r="413" spans="1:31" x14ac:dyDescent="0.25">
      <c r="A413" s="2" t="s">
        <v>487</v>
      </c>
      <c r="B413" s="2">
        <v>2021</v>
      </c>
      <c r="C413" s="2" t="s">
        <v>488</v>
      </c>
      <c r="D413" s="2" t="s">
        <v>341</v>
      </c>
      <c r="E413" s="2">
        <v>9.1331000000000007</v>
      </c>
      <c r="F413" s="2">
        <v>15.235099999999999</v>
      </c>
      <c r="G413" s="2">
        <v>6.2506000000000004</v>
      </c>
      <c r="H413" s="2">
        <v>1.0894999999999999</v>
      </c>
      <c r="I413" s="2">
        <v>1.0078</v>
      </c>
      <c r="J413">
        <f>0.486859599972706*(100)</f>
        <v>48.685959997270601</v>
      </c>
      <c r="K413">
        <f>0.0467944013119371*(100)</f>
        <v>4.6794401311937097</v>
      </c>
      <c r="L413" s="2">
        <v>60.0762</v>
      </c>
      <c r="M413" s="2">
        <v>4.1837999999999997</v>
      </c>
      <c r="N413" s="2">
        <v>2.8885000000000001</v>
      </c>
      <c r="O413" s="2">
        <v>1.1981999999999999</v>
      </c>
      <c r="P413" s="2">
        <v>20.375800000000002</v>
      </c>
      <c r="Q413" s="2">
        <v>78.972800000000007</v>
      </c>
      <c r="R413" s="2">
        <v>12.5154505792827</v>
      </c>
      <c r="S413" s="2">
        <v>58.387607768715199</v>
      </c>
      <c r="T413" s="2">
        <v>32.562506974819399</v>
      </c>
      <c r="U413" s="2">
        <v>59.854900000000001</v>
      </c>
      <c r="V413" s="2">
        <v>34.921934307325401</v>
      </c>
      <c r="W413" s="2">
        <v>0.98906780830089902</v>
      </c>
      <c r="X413" s="2">
        <v>117.43876213039199</v>
      </c>
      <c r="Y413" s="2">
        <v>2.8848773311742604</v>
      </c>
      <c r="Z413" s="4">
        <v>8.4</v>
      </c>
      <c r="AA413" s="4">
        <v>9</v>
      </c>
      <c r="AB413" s="2">
        <v>0.9</v>
      </c>
      <c r="AC413" s="2">
        <v>20.9</v>
      </c>
      <c r="AD413" s="2">
        <v>10.400000000000006</v>
      </c>
      <c r="AE413" s="2">
        <v>0</v>
      </c>
    </row>
    <row r="414" spans="1:31" x14ac:dyDescent="0.25">
      <c r="A414" s="2" t="s">
        <v>489</v>
      </c>
      <c r="B414" s="2">
        <v>2014</v>
      </c>
      <c r="C414" s="2" t="s">
        <v>490</v>
      </c>
      <c r="D414" s="2" t="s">
        <v>341</v>
      </c>
      <c r="E414" s="2">
        <v>7.8497000000000003</v>
      </c>
      <c r="F414" s="2">
        <v>13.8552</v>
      </c>
      <c r="G414" s="2">
        <v>9.5678999999999998</v>
      </c>
      <c r="H414" s="2">
        <v>0.67030000000000001</v>
      </c>
      <c r="I414" s="2">
        <v>0.5917</v>
      </c>
      <c r="J414">
        <f>0.392256480598818*(100)</f>
        <v>39.225648059881799</v>
      </c>
      <c r="K414">
        <f>0.149791117345301*(100)</f>
        <v>14.9791117345301</v>
      </c>
      <c r="L414" s="2">
        <v>20.824100000000001</v>
      </c>
      <c r="M414" s="2">
        <v>2.5280999999999998</v>
      </c>
      <c r="N414" s="2">
        <v>1.8298000000000001</v>
      </c>
      <c r="O414" s="2">
        <v>0.75219999999999998</v>
      </c>
      <c r="P414" s="2">
        <v>32.160499999999999</v>
      </c>
      <c r="Q414" s="2">
        <v>11.210900000000001</v>
      </c>
      <c r="R414" s="2">
        <v>0.76881353370988004</v>
      </c>
      <c r="S414" s="2">
        <v>9.7764378029950194</v>
      </c>
      <c r="T414" s="2">
        <v>9.0138107711107907</v>
      </c>
      <c r="U414" s="2">
        <v>56.5169</v>
      </c>
      <c r="V414" s="2">
        <v>15.126094479331002</v>
      </c>
      <c r="W414" s="2">
        <v>1.03269848332291</v>
      </c>
      <c r="X414" s="2">
        <v>112.624506497076</v>
      </c>
      <c r="Y414" s="2">
        <v>11.7795905789509</v>
      </c>
      <c r="Z414" s="4">
        <v>7.3</v>
      </c>
      <c r="AA414" s="4">
        <v>12.2</v>
      </c>
      <c r="AB414" s="2">
        <v>2</v>
      </c>
      <c r="AC414" s="2">
        <v>16.899999999999999</v>
      </c>
      <c r="AD414" s="5">
        <v>10.299999999999997</v>
      </c>
      <c r="AE414" s="2">
        <v>0</v>
      </c>
    </row>
    <row r="415" spans="1:31" x14ac:dyDescent="0.25">
      <c r="A415" s="2" t="s">
        <v>489</v>
      </c>
      <c r="B415" s="2">
        <v>2015</v>
      </c>
      <c r="C415" s="2" t="s">
        <v>490</v>
      </c>
      <c r="D415" s="2" t="s">
        <v>341</v>
      </c>
      <c r="E415" s="2">
        <v>6.5957999999999997</v>
      </c>
      <c r="F415" s="2">
        <v>10.5062</v>
      </c>
      <c r="G415" s="2">
        <v>10.4079</v>
      </c>
      <c r="H415" s="2">
        <v>0.58779999999999999</v>
      </c>
      <c r="I415" s="2">
        <v>0.55469999999999997</v>
      </c>
      <c r="J415">
        <f>0.429680660532179*(100)</f>
        <v>42.968066053217903</v>
      </c>
      <c r="K415">
        <f>0.199954184692462*(100)</f>
        <v>19.9954184692462</v>
      </c>
      <c r="L415" s="2">
        <v>18.2866</v>
      </c>
      <c r="M415" s="2">
        <v>2.0266999999999999</v>
      </c>
      <c r="N415" s="2">
        <v>1.3631</v>
      </c>
      <c r="O415" s="2">
        <v>0.5585</v>
      </c>
      <c r="P415" s="2">
        <v>26.214099999999998</v>
      </c>
      <c r="Q415" s="2">
        <v>-16.551400000000001</v>
      </c>
      <c r="R415" s="2">
        <v>-13.479420707510499</v>
      </c>
      <c r="S415" s="2">
        <v>15.1295473200269</v>
      </c>
      <c r="T415" s="2">
        <v>31.2964986555147</v>
      </c>
      <c r="U415" s="2">
        <v>51.201700000000002</v>
      </c>
      <c r="V415" s="2">
        <v>4.5862003345228404</v>
      </c>
      <c r="W415" s="2">
        <v>1.2201129000706501</v>
      </c>
      <c r="X415" s="2">
        <v>114.494917552321</v>
      </c>
      <c r="Y415" s="2">
        <v>19.619130561884198</v>
      </c>
      <c r="Z415" s="4">
        <v>6.9099999999999993</v>
      </c>
      <c r="AA415" s="4">
        <v>13.3</v>
      </c>
      <c r="AB415" s="2">
        <v>1.4</v>
      </c>
      <c r="AC415" s="2">
        <v>17.600000000000001</v>
      </c>
      <c r="AD415" s="2">
        <v>9.7000000000000028</v>
      </c>
      <c r="AE415" s="2">
        <v>0</v>
      </c>
    </row>
    <row r="416" spans="1:31" x14ac:dyDescent="0.25">
      <c r="A416" s="2" t="s">
        <v>489</v>
      </c>
      <c r="B416" s="2">
        <v>2016</v>
      </c>
      <c r="C416" s="2" t="s">
        <v>490</v>
      </c>
      <c r="D416" s="2" t="s">
        <v>341</v>
      </c>
      <c r="E416" s="2">
        <v>6.8925999999999998</v>
      </c>
      <c r="F416" s="2">
        <v>10.4031</v>
      </c>
      <c r="G416" s="2">
        <v>11.7279</v>
      </c>
      <c r="H416" s="2">
        <v>0.5877</v>
      </c>
      <c r="I416" s="2">
        <v>0.53779999999999994</v>
      </c>
      <c r="J416">
        <f>0.429303029399213*(100)</f>
        <v>42.930302939921297</v>
      </c>
      <c r="K416">
        <f>0.167800423821331*(100)</f>
        <v>16.7800423821331</v>
      </c>
      <c r="L416" s="2">
        <v>21.0062</v>
      </c>
      <c r="M416" s="2">
        <v>1.9951000000000001</v>
      </c>
      <c r="N416" s="2">
        <v>1.2444</v>
      </c>
      <c r="O416" s="2">
        <v>0.52339999999999998</v>
      </c>
      <c r="P416" s="2">
        <v>23.874099999999999</v>
      </c>
      <c r="Q416" s="2">
        <v>6.9120999999999997</v>
      </c>
      <c r="R416" s="2">
        <v>24.487619923449699</v>
      </c>
      <c r="S416" s="2">
        <v>12.938003903352501</v>
      </c>
      <c r="T416" s="2">
        <v>8.2082386708792292</v>
      </c>
      <c r="U416" s="2">
        <v>53.256999999999998</v>
      </c>
      <c r="V416" s="2">
        <v>10.364832939173201</v>
      </c>
      <c r="W416" s="2">
        <v>1.0649059621278401</v>
      </c>
      <c r="X416" s="2">
        <v>113.59475040941899</v>
      </c>
      <c r="Y416" s="2">
        <v>18.110036235683399</v>
      </c>
      <c r="Z416" s="4">
        <v>6.7</v>
      </c>
      <c r="AA416" s="4">
        <v>11.3</v>
      </c>
      <c r="AB416" s="2">
        <v>2</v>
      </c>
      <c r="AC416" s="2">
        <v>15.9</v>
      </c>
      <c r="AD416" s="2">
        <v>9.7999999999999972</v>
      </c>
      <c r="AE416" s="2">
        <v>0</v>
      </c>
    </row>
    <row r="417" spans="1:31" x14ac:dyDescent="0.25">
      <c r="A417" s="2" t="s">
        <v>491</v>
      </c>
      <c r="B417" s="2">
        <v>2018</v>
      </c>
      <c r="C417" s="2" t="s">
        <v>492</v>
      </c>
      <c r="D417" s="2" t="s">
        <v>305</v>
      </c>
      <c r="E417" s="2">
        <v>6.4783999999999997</v>
      </c>
      <c r="F417" s="2">
        <v>9.8172999999999995</v>
      </c>
      <c r="G417" s="2">
        <v>28.644200000000001</v>
      </c>
      <c r="H417" s="2">
        <v>0.66459999999999997</v>
      </c>
      <c r="I417" s="2">
        <v>0.57769999999999999</v>
      </c>
      <c r="J417">
        <f>0.391861002551925*(100)</f>
        <v>39.1861002551925</v>
      </c>
      <c r="K417">
        <f>0.19561376058601*(100)</f>
        <v>19.561376058600999</v>
      </c>
      <c r="L417" s="2">
        <v>5.6670999999999996</v>
      </c>
      <c r="M417" s="2">
        <v>1.087</v>
      </c>
      <c r="N417" s="2">
        <v>0.54179999999999995</v>
      </c>
      <c r="O417" s="2">
        <v>0.2097</v>
      </c>
      <c r="P417" s="2">
        <v>5.3598999999999997</v>
      </c>
      <c r="Q417" s="2">
        <v>11.347099999999999</v>
      </c>
      <c r="R417" s="2">
        <v>10.105038922893399</v>
      </c>
      <c r="S417" s="2">
        <v>11.554910948778501</v>
      </c>
      <c r="T417" s="2">
        <v>7.8522504290754496</v>
      </c>
      <c r="U417" s="2">
        <v>46.692300000000003</v>
      </c>
      <c r="V417" s="2">
        <v>18.733141957843799</v>
      </c>
      <c r="W417" s="2">
        <v>1.39131824739815</v>
      </c>
      <c r="X417" s="2">
        <v>109.63613430206401</v>
      </c>
      <c r="Y417" s="2">
        <v>45.939446080216399</v>
      </c>
      <c r="Z417" s="4">
        <v>6.6000000000000005</v>
      </c>
      <c r="AA417" s="4">
        <v>8.1</v>
      </c>
      <c r="AB417" s="2">
        <v>2.1</v>
      </c>
      <c r="AC417" s="2">
        <v>12.5</v>
      </c>
      <c r="AD417" s="2">
        <v>6.0999999999999943</v>
      </c>
      <c r="AE417" s="2">
        <v>0</v>
      </c>
    </row>
    <row r="418" spans="1:31" x14ac:dyDescent="0.25">
      <c r="A418" s="2" t="s">
        <v>491</v>
      </c>
      <c r="B418" s="2">
        <v>2019</v>
      </c>
      <c r="C418" s="2" t="s">
        <v>492</v>
      </c>
      <c r="D418" s="2" t="s">
        <v>305</v>
      </c>
      <c r="E418" s="2">
        <v>6.0972</v>
      </c>
      <c r="F418" s="2">
        <v>9.9700000000000006</v>
      </c>
      <c r="G418" s="2">
        <v>26.937200000000001</v>
      </c>
      <c r="H418" s="2">
        <v>0.84709999999999996</v>
      </c>
      <c r="I418" s="2">
        <v>0.71599999999999997</v>
      </c>
      <c r="J418">
        <f>0.477964887632643*(100)</f>
        <v>47.7964887632643</v>
      </c>
      <c r="K418">
        <f>0.141010168046417*(100)</f>
        <v>14.1010168046417</v>
      </c>
      <c r="L418" s="2">
        <v>4.4865000000000004</v>
      </c>
      <c r="M418" s="2">
        <v>1.0616000000000001</v>
      </c>
      <c r="N418" s="2">
        <v>0.57669999999999999</v>
      </c>
      <c r="O418" s="2">
        <v>0.2092</v>
      </c>
      <c r="P418" s="2">
        <v>5.0688000000000004</v>
      </c>
      <c r="Q418" s="2">
        <v>16.7057</v>
      </c>
      <c r="R418" s="2">
        <v>9.10238839982852</v>
      </c>
      <c r="S418" s="2">
        <v>21.106080543975899</v>
      </c>
      <c r="T418" s="2">
        <v>7.6800610144517298</v>
      </c>
      <c r="U418" s="2">
        <v>52.659500000000001</v>
      </c>
      <c r="V418" s="2">
        <v>28.307652690465503</v>
      </c>
      <c r="W418" s="2">
        <v>1.36890981666616</v>
      </c>
      <c r="X418" s="2">
        <v>96.391617892938598</v>
      </c>
      <c r="Y418" s="2">
        <v>38.888675112661801</v>
      </c>
      <c r="Z418" s="4">
        <v>6</v>
      </c>
      <c r="AA418" s="4">
        <v>8.6999999999999993</v>
      </c>
      <c r="AB418" s="2">
        <v>2.9</v>
      </c>
      <c r="AC418" s="2">
        <v>15.6</v>
      </c>
      <c r="AD418" s="2">
        <v>4.7999999999999972</v>
      </c>
      <c r="AE418" s="2">
        <v>0</v>
      </c>
    </row>
    <row r="419" spans="1:31" x14ac:dyDescent="0.25">
      <c r="A419" s="2" t="s">
        <v>495</v>
      </c>
      <c r="B419" s="2">
        <v>2020</v>
      </c>
      <c r="C419" s="2" t="s">
        <v>496</v>
      </c>
      <c r="D419" s="2" t="s">
        <v>305</v>
      </c>
      <c r="E419" s="2">
        <v>7.8503999999999996</v>
      </c>
      <c r="F419" s="2">
        <v>10.1058</v>
      </c>
      <c r="G419" s="2">
        <v>64.968299999999999</v>
      </c>
      <c r="H419" s="2">
        <v>0.70660000000000001</v>
      </c>
      <c r="I419" s="2">
        <v>0.67120000000000002</v>
      </c>
      <c r="J419">
        <f>0.432820779057556*(100)</f>
        <v>43.2820779057556</v>
      </c>
      <c r="K419">
        <f>0.0902422218076282*(100)</f>
        <v>9.0242221807628198</v>
      </c>
      <c r="L419" s="2">
        <v>4.8463000000000003</v>
      </c>
      <c r="M419" s="2">
        <v>0.87029999999999996</v>
      </c>
      <c r="N419" s="2">
        <v>1.1632</v>
      </c>
      <c r="O419" s="2">
        <v>0.1091</v>
      </c>
      <c r="P419" s="2">
        <v>4.6761999999999997</v>
      </c>
      <c r="Q419" s="2">
        <v>-1.5689</v>
      </c>
      <c r="R419" s="2">
        <v>25.9864358272721</v>
      </c>
      <c r="S419" s="2">
        <v>9.1750925093123392</v>
      </c>
      <c r="T419" s="2">
        <v>7.1814957163800299</v>
      </c>
      <c r="U419" s="2">
        <v>31.110700000000001</v>
      </c>
      <c r="V419" s="2">
        <v>12.606469130878201</v>
      </c>
      <c r="W419" s="2">
        <v>7.6051731982034401</v>
      </c>
      <c r="X419" s="2">
        <v>103.301391180051</v>
      </c>
      <c r="Y419" s="2">
        <v>26.8603145545719</v>
      </c>
      <c r="Z419" s="4">
        <v>2.2999999999999998</v>
      </c>
      <c r="AA419" s="4">
        <v>10.100000000000001</v>
      </c>
      <c r="AB419" s="2">
        <v>2.5</v>
      </c>
      <c r="AC419" s="2">
        <v>16.100000000000001</v>
      </c>
      <c r="AD419" s="2">
        <v>2.4000000000000057</v>
      </c>
      <c r="AE419" s="2">
        <v>0</v>
      </c>
    </row>
    <row r="420" spans="1:31" x14ac:dyDescent="0.25">
      <c r="A420" s="2" t="s">
        <v>495</v>
      </c>
      <c r="B420" s="2">
        <v>2021</v>
      </c>
      <c r="C420" s="2" t="s">
        <v>496</v>
      </c>
      <c r="D420" s="2" t="s">
        <v>305</v>
      </c>
      <c r="E420" s="2">
        <v>7.6759000000000004</v>
      </c>
      <c r="F420" s="2">
        <v>10.0327</v>
      </c>
      <c r="G420" s="2">
        <v>65.244399999999999</v>
      </c>
      <c r="H420" s="2">
        <v>0.83809999999999996</v>
      </c>
      <c r="I420" s="2">
        <v>0.81669999999999998</v>
      </c>
      <c r="J420">
        <f>0.5909506553929*(100)</f>
        <v>59.095065539290005</v>
      </c>
      <c r="K420">
        <f>0.0736573136278237*(100)</f>
        <v>7.3657313627823697</v>
      </c>
      <c r="L420" s="2">
        <v>4.5021000000000004</v>
      </c>
      <c r="M420" s="2">
        <v>0.75549999999999995</v>
      </c>
      <c r="N420" s="2">
        <v>1.2582</v>
      </c>
      <c r="O420" s="2">
        <v>0.10929999999999999</v>
      </c>
      <c r="P420" s="2">
        <v>4.5872000000000002</v>
      </c>
      <c r="Q420" s="2">
        <v>8.4795999999999996</v>
      </c>
      <c r="R420" s="2">
        <v>7.8878917261706496</v>
      </c>
      <c r="S420" s="2">
        <v>7.6699588432674304</v>
      </c>
      <c r="T420" s="2">
        <v>7.5772790316464897</v>
      </c>
      <c r="U420" s="2">
        <v>31.3185</v>
      </c>
      <c r="V420" s="2">
        <v>12.513039859950601</v>
      </c>
      <c r="W420" s="2">
        <v>8.2309103537515398</v>
      </c>
      <c r="X420" s="2">
        <v>103.308192922026</v>
      </c>
      <c r="Y420" s="2">
        <v>21.8849019127174</v>
      </c>
      <c r="Z420" s="4">
        <v>8.4</v>
      </c>
      <c r="AA420" s="4">
        <v>9</v>
      </c>
      <c r="AB420" s="2">
        <v>0.9</v>
      </c>
      <c r="AC420" s="2">
        <v>20.9</v>
      </c>
      <c r="AD420" s="2">
        <v>10.400000000000006</v>
      </c>
      <c r="AE420" s="2">
        <v>0</v>
      </c>
    </row>
    <row r="421" spans="1:31" x14ac:dyDescent="0.25">
      <c r="A421" s="2" t="s">
        <v>497</v>
      </c>
      <c r="B421" s="2">
        <v>2014</v>
      </c>
      <c r="C421" s="2" t="s">
        <v>498</v>
      </c>
      <c r="D421" s="2" t="s">
        <v>334</v>
      </c>
      <c r="E421" s="2">
        <v>6.5556000000000001</v>
      </c>
      <c r="F421" s="2">
        <v>20.450500000000002</v>
      </c>
      <c r="G421" s="2">
        <v>5.2788000000000004</v>
      </c>
      <c r="H421" s="2">
        <v>0.37480000000000002</v>
      </c>
      <c r="I421" s="2">
        <v>0.29830000000000001</v>
      </c>
      <c r="J421">
        <f>0.193445996355787*(100)</f>
        <v>19.3445996355787</v>
      </c>
      <c r="K421">
        <f>0.0870886533459694*(100)</f>
        <v>8.7088653345969398</v>
      </c>
      <c r="L421" s="2">
        <v>14.4709</v>
      </c>
      <c r="M421" s="2">
        <v>3.6328999999999998</v>
      </c>
      <c r="N421" s="2">
        <v>2.8551000000000002</v>
      </c>
      <c r="O421" s="2">
        <v>1.2134</v>
      </c>
      <c r="P421" s="2">
        <v>1738.5559000000001</v>
      </c>
      <c r="Q421" s="2">
        <v>1.8974</v>
      </c>
      <c r="R421" s="2">
        <v>5.78099371758403</v>
      </c>
      <c r="S421" s="2">
        <v>23.875037766829301</v>
      </c>
      <c r="T421" s="2">
        <v>22.800155872129999</v>
      </c>
      <c r="U421" s="2">
        <v>75.946700000000007</v>
      </c>
      <c r="V421" s="2">
        <v>0.40513038736533996</v>
      </c>
      <c r="W421" s="2">
        <v>0.51669811718560099</v>
      </c>
      <c r="X421" s="2">
        <v>115.189713287727</v>
      </c>
      <c r="Y421" s="2">
        <v>6.0321165145946205</v>
      </c>
      <c r="Z421" s="4">
        <v>7.3</v>
      </c>
      <c r="AA421" s="4">
        <v>12.2</v>
      </c>
      <c r="AB421" s="2">
        <v>2</v>
      </c>
      <c r="AC421" s="2">
        <v>16.899999999999999</v>
      </c>
      <c r="AD421" s="2">
        <v>10.299999999999997</v>
      </c>
      <c r="AE421" s="2">
        <v>0</v>
      </c>
    </row>
    <row r="422" spans="1:31" x14ac:dyDescent="0.25">
      <c r="A422" s="2" t="s">
        <v>497</v>
      </c>
      <c r="B422" s="2">
        <v>2015</v>
      </c>
      <c r="C422" s="2" t="s">
        <v>498</v>
      </c>
      <c r="D422" s="2" t="s">
        <v>334</v>
      </c>
      <c r="E422" s="2">
        <v>6.9199000000000002</v>
      </c>
      <c r="F422" s="2">
        <v>20.800599999999999</v>
      </c>
      <c r="G422" s="2">
        <v>6.0987</v>
      </c>
      <c r="H422" s="2">
        <v>0.32869999999999999</v>
      </c>
      <c r="I422" s="2">
        <v>0.25280000000000002</v>
      </c>
      <c r="J422">
        <f>0.176371542035469*(100)</f>
        <v>17.637154203546899</v>
      </c>
      <c r="K422">
        <f>0.0626363633893162*(100)</f>
        <v>6.2636363389316205</v>
      </c>
      <c r="L422" s="2">
        <v>15.3002</v>
      </c>
      <c r="M422" s="2">
        <v>4.2342000000000004</v>
      </c>
      <c r="N422" s="2">
        <v>2.3935</v>
      </c>
      <c r="O422" s="2">
        <v>1.0491999999999999</v>
      </c>
      <c r="P422" s="2">
        <v>1749.8387</v>
      </c>
      <c r="Q422" s="2">
        <v>2.0958000000000001</v>
      </c>
      <c r="R422" s="2">
        <v>24.877033589653401</v>
      </c>
      <c r="S422" s="2">
        <v>13.433531640850299</v>
      </c>
      <c r="T422" s="2">
        <v>16.129843319980498</v>
      </c>
      <c r="U422" s="2">
        <v>76.747600000000006</v>
      </c>
      <c r="V422" s="2">
        <v>10.833818510621599</v>
      </c>
      <c r="W422" s="2">
        <v>0.56111936816374297</v>
      </c>
      <c r="X422" s="2">
        <v>113.448344965007</v>
      </c>
      <c r="Y422" s="2">
        <v>4.8701866374170901</v>
      </c>
      <c r="Z422" s="4">
        <v>6.9099999999999993</v>
      </c>
      <c r="AA422" s="4">
        <v>13.3</v>
      </c>
      <c r="AB422" s="2">
        <v>1.4</v>
      </c>
      <c r="AC422" s="2">
        <v>17.600000000000001</v>
      </c>
      <c r="AD422" s="2">
        <v>6.7000000000000028</v>
      </c>
      <c r="AE422" s="2">
        <v>0</v>
      </c>
    </row>
    <row r="423" spans="1:31" x14ac:dyDescent="0.25">
      <c r="A423" s="2" t="s">
        <v>497</v>
      </c>
      <c r="B423" s="2">
        <v>2016</v>
      </c>
      <c r="C423" s="2" t="s">
        <v>498</v>
      </c>
      <c r="D423" s="2" t="s">
        <v>334</v>
      </c>
      <c r="E423" s="2">
        <v>7.6816000000000004</v>
      </c>
      <c r="F423" s="2">
        <v>19.4758</v>
      </c>
      <c r="G423" s="2">
        <v>7.3483000000000001</v>
      </c>
      <c r="H423" s="2">
        <v>0.41539999999999999</v>
      </c>
      <c r="I423" s="2">
        <v>0.32329999999999998</v>
      </c>
      <c r="J423">
        <f>0.227669852791524*(100)</f>
        <v>22.766985279152401</v>
      </c>
      <c r="K423">
        <f>0.12669505370104*(100)</f>
        <v>12.669505370104</v>
      </c>
      <c r="L423" s="2">
        <v>15.3598</v>
      </c>
      <c r="M423" s="2">
        <v>4.4642999999999997</v>
      </c>
      <c r="N423" s="2">
        <v>2.4426000000000001</v>
      </c>
      <c r="O423" s="2">
        <v>0.99539999999999995</v>
      </c>
      <c r="P423" s="2">
        <v>2054.1594</v>
      </c>
      <c r="Q423" s="2">
        <v>0.879</v>
      </c>
      <c r="R423" s="2">
        <v>24.0125623583194</v>
      </c>
      <c r="S423" s="2">
        <v>0.20988486804117801</v>
      </c>
      <c r="T423" s="2">
        <v>46.597270941134703</v>
      </c>
      <c r="U423" s="2">
        <v>65.972200000000001</v>
      </c>
      <c r="V423" s="2">
        <v>10.774163643825501</v>
      </c>
      <c r="W423" s="2">
        <v>0.84933384380976795</v>
      </c>
      <c r="X423" s="2">
        <v>112.75614090658199</v>
      </c>
      <c r="Y423" s="2">
        <v>8.4060443568098098</v>
      </c>
      <c r="Z423" s="4">
        <v>6.7</v>
      </c>
      <c r="AA423" s="4">
        <v>11.3</v>
      </c>
      <c r="AB423" s="2">
        <v>2</v>
      </c>
      <c r="AC423" s="2">
        <v>15.9</v>
      </c>
      <c r="AD423" s="2">
        <v>7.7000000000000028</v>
      </c>
      <c r="AE423" s="2">
        <v>0</v>
      </c>
    </row>
    <row r="424" spans="1:31" x14ac:dyDescent="0.25">
      <c r="A424" s="2" t="s">
        <v>497</v>
      </c>
      <c r="B424" s="2">
        <v>2017</v>
      </c>
      <c r="C424" s="2" t="s">
        <v>498</v>
      </c>
      <c r="D424" s="2" t="s">
        <v>334</v>
      </c>
      <c r="E424" s="2">
        <v>9.2078000000000007</v>
      </c>
      <c r="F424" s="2">
        <v>18.763300000000001</v>
      </c>
      <c r="G424" s="2">
        <v>9.0159000000000002</v>
      </c>
      <c r="H424" s="2">
        <v>0.53639999999999999</v>
      </c>
      <c r="I424" s="2">
        <v>0.29149999999999998</v>
      </c>
      <c r="J424">
        <f>0.218402635332265*(100)</f>
        <v>21.840263533226501</v>
      </c>
      <c r="K424">
        <f>0.0238422442551598*(100)</f>
        <v>2.3842244255159804</v>
      </c>
      <c r="L424" s="2">
        <v>8.8634000000000004</v>
      </c>
      <c r="M424" s="2">
        <v>4.0175999999999998</v>
      </c>
      <c r="N424" s="2">
        <v>2.6032999999999999</v>
      </c>
      <c r="O424" s="2">
        <v>1.0121</v>
      </c>
      <c r="P424" s="2">
        <v>2091.6653999999999</v>
      </c>
      <c r="Q424" s="2">
        <v>2.3267000000000002</v>
      </c>
      <c r="R424" s="2">
        <v>25.0021033325507</v>
      </c>
      <c r="S424" s="2">
        <v>1.2892161840238401</v>
      </c>
      <c r="T424" s="2">
        <v>18.569016293994999</v>
      </c>
      <c r="U424" s="2">
        <v>60.167099999999998</v>
      </c>
      <c r="V424" s="2">
        <v>9.0347024403065799</v>
      </c>
      <c r="W424" s="2">
        <v>1.0563390620827799</v>
      </c>
      <c r="X424" s="2">
        <v>112.384719996546</v>
      </c>
      <c r="Y424" s="2">
        <v>1.4264321441851999</v>
      </c>
      <c r="Z424" s="4">
        <v>6.9</v>
      </c>
      <c r="AA424" s="4">
        <v>8.2000000000000011</v>
      </c>
      <c r="AB424" s="2">
        <v>1.6</v>
      </c>
      <c r="AC424" s="2">
        <v>16.3</v>
      </c>
      <c r="AD424" s="2">
        <v>7.7999999999999972</v>
      </c>
      <c r="AE424" s="2">
        <v>0</v>
      </c>
    </row>
    <row r="425" spans="1:31" x14ac:dyDescent="0.25">
      <c r="A425" s="2" t="s">
        <v>499</v>
      </c>
      <c r="B425" s="2">
        <v>2014</v>
      </c>
      <c r="C425" s="2" t="s">
        <v>500</v>
      </c>
      <c r="D425" s="2" t="s">
        <v>334</v>
      </c>
      <c r="E425" s="2">
        <v>5.1489000000000003</v>
      </c>
      <c r="F425" s="2">
        <v>7.4242999999999997</v>
      </c>
      <c r="G425" s="2">
        <v>2.7906</v>
      </c>
      <c r="H425" s="2">
        <v>0.9677</v>
      </c>
      <c r="I425" s="2">
        <v>0.90229999999999999</v>
      </c>
      <c r="J425">
        <f>0.766034175715673*(100)</f>
        <v>76.603417571567306</v>
      </c>
      <c r="K425">
        <f>0.0255119350497452*(100)</f>
        <v>2.55119350497452</v>
      </c>
      <c r="L425" s="2">
        <v>41.823799999999999</v>
      </c>
      <c r="M425" s="2">
        <v>4.0483000000000002</v>
      </c>
      <c r="N425" s="2">
        <v>2.9773999999999998</v>
      </c>
      <c r="O425" s="2">
        <v>1.5410999999999999</v>
      </c>
      <c r="P425" s="2">
        <v>216.50290000000001</v>
      </c>
      <c r="Q425" s="2">
        <v>-10.545</v>
      </c>
      <c r="R425" s="2">
        <v>-13.7294758864169</v>
      </c>
      <c r="S425" s="2">
        <v>-4.6015838953692896</v>
      </c>
      <c r="T425" s="2">
        <v>9.45354844884654</v>
      </c>
      <c r="U425" s="2">
        <v>40.267699999999998</v>
      </c>
      <c r="V425" s="2">
        <v>0.20480052253441</v>
      </c>
      <c r="W425" s="2">
        <v>1.2020156177327099</v>
      </c>
      <c r="X425" s="2">
        <v>110.46656459545501</v>
      </c>
      <c r="Y425" s="2">
        <v>0.78315117610503293</v>
      </c>
      <c r="Z425" s="4">
        <v>7.3</v>
      </c>
      <c r="AA425" s="4">
        <v>12.2</v>
      </c>
      <c r="AB425" s="2">
        <v>2</v>
      </c>
      <c r="AC425" s="2">
        <v>16.899999999999999</v>
      </c>
      <c r="AD425" s="2">
        <v>10.299999999999997</v>
      </c>
      <c r="AE425" s="2">
        <v>0</v>
      </c>
    </row>
    <row r="426" spans="1:31" x14ac:dyDescent="0.25">
      <c r="A426" s="2" t="s">
        <v>499</v>
      </c>
      <c r="B426" s="2">
        <v>2015</v>
      </c>
      <c r="C426" s="2" t="s">
        <v>500</v>
      </c>
      <c r="D426" s="2" t="s">
        <v>334</v>
      </c>
      <c r="E426" s="2">
        <v>4.3853999999999997</v>
      </c>
      <c r="F426" s="2">
        <v>5.8620999999999999</v>
      </c>
      <c r="G426" s="2">
        <v>3.7082000000000002</v>
      </c>
      <c r="H426" s="2">
        <v>1.0022</v>
      </c>
      <c r="I426" s="2">
        <v>0.9496</v>
      </c>
      <c r="J426">
        <f>0.811136517274884*(100)</f>
        <v>81.113651727488403</v>
      </c>
      <c r="K426">
        <f>0.119376594715764*(100)</f>
        <v>11.937659471576401</v>
      </c>
      <c r="L426" s="2">
        <v>39.9893</v>
      </c>
      <c r="M426" s="2">
        <v>3.0207999999999999</v>
      </c>
      <c r="N426" s="2">
        <v>2.5726</v>
      </c>
      <c r="O426" s="2">
        <v>1.2024999999999999</v>
      </c>
      <c r="P426" s="2">
        <v>160.55070000000001</v>
      </c>
      <c r="Q426" s="2">
        <v>-6.2347000000000001</v>
      </c>
      <c r="R426" s="2">
        <v>-3.6904497325701099E-2</v>
      </c>
      <c r="S426" s="2">
        <v>4.6566783709503996</v>
      </c>
      <c r="T426" s="2">
        <v>3.5151701047688899</v>
      </c>
      <c r="U426" s="2">
        <v>40.906500000000001</v>
      </c>
      <c r="V426" s="2">
        <v>0.19605294067687101</v>
      </c>
      <c r="W426" s="2">
        <v>1.3454241949108201</v>
      </c>
      <c r="X426" s="2">
        <v>110.57248324801901</v>
      </c>
      <c r="Y426" s="2">
        <v>4.1533711259097199</v>
      </c>
      <c r="Z426" s="4">
        <v>6.9099999999999993</v>
      </c>
      <c r="AA426" s="4">
        <v>13.3</v>
      </c>
      <c r="AB426" s="2">
        <v>1.4</v>
      </c>
      <c r="AC426" s="2">
        <v>17.600000000000001</v>
      </c>
      <c r="AD426" s="2">
        <v>6.7000000000000028</v>
      </c>
      <c r="AE426" s="2">
        <v>0</v>
      </c>
    </row>
    <row r="427" spans="1:31" x14ac:dyDescent="0.25">
      <c r="A427" s="2" t="s">
        <v>501</v>
      </c>
      <c r="B427" s="2">
        <v>2016</v>
      </c>
      <c r="C427" s="2" t="s">
        <v>502</v>
      </c>
      <c r="D427" s="2" t="s">
        <v>503</v>
      </c>
      <c r="E427" s="2">
        <v>5.7173999999999996</v>
      </c>
      <c r="F427" s="2">
        <v>5.2662000000000004</v>
      </c>
      <c r="G427" s="2">
        <v>15.978999999999999</v>
      </c>
      <c r="H427" s="2">
        <v>0.48530000000000001</v>
      </c>
      <c r="I427" s="2">
        <v>0.35780000000000001</v>
      </c>
      <c r="J427">
        <f>0.151871909974546*(100)</f>
        <v>15.1871909974546</v>
      </c>
      <c r="K427">
        <f>0.044533568688725*(100)</f>
        <v>4.4533568688725005</v>
      </c>
      <c r="L427" s="2">
        <v>5.7028999999999996</v>
      </c>
      <c r="M427" s="2">
        <v>1.3116000000000001</v>
      </c>
      <c r="N427" s="2">
        <v>2.5388999999999999</v>
      </c>
      <c r="O427" s="2">
        <v>0.2923</v>
      </c>
      <c r="P427" s="2">
        <v>5.7451999999999996</v>
      </c>
      <c r="Q427" s="2">
        <v>-4.4584000000000001</v>
      </c>
      <c r="R427" s="2">
        <v>125.525017876175</v>
      </c>
      <c r="S427" s="2">
        <v>24.9498666936937</v>
      </c>
      <c r="T427" s="2">
        <v>6.48307297514331</v>
      </c>
      <c r="U427" s="2">
        <v>39.8429</v>
      </c>
      <c r="V427" s="2">
        <v>4.7456293532522595</v>
      </c>
      <c r="W427" s="2">
        <v>6.0930956844449904</v>
      </c>
      <c r="X427" s="2">
        <v>96.776419580775695</v>
      </c>
      <c r="Y427" s="2">
        <v>6.7432166230127297</v>
      </c>
      <c r="Z427" s="4">
        <v>6.7</v>
      </c>
      <c r="AA427" s="4">
        <v>11.3</v>
      </c>
      <c r="AB427" s="2">
        <v>2</v>
      </c>
      <c r="AC427" s="2">
        <v>15.9</v>
      </c>
      <c r="AD427" s="2">
        <v>7.7000000000000028</v>
      </c>
      <c r="AE427" s="2">
        <v>0</v>
      </c>
    </row>
    <row r="428" spans="1:31" x14ac:dyDescent="0.25">
      <c r="A428" s="2" t="s">
        <v>501</v>
      </c>
      <c r="B428" s="2">
        <v>2017</v>
      </c>
      <c r="C428" s="2" t="s">
        <v>502</v>
      </c>
      <c r="D428" s="2" t="s">
        <v>503</v>
      </c>
      <c r="E428" s="2">
        <v>6.1292999999999997</v>
      </c>
      <c r="F428" s="2">
        <v>7.4916999999999998</v>
      </c>
      <c r="G428" s="2">
        <v>13.448399999999999</v>
      </c>
      <c r="H428" s="2">
        <v>0.57930000000000004</v>
      </c>
      <c r="I428" s="2">
        <v>0.42570000000000002</v>
      </c>
      <c r="J428">
        <f>0.2153225572137*(100)</f>
        <v>21.532255721369999</v>
      </c>
      <c r="K428">
        <f>0.00685278120786991*(100)</f>
        <v>0.68527812078699102</v>
      </c>
      <c r="L428" s="2">
        <v>7.5246000000000004</v>
      </c>
      <c r="M428" s="2">
        <v>2.3382999999999998</v>
      </c>
      <c r="N428" s="2">
        <v>4.3292000000000002</v>
      </c>
      <c r="O428" s="2">
        <v>0.40710000000000002</v>
      </c>
      <c r="P428" s="2">
        <v>9.9553999999999991</v>
      </c>
      <c r="Q428" s="2">
        <v>60.224200000000003</v>
      </c>
      <c r="R428" s="2">
        <v>39.2196380897621</v>
      </c>
      <c r="S428" s="2">
        <v>6.8069676558357903</v>
      </c>
      <c r="T428" s="2">
        <v>7.9798083813905496</v>
      </c>
      <c r="U428" s="2">
        <v>39.833500000000001</v>
      </c>
      <c r="V428" s="2">
        <v>9.1700191854172601</v>
      </c>
      <c r="W428" s="2">
        <v>6.71088027230007</v>
      </c>
      <c r="X428" s="2">
        <v>92.019414336475407</v>
      </c>
      <c r="Y428" s="2">
        <v>0.69254038233554605</v>
      </c>
      <c r="Z428" s="4">
        <v>6.9</v>
      </c>
      <c r="AA428" s="4">
        <v>8.2000000000000011</v>
      </c>
      <c r="AB428" s="2">
        <v>1.6</v>
      </c>
      <c r="AC428" s="2">
        <v>16.3</v>
      </c>
      <c r="AD428" s="2">
        <v>7.7999999999999972</v>
      </c>
      <c r="AE428" s="2">
        <v>0</v>
      </c>
    </row>
    <row r="429" spans="1:31" x14ac:dyDescent="0.25">
      <c r="A429" s="2" t="s">
        <v>501</v>
      </c>
      <c r="B429" s="2">
        <v>2018</v>
      </c>
      <c r="C429" s="2" t="s">
        <v>502</v>
      </c>
      <c r="D429" s="2" t="s">
        <v>503</v>
      </c>
      <c r="E429" s="2">
        <v>4.3387000000000002</v>
      </c>
      <c r="F429" s="2">
        <v>3.802</v>
      </c>
      <c r="G429" s="2">
        <v>5.2893999999999997</v>
      </c>
      <c r="H429" s="2">
        <v>0.65969999999999995</v>
      </c>
      <c r="I429" s="2">
        <v>0.4884</v>
      </c>
      <c r="J429">
        <f>0.234962931965707*(100)</f>
        <v>23.496293196570701</v>
      </c>
      <c r="K429">
        <f>0.0342955158238334*(100)</f>
        <v>3.4295515823833402</v>
      </c>
      <c r="L429" s="2">
        <v>9.8577999999999992</v>
      </c>
      <c r="M429" s="2">
        <v>2.9390000000000001</v>
      </c>
      <c r="N429" s="2">
        <v>5.7099000000000002</v>
      </c>
      <c r="O429" s="2">
        <v>0.54069999999999996</v>
      </c>
      <c r="P429" s="2">
        <v>14.860900000000001</v>
      </c>
      <c r="Q429" s="2">
        <v>37.765099999999997</v>
      </c>
      <c r="R429" s="2">
        <v>-42.076835392445403</v>
      </c>
      <c r="S429" s="2">
        <v>0.73734792073063904</v>
      </c>
      <c r="T429" s="2">
        <v>1.15023309969071</v>
      </c>
      <c r="U429" s="2">
        <v>39.603900000000003</v>
      </c>
      <c r="V429" s="2">
        <v>10.766105820659801</v>
      </c>
      <c r="W429" s="2">
        <v>6.0577738487166597</v>
      </c>
      <c r="X429" s="2">
        <v>85.269308395666897</v>
      </c>
      <c r="Y429" s="2">
        <v>2.5212721560890503</v>
      </c>
      <c r="Z429" s="4">
        <v>6.6000000000000005</v>
      </c>
      <c r="AA429" s="4">
        <v>8.1</v>
      </c>
      <c r="AB429" s="2">
        <v>2.1</v>
      </c>
      <c r="AC429" s="2">
        <v>12.5</v>
      </c>
      <c r="AD429" s="2">
        <v>6.7000000000000028</v>
      </c>
      <c r="AE429" s="2">
        <v>0</v>
      </c>
    </row>
    <row r="430" spans="1:31" x14ac:dyDescent="0.25">
      <c r="A430" s="2" t="s">
        <v>501</v>
      </c>
      <c r="B430" s="2">
        <v>2019</v>
      </c>
      <c r="C430" s="2" t="s">
        <v>502</v>
      </c>
      <c r="D430" s="2" t="s">
        <v>503</v>
      </c>
      <c r="E430" s="2">
        <v>5.4362000000000004</v>
      </c>
      <c r="F430" s="2">
        <v>5.6836000000000002</v>
      </c>
      <c r="G430" s="2">
        <v>8.2851999999999997</v>
      </c>
      <c r="H430" s="2">
        <v>0.83299999999999996</v>
      </c>
      <c r="I430" s="2">
        <v>0.62260000000000004</v>
      </c>
      <c r="J430">
        <f>0.298369745132243*(100)</f>
        <v>29.836974513224302</v>
      </c>
      <c r="K430">
        <f>0.0529188921439245*(100)</f>
        <v>5.2918892143924499</v>
      </c>
      <c r="L430" s="2">
        <v>7.6769999999999996</v>
      </c>
      <c r="M430" s="2">
        <v>2.3064</v>
      </c>
      <c r="N430" s="2">
        <v>4.7030000000000003</v>
      </c>
      <c r="O430" s="2">
        <v>0.47310000000000002</v>
      </c>
      <c r="P430" s="2">
        <v>13.3827</v>
      </c>
      <c r="Q430" s="2">
        <v>-8.0528999999999993</v>
      </c>
      <c r="R430" s="2">
        <v>51.9426735942438</v>
      </c>
      <c r="S430" s="2">
        <v>9.6537640883073692</v>
      </c>
      <c r="T430" s="2">
        <v>6.41105155412132</v>
      </c>
      <c r="U430" s="2">
        <v>41.5334</v>
      </c>
      <c r="V430" s="2">
        <v>15.2806596005111</v>
      </c>
      <c r="W430" s="2">
        <v>5.7647187185250299</v>
      </c>
      <c r="X430" s="2">
        <v>87.006408925427806</v>
      </c>
      <c r="Y430" s="2">
        <v>4.9584532605057099</v>
      </c>
      <c r="Z430" s="4">
        <v>6</v>
      </c>
      <c r="AA430" s="4">
        <v>8.6999999999999993</v>
      </c>
      <c r="AB430" s="2">
        <v>2.9</v>
      </c>
      <c r="AC430" s="2">
        <v>15.6</v>
      </c>
      <c r="AD430" s="2">
        <v>5.5999999999999943</v>
      </c>
      <c r="AE430" s="2">
        <v>0</v>
      </c>
    </row>
    <row r="431" spans="1:31" x14ac:dyDescent="0.25">
      <c r="A431" s="2" t="s">
        <v>504</v>
      </c>
      <c r="B431" s="2">
        <v>2014</v>
      </c>
      <c r="C431" s="2" t="s">
        <v>505</v>
      </c>
      <c r="D431" s="2" t="s">
        <v>333</v>
      </c>
      <c r="E431" s="2">
        <v>0.78959999999999997</v>
      </c>
      <c r="F431" s="2">
        <v>3.0074999999999998</v>
      </c>
      <c r="G431" s="2">
        <v>-1.3393999999999999</v>
      </c>
      <c r="H431" s="2">
        <v>1.2024999999999999</v>
      </c>
      <c r="I431" s="2">
        <v>0.82169999999999999</v>
      </c>
      <c r="J431">
        <f>0.591666668249562*(100)</f>
        <v>59.166666824956202</v>
      </c>
      <c r="K431">
        <f>-0.0262343262074522*(100)</f>
        <v>-2.6234326207452199</v>
      </c>
      <c r="L431" s="2">
        <v>5.3815</v>
      </c>
      <c r="M431" s="2">
        <v>2.0916999999999999</v>
      </c>
      <c r="N431" s="2">
        <v>9.5111000000000008</v>
      </c>
      <c r="O431" s="2">
        <v>1.3248</v>
      </c>
      <c r="P431" s="2">
        <v>180.5411</v>
      </c>
      <c r="Q431" s="2">
        <v>3.4354</v>
      </c>
      <c r="R431" s="2">
        <v>690.04247241210703</v>
      </c>
      <c r="S431" s="2">
        <v>-1.02346892125593</v>
      </c>
      <c r="T431" s="2">
        <v>3.2814180740837098</v>
      </c>
      <c r="U431" s="2">
        <v>64.064400000000006</v>
      </c>
      <c r="V431" s="2">
        <v>12.823380966204901</v>
      </c>
      <c r="W431" s="2">
        <v>2.42993693820135</v>
      </c>
      <c r="X431" s="2">
        <v>116.17333589802701</v>
      </c>
      <c r="Y431" s="2">
        <v>-1.2682260693604199</v>
      </c>
      <c r="Z431" s="4">
        <v>7.3</v>
      </c>
      <c r="AA431" s="4">
        <v>12.2</v>
      </c>
      <c r="AB431" s="2">
        <v>2</v>
      </c>
      <c r="AC431" s="2">
        <v>16.899999999999999</v>
      </c>
      <c r="AD431" s="2">
        <v>10.299999999999997</v>
      </c>
      <c r="AE431" s="2">
        <v>0</v>
      </c>
    </row>
    <row r="432" spans="1:31" x14ac:dyDescent="0.25">
      <c r="A432" s="2" t="s">
        <v>504</v>
      </c>
      <c r="B432" s="2">
        <v>2015</v>
      </c>
      <c r="C432" s="2" t="s">
        <v>505</v>
      </c>
      <c r="D432" s="2" t="s">
        <v>333</v>
      </c>
      <c r="E432" s="2">
        <v>0.68200000000000005</v>
      </c>
      <c r="F432" s="2">
        <v>2.9198</v>
      </c>
      <c r="G432" s="2">
        <v>-0.45</v>
      </c>
      <c r="H432" s="2">
        <v>1.2408999999999999</v>
      </c>
      <c r="I432" s="2">
        <v>0.93469999999999998</v>
      </c>
      <c r="J432">
        <f>0.607839953502222*(100)</f>
        <v>60.783995350222199</v>
      </c>
      <c r="K432">
        <f>0.030869462032164*(100)</f>
        <v>3.0869462032163999</v>
      </c>
      <c r="L432" s="2">
        <v>7.7209000000000003</v>
      </c>
      <c r="M432" s="2">
        <v>2.5242</v>
      </c>
      <c r="N432" s="2">
        <v>10.6693</v>
      </c>
      <c r="O432" s="2">
        <v>1.5922000000000001</v>
      </c>
      <c r="P432" s="2">
        <v>218.41460000000001</v>
      </c>
      <c r="Q432" s="2">
        <v>24.310700000000001</v>
      </c>
      <c r="R432" s="2">
        <v>-8.0464735849560292</v>
      </c>
      <c r="S432" s="2">
        <v>7.1561943612510897</v>
      </c>
      <c r="T432" s="2">
        <v>4.1004949993775996</v>
      </c>
      <c r="U432" s="2">
        <v>63.752699999999997</v>
      </c>
      <c r="V432" s="2">
        <v>11.826134008946299</v>
      </c>
      <c r="W432" s="2">
        <v>2.4087837542150798</v>
      </c>
      <c r="X432" s="2">
        <v>116.21453839773099</v>
      </c>
      <c r="Y432" s="2">
        <v>1.27876744258603</v>
      </c>
      <c r="Z432" s="4">
        <v>6.9099999999999993</v>
      </c>
      <c r="AA432" s="4">
        <v>13.3</v>
      </c>
      <c r="AB432" s="2">
        <v>1.4</v>
      </c>
      <c r="AC432" s="2">
        <v>17.600000000000001</v>
      </c>
      <c r="AD432" s="2">
        <v>6.7000000000000028</v>
      </c>
      <c r="AE432" s="2">
        <v>0</v>
      </c>
    </row>
    <row r="433" spans="1:31" x14ac:dyDescent="0.25">
      <c r="A433" s="2" t="s">
        <v>504</v>
      </c>
      <c r="B433" s="2">
        <v>2016</v>
      </c>
      <c r="C433" s="2" t="s">
        <v>505</v>
      </c>
      <c r="D433" s="2" t="s">
        <v>333</v>
      </c>
      <c r="E433" s="2">
        <v>0.72889999999999999</v>
      </c>
      <c r="F433" s="2">
        <v>1.4645999999999999</v>
      </c>
      <c r="G433" s="2">
        <v>1.4E-3</v>
      </c>
      <c r="H433" s="2">
        <v>1.3406</v>
      </c>
      <c r="I433" s="2">
        <v>1.1064000000000001</v>
      </c>
      <c r="J433">
        <f>0.479544927700462*(100)</f>
        <v>47.954492770046201</v>
      </c>
      <c r="K433">
        <f>0.0570930178382974*(100)</f>
        <v>5.7093017838297397</v>
      </c>
      <c r="L433" s="2">
        <v>8.9619999999999997</v>
      </c>
      <c r="M433" s="2">
        <v>2.1358000000000001</v>
      </c>
      <c r="N433" s="2">
        <v>11.400399999999999</v>
      </c>
      <c r="O433" s="2">
        <v>1.3192999999999999</v>
      </c>
      <c r="P433" s="2">
        <v>164.26</v>
      </c>
      <c r="Q433" s="2">
        <v>9.6620000000000008</v>
      </c>
      <c r="R433" s="2">
        <v>-34.906800821398598</v>
      </c>
      <c r="S433" s="2">
        <v>55.737944298625401</v>
      </c>
      <c r="T433" s="2">
        <v>115.564862736576</v>
      </c>
      <c r="U433" s="2">
        <v>49.024299999999997</v>
      </c>
      <c r="V433" s="2">
        <v>4.2212972702425393</v>
      </c>
      <c r="W433" s="2">
        <v>5.4570401748388697</v>
      </c>
      <c r="X433" s="2">
        <v>116.81826855438399</v>
      </c>
      <c r="Y433" s="2">
        <v>2.5838586986759799</v>
      </c>
      <c r="Z433" s="4">
        <v>6.7</v>
      </c>
      <c r="AA433" s="4">
        <v>11.3</v>
      </c>
      <c r="AB433" s="2">
        <v>2</v>
      </c>
      <c r="AC433" s="2">
        <v>15.9</v>
      </c>
      <c r="AD433" s="2">
        <v>7.7000000000000028</v>
      </c>
      <c r="AE433" s="2">
        <v>0</v>
      </c>
    </row>
    <row r="434" spans="1:31" x14ac:dyDescent="0.25">
      <c r="A434" s="2" t="s">
        <v>504</v>
      </c>
      <c r="B434" s="2">
        <v>2017</v>
      </c>
      <c r="C434" s="2" t="s">
        <v>505</v>
      </c>
      <c r="D434" s="2" t="s">
        <v>333</v>
      </c>
      <c r="E434" s="2">
        <v>2.8092000000000001</v>
      </c>
      <c r="F434" s="2">
        <v>5.8236999999999997</v>
      </c>
      <c r="G434" s="2">
        <v>2.169</v>
      </c>
      <c r="H434" s="2">
        <v>1.3667</v>
      </c>
      <c r="I434" s="2">
        <v>1.0780000000000001</v>
      </c>
      <c r="J434">
        <f>0.573239941822794*(100)</f>
        <v>57.323994182279407</v>
      </c>
      <c r="K434">
        <f>-0.0896860791098235*(100)</f>
        <v>-8.9686079109823496</v>
      </c>
      <c r="L434" s="2">
        <v>9.8003999999999998</v>
      </c>
      <c r="M434" s="2">
        <v>2.2081</v>
      </c>
      <c r="N434" s="2">
        <v>13.825200000000001</v>
      </c>
      <c r="O434" s="2">
        <v>1.2765</v>
      </c>
      <c r="P434" s="2">
        <v>107.6114</v>
      </c>
      <c r="Q434" s="2">
        <v>26.483799999999999</v>
      </c>
      <c r="R434" s="2">
        <v>721.02093943620901</v>
      </c>
      <c r="S434" s="2">
        <v>14.660531810215501</v>
      </c>
      <c r="T434" s="2">
        <v>20.1625239995081</v>
      </c>
      <c r="U434" s="2">
        <v>46.8277</v>
      </c>
      <c r="V434" s="2">
        <v>5.9674298329578299</v>
      </c>
      <c r="W434" s="2">
        <v>5.81835555845604</v>
      </c>
      <c r="X434" s="2">
        <v>116.764051425632</v>
      </c>
      <c r="Y434" s="2">
        <v>-3.5148042308426599</v>
      </c>
      <c r="Z434" s="4">
        <v>6.9</v>
      </c>
      <c r="AA434" s="4">
        <v>8.2000000000000011</v>
      </c>
      <c r="AB434" s="2">
        <v>1.6</v>
      </c>
      <c r="AC434" s="2">
        <v>16.3</v>
      </c>
      <c r="AD434" s="2">
        <v>7.7999999999999972</v>
      </c>
      <c r="AE434" s="2">
        <v>0</v>
      </c>
    </row>
    <row r="435" spans="1:31" x14ac:dyDescent="0.25">
      <c r="A435" s="2" t="s">
        <v>504</v>
      </c>
      <c r="B435" s="2">
        <v>2018</v>
      </c>
      <c r="C435" s="2" t="s">
        <v>505</v>
      </c>
      <c r="D435" s="2" t="s">
        <v>333</v>
      </c>
      <c r="E435" s="2">
        <v>7.9946000000000002</v>
      </c>
      <c r="F435" s="2">
        <v>16.6724</v>
      </c>
      <c r="G435" s="2">
        <v>5.5758999999999999</v>
      </c>
      <c r="H435" s="2">
        <v>1.4060999999999999</v>
      </c>
      <c r="I435" s="2">
        <v>1.1684000000000001</v>
      </c>
      <c r="J435">
        <f>0.694021139879314*(100)</f>
        <v>69.402113987931401</v>
      </c>
      <c r="K435">
        <f>-0.124707132586338*(100)</f>
        <v>-12.470713258633801</v>
      </c>
      <c r="L435" s="2">
        <v>10.202999999999999</v>
      </c>
      <c r="M435" s="2">
        <v>2.2311999999999999</v>
      </c>
      <c r="N435" s="2">
        <v>16.566800000000001</v>
      </c>
      <c r="O435" s="2">
        <v>1.3733</v>
      </c>
      <c r="P435" s="2">
        <v>62.7746</v>
      </c>
      <c r="Q435" s="2">
        <v>30.376200000000001</v>
      </c>
      <c r="R435" s="2">
        <v>212.19729262943099</v>
      </c>
      <c r="S435" s="2">
        <v>26.825662808972702</v>
      </c>
      <c r="T435" s="2">
        <v>2.4806578551923701</v>
      </c>
      <c r="U435" s="2">
        <v>55.776800000000001</v>
      </c>
      <c r="V435" s="2">
        <v>8.8033254710215498</v>
      </c>
      <c r="W435" s="2">
        <v>5.8037593755919401</v>
      </c>
      <c r="X435" s="2">
        <v>115.572097753017</v>
      </c>
      <c r="Y435" s="2">
        <v>-5.6640517256093394</v>
      </c>
      <c r="Z435" s="4">
        <v>6.6000000000000005</v>
      </c>
      <c r="AA435" s="4">
        <v>8.1</v>
      </c>
      <c r="AB435" s="2">
        <v>2.1</v>
      </c>
      <c r="AC435" s="2">
        <v>12.5</v>
      </c>
      <c r="AD435" s="2">
        <v>6.7000000000000028</v>
      </c>
      <c r="AE435" s="2">
        <v>0</v>
      </c>
    </row>
    <row r="436" spans="1:31" x14ac:dyDescent="0.25">
      <c r="A436" s="2" t="s">
        <v>504</v>
      </c>
      <c r="B436" s="2">
        <v>2021</v>
      </c>
      <c r="C436" s="2" t="s">
        <v>505</v>
      </c>
      <c r="D436" s="2" t="s">
        <v>333</v>
      </c>
      <c r="E436" s="2">
        <v>-25.4376</v>
      </c>
      <c r="F436" s="2">
        <v>-79.417000000000002</v>
      </c>
      <c r="G436" s="2">
        <v>-37.201900000000002</v>
      </c>
      <c r="H436" s="2">
        <v>0.68269999999999997</v>
      </c>
      <c r="I436" s="2">
        <v>0.57120000000000004</v>
      </c>
      <c r="J436">
        <f>0.292610571668308*(100)</f>
        <v>29.261057166830799</v>
      </c>
      <c r="K436">
        <f>-0.0460257505341357*(100)</f>
        <v>-4.6025750534135694</v>
      </c>
      <c r="L436" s="2">
        <v>7.0998999999999999</v>
      </c>
      <c r="M436" s="2">
        <v>1.52</v>
      </c>
      <c r="N436" s="2">
        <v>8.8398000000000003</v>
      </c>
      <c r="O436" s="2">
        <v>0.72570000000000001</v>
      </c>
      <c r="P436" s="2">
        <v>21.105</v>
      </c>
      <c r="Q436" s="2">
        <v>-44.992800000000003</v>
      </c>
      <c r="R436" s="2">
        <v>-724.57009936418694</v>
      </c>
      <c r="S436" s="2">
        <v>-19.4917246335262</v>
      </c>
      <c r="T436" s="2">
        <v>-58.236890174090703</v>
      </c>
      <c r="U436" s="2">
        <v>81.826700000000002</v>
      </c>
      <c r="V436" s="2">
        <v>17.240370727829298</v>
      </c>
      <c r="W436" s="2">
        <v>2.3281661670749698</v>
      </c>
      <c r="X436" s="2">
        <v>160.73163935838798</v>
      </c>
      <c r="Y436" s="2">
        <v>-4.6292485453495997</v>
      </c>
      <c r="Z436" s="4">
        <v>8.4</v>
      </c>
      <c r="AA436" s="4">
        <v>9</v>
      </c>
      <c r="AB436" s="2">
        <v>0.9</v>
      </c>
      <c r="AC436" s="2">
        <v>20.9</v>
      </c>
      <c r="AD436" s="2">
        <v>11</v>
      </c>
      <c r="AE436" s="2">
        <v>0</v>
      </c>
    </row>
    <row r="437" spans="1:31" x14ac:dyDescent="0.25">
      <c r="A437" s="2" t="s">
        <v>506</v>
      </c>
      <c r="B437" s="2">
        <v>2014</v>
      </c>
      <c r="C437" s="2" t="s">
        <v>507</v>
      </c>
      <c r="D437" s="2" t="s">
        <v>508</v>
      </c>
      <c r="E437" s="2">
        <v>8.5556999999999999</v>
      </c>
      <c r="F437" s="2">
        <v>11.039</v>
      </c>
      <c r="G437" s="2">
        <v>58.122900000000001</v>
      </c>
      <c r="H437" s="2">
        <v>0.49249999999999999</v>
      </c>
      <c r="I437" s="2">
        <v>0.48880000000000001</v>
      </c>
      <c r="J437">
        <f>0.360930556727907*(100)</f>
        <v>36.093055672790705</v>
      </c>
      <c r="K437">
        <f>0.100722651931578*(100)</f>
        <v>10.072265193157801</v>
      </c>
      <c r="L437" s="2">
        <v>42.910200000000003</v>
      </c>
      <c r="M437" s="2">
        <v>1.6408</v>
      </c>
      <c r="N437" s="2">
        <v>55.052900000000001</v>
      </c>
      <c r="O437" s="2">
        <v>0.12740000000000001</v>
      </c>
      <c r="P437" s="2">
        <v>18.242999999999999</v>
      </c>
      <c r="Q437" s="2">
        <v>24.752400000000002</v>
      </c>
      <c r="R437" s="2">
        <v>6.6471986258987696</v>
      </c>
      <c r="S437" s="2">
        <v>-4.4464063227832602</v>
      </c>
      <c r="T437" s="2">
        <v>-8.3188331621166096</v>
      </c>
      <c r="U437" s="2">
        <v>50.916699999999999</v>
      </c>
      <c r="V437" s="2">
        <v>30.760089718119097</v>
      </c>
      <c r="W437" s="2">
        <v>245.10364823536801</v>
      </c>
      <c r="X437" s="2">
        <v>101.76146719922801</v>
      </c>
      <c r="Y437" s="2">
        <v>38.973571126206004</v>
      </c>
      <c r="Z437" s="4">
        <v>7.3</v>
      </c>
      <c r="AA437" s="4">
        <v>12.2</v>
      </c>
      <c r="AB437" s="2">
        <v>2</v>
      </c>
      <c r="AC437" s="2">
        <v>16.899999999999999</v>
      </c>
      <c r="AD437" s="2">
        <v>10.299999999999997</v>
      </c>
      <c r="AE437" s="2">
        <v>0</v>
      </c>
    </row>
    <row r="438" spans="1:31" x14ac:dyDescent="0.25">
      <c r="A438" s="2" t="s">
        <v>506</v>
      </c>
      <c r="B438" s="2">
        <v>2015</v>
      </c>
      <c r="C438" s="2" t="s">
        <v>507</v>
      </c>
      <c r="D438" s="2" t="s">
        <v>508</v>
      </c>
      <c r="E438" s="2">
        <v>7.7397999999999998</v>
      </c>
      <c r="F438" s="2">
        <v>10.2378</v>
      </c>
      <c r="G438" s="2">
        <v>49.763399999999997</v>
      </c>
      <c r="H438" s="2">
        <v>0.74170000000000003</v>
      </c>
      <c r="I438" s="2">
        <v>0.73839999999999995</v>
      </c>
      <c r="J438">
        <f>0.539311113183088*(100)</f>
        <v>53.931111318308801</v>
      </c>
      <c r="K438">
        <f>0.0951373611927232*(100)</f>
        <v>9.5137361192723198</v>
      </c>
      <c r="L438" s="2">
        <v>60.9009</v>
      </c>
      <c r="M438" s="2">
        <v>1.4111</v>
      </c>
      <c r="N438" s="2">
        <v>63.210599999999999</v>
      </c>
      <c r="O438" s="2">
        <v>0.1333</v>
      </c>
      <c r="P438" s="2">
        <v>12.277100000000001</v>
      </c>
      <c r="Q438" s="2">
        <v>10.346299999999999</v>
      </c>
      <c r="R438" s="2">
        <v>-13.996725318616299</v>
      </c>
      <c r="S438" s="2">
        <v>2.63156384760567</v>
      </c>
      <c r="T438" s="2">
        <v>4.2868504422771396</v>
      </c>
      <c r="U438" s="2">
        <v>48.250700000000002</v>
      </c>
      <c r="V438" s="2">
        <v>30.043346959408002</v>
      </c>
      <c r="W438" s="2">
        <v>328.57654322081402</v>
      </c>
      <c r="X438" s="2">
        <v>91.766709180125204</v>
      </c>
      <c r="Y438" s="2">
        <v>36.0549979819057</v>
      </c>
      <c r="Z438" s="4">
        <v>6.9099999999999993</v>
      </c>
      <c r="AA438" s="4">
        <v>13.3</v>
      </c>
      <c r="AB438" s="2">
        <v>1.4</v>
      </c>
      <c r="AC438" s="2">
        <v>17.600000000000001</v>
      </c>
      <c r="AD438" s="2">
        <v>6.7000000000000028</v>
      </c>
      <c r="AE438" s="2">
        <v>0</v>
      </c>
    </row>
    <row r="439" spans="1:31" x14ac:dyDescent="0.25">
      <c r="A439" s="2" t="s">
        <v>506</v>
      </c>
      <c r="B439" s="2">
        <v>2016</v>
      </c>
      <c r="C439" s="2" t="s">
        <v>507</v>
      </c>
      <c r="D439" s="2" t="s">
        <v>508</v>
      </c>
      <c r="E439" s="2">
        <v>7.2942999999999998</v>
      </c>
      <c r="F439" s="2">
        <v>9.51</v>
      </c>
      <c r="G439" s="2">
        <v>49.84</v>
      </c>
      <c r="H439" s="2">
        <v>0.64949999999999997</v>
      </c>
      <c r="I439" s="2">
        <v>0.6462</v>
      </c>
      <c r="J439">
        <f>0.45330628351939*(100)</f>
        <v>45.330628351938998</v>
      </c>
      <c r="K439">
        <f>0.095733848040318*(100)</f>
        <v>9.5733848040318001</v>
      </c>
      <c r="L439" s="2">
        <v>64.884500000000003</v>
      </c>
      <c r="M439" s="2">
        <v>1.1318999999999999</v>
      </c>
      <c r="N439" s="2">
        <v>67.537199999999999</v>
      </c>
      <c r="O439" s="2">
        <v>0.1215</v>
      </c>
      <c r="P439" s="2">
        <v>10.964</v>
      </c>
      <c r="Q439" s="2">
        <v>6.0103</v>
      </c>
      <c r="R439" s="2">
        <v>-15.9682036665042</v>
      </c>
      <c r="S439" s="2">
        <v>-1.99078395784436</v>
      </c>
      <c r="T439" s="2">
        <v>-11.1317443101187</v>
      </c>
      <c r="U439" s="2">
        <v>51.038699999999999</v>
      </c>
      <c r="V439" s="2">
        <v>30.567507591802201</v>
      </c>
      <c r="W439" s="2">
        <v>336.62804147126502</v>
      </c>
      <c r="X439" s="2">
        <v>99.930889624219901</v>
      </c>
      <c r="Y439" s="2">
        <v>41.264383893421801</v>
      </c>
      <c r="Z439" s="4">
        <v>6.7</v>
      </c>
      <c r="AA439" s="4">
        <v>11.3</v>
      </c>
      <c r="AB439" s="2">
        <v>2</v>
      </c>
      <c r="AC439" s="2">
        <v>15.9</v>
      </c>
      <c r="AD439" s="2">
        <v>7.7000000000000028</v>
      </c>
      <c r="AE439" s="2">
        <v>0</v>
      </c>
    </row>
    <row r="440" spans="1:31" x14ac:dyDescent="0.25">
      <c r="A440" s="2" t="s">
        <v>506</v>
      </c>
      <c r="B440" s="2">
        <v>2017</v>
      </c>
      <c r="C440" s="2" t="s">
        <v>507</v>
      </c>
      <c r="D440" s="2" t="s">
        <v>508</v>
      </c>
      <c r="E440" s="2">
        <v>7.9771999999999998</v>
      </c>
      <c r="F440" s="2">
        <v>10.593</v>
      </c>
      <c r="G440" s="2">
        <v>53.984499999999997</v>
      </c>
      <c r="H440" s="2">
        <v>0.64129999999999998</v>
      </c>
      <c r="I440" s="2">
        <v>0.63600000000000001</v>
      </c>
      <c r="J440">
        <f>0.467933088399171*(100)</f>
        <v>46.793308839917103</v>
      </c>
      <c r="K440">
        <f>0.12279640978716*(100)</f>
        <v>12.279640978715999</v>
      </c>
      <c r="L440" s="2">
        <v>38.176400000000001</v>
      </c>
      <c r="M440" s="2">
        <v>0.93820000000000003</v>
      </c>
      <c r="N440" s="2">
        <v>72.935699999999997</v>
      </c>
      <c r="O440" s="2">
        <v>0.12280000000000001</v>
      </c>
      <c r="P440" s="2">
        <v>11.141999999999999</v>
      </c>
      <c r="Q440" s="2">
        <v>16.1447</v>
      </c>
      <c r="R440" s="2">
        <v>16.457916816340202</v>
      </c>
      <c r="S440" s="2">
        <v>18.984660907074201</v>
      </c>
      <c r="T440" s="2">
        <v>10.558812811317299</v>
      </c>
      <c r="U440" s="2">
        <v>54.716099999999997</v>
      </c>
      <c r="V440" s="2">
        <v>31.300335954948</v>
      </c>
      <c r="W440" s="2">
        <v>276.54053911079501</v>
      </c>
      <c r="X440" s="2">
        <v>111.177295630844</v>
      </c>
      <c r="Y440" s="2">
        <v>59.476722416771402</v>
      </c>
      <c r="Z440" s="4">
        <v>6.9</v>
      </c>
      <c r="AA440" s="4">
        <v>8.2000000000000011</v>
      </c>
      <c r="AB440" s="2">
        <v>1.6</v>
      </c>
      <c r="AC440" s="2">
        <v>16.3</v>
      </c>
      <c r="AD440" s="2">
        <v>7.7999999999999972</v>
      </c>
      <c r="AE440" s="2">
        <v>0</v>
      </c>
    </row>
    <row r="441" spans="1:31" x14ac:dyDescent="0.25">
      <c r="A441" s="2" t="s">
        <v>506</v>
      </c>
      <c r="B441" s="2">
        <v>2018</v>
      </c>
      <c r="C441" s="2" t="s">
        <v>507</v>
      </c>
      <c r="D441" s="2" t="s">
        <v>508</v>
      </c>
      <c r="E441" s="2">
        <v>7.1090999999999998</v>
      </c>
      <c r="F441" s="2">
        <v>10.9018</v>
      </c>
      <c r="G441" s="2">
        <v>43.054000000000002</v>
      </c>
      <c r="H441" s="2">
        <v>0.62090000000000001</v>
      </c>
      <c r="I441" s="2">
        <v>0.61099999999999999</v>
      </c>
      <c r="J441">
        <f>0.346208858022041*(100)</f>
        <v>34.6208858022041</v>
      </c>
      <c r="K441">
        <f>0.0893455401709491*(100)</f>
        <v>8.9345540170949107</v>
      </c>
      <c r="L441" s="2">
        <v>8.1674000000000007</v>
      </c>
      <c r="M441" s="2">
        <v>0.94040000000000001</v>
      </c>
      <c r="N441" s="2">
        <v>81.073599999999999</v>
      </c>
      <c r="O441" s="2">
        <v>0.13700000000000001</v>
      </c>
      <c r="P441" s="2">
        <v>9.9741</v>
      </c>
      <c r="Q441" s="2">
        <v>29.930900000000001</v>
      </c>
      <c r="R441" s="2">
        <v>9.9914002332751792</v>
      </c>
      <c r="S441" s="2">
        <v>14.272171702915699</v>
      </c>
      <c r="T441" s="2">
        <v>3.1842482291485199</v>
      </c>
      <c r="U441" s="2">
        <v>59.1417</v>
      </c>
      <c r="V441" s="2">
        <v>36.307797760796504</v>
      </c>
      <c r="W441" s="2">
        <v>235.40321422935199</v>
      </c>
      <c r="X441" s="2">
        <v>101.81468530094099</v>
      </c>
      <c r="Y441" s="2">
        <v>41.137753265498702</v>
      </c>
      <c r="Z441" s="4">
        <v>6.6000000000000005</v>
      </c>
      <c r="AA441" s="4">
        <v>8.1</v>
      </c>
      <c r="AB441" s="2">
        <v>2.1</v>
      </c>
      <c r="AC441" s="2">
        <v>12.5</v>
      </c>
      <c r="AD441" s="2">
        <v>6.7000000000000028</v>
      </c>
      <c r="AE441" s="2">
        <v>0</v>
      </c>
    </row>
    <row r="442" spans="1:31" x14ac:dyDescent="0.25">
      <c r="A442" s="2" t="s">
        <v>506</v>
      </c>
      <c r="B442" s="2">
        <v>2019</v>
      </c>
      <c r="C442" s="2" t="s">
        <v>507</v>
      </c>
      <c r="D442" s="2" t="s">
        <v>508</v>
      </c>
      <c r="E442" s="2">
        <v>7.2218</v>
      </c>
      <c r="F442" s="2">
        <v>10.2476</v>
      </c>
      <c r="G442" s="2">
        <v>37.628700000000002</v>
      </c>
      <c r="H442" s="2">
        <v>0.50249999999999995</v>
      </c>
      <c r="I442" s="2">
        <v>0.49059999999999998</v>
      </c>
      <c r="J442">
        <f>0.268749621425789*(100)</f>
        <v>26.874962142578902</v>
      </c>
      <c r="K442">
        <f>0.0558451118064877*(100)</f>
        <v>5.5845111806487697</v>
      </c>
      <c r="L442" s="2">
        <v>4.7229999999999999</v>
      </c>
      <c r="M442" s="2">
        <v>1.1100000000000001</v>
      </c>
      <c r="N442" s="2">
        <v>30.2212</v>
      </c>
      <c r="O442" s="2">
        <v>0.14130000000000001</v>
      </c>
      <c r="P442" s="2">
        <v>9.4283000000000001</v>
      </c>
      <c r="Q442" s="2">
        <v>15.6564</v>
      </c>
      <c r="R442" s="2">
        <v>-0.40815720127831001</v>
      </c>
      <c r="S442" s="2">
        <v>10.3135727109516</v>
      </c>
      <c r="T442" s="2">
        <v>9.5904765875359299</v>
      </c>
      <c r="U442" s="2">
        <v>59.945099999999996</v>
      </c>
      <c r="V442" s="2">
        <v>37.239330466790996</v>
      </c>
      <c r="W442" s="2">
        <v>54.579454344309703</v>
      </c>
      <c r="X442" s="2">
        <v>97.008033433997099</v>
      </c>
      <c r="Y442" s="2">
        <v>24.8583515707953</v>
      </c>
      <c r="Z442" s="4">
        <v>6</v>
      </c>
      <c r="AA442" s="4">
        <v>8.6999999999999993</v>
      </c>
      <c r="AB442" s="2">
        <v>2.9</v>
      </c>
      <c r="AC442" s="2">
        <v>15.6</v>
      </c>
      <c r="AD442" s="2">
        <v>5.5999999999999943</v>
      </c>
      <c r="AE442" s="2">
        <v>0</v>
      </c>
    </row>
    <row r="443" spans="1:31" x14ac:dyDescent="0.25">
      <c r="A443" s="2" t="s">
        <v>509</v>
      </c>
      <c r="B443" s="2">
        <v>2015</v>
      </c>
      <c r="C443" s="2" t="s">
        <v>510</v>
      </c>
      <c r="D443" s="2" t="s">
        <v>338</v>
      </c>
      <c r="E443" s="2">
        <v>10.1188</v>
      </c>
      <c r="F443" s="2">
        <v>18.1205</v>
      </c>
      <c r="G443" s="2">
        <v>2.7465000000000002</v>
      </c>
      <c r="H443" s="2">
        <v>0.97819999999999996</v>
      </c>
      <c r="I443" s="2">
        <v>0.69069999999999998</v>
      </c>
      <c r="J443">
        <f>0.358269808777306*(100)</f>
        <v>35.826980877730605</v>
      </c>
      <c r="K443">
        <f>0.103200158058918*(100)</f>
        <v>10.320015805891799</v>
      </c>
      <c r="L443" s="2">
        <v>12.178800000000001</v>
      </c>
      <c r="M443" s="2">
        <v>3.9264000000000001</v>
      </c>
      <c r="N443" s="2">
        <v>23.576499999999999</v>
      </c>
      <c r="O443" s="2">
        <v>2.4238</v>
      </c>
      <c r="P443" s="2">
        <v>104.7184</v>
      </c>
      <c r="Q443" s="2">
        <v>8.4674999999999994</v>
      </c>
      <c r="R443" s="2">
        <v>18.006562764649701</v>
      </c>
      <c r="S443" s="2">
        <v>23.291054729057901</v>
      </c>
      <c r="T443" s="2">
        <v>46.301335899055204</v>
      </c>
      <c r="U443" s="2">
        <v>71.109499999999997</v>
      </c>
      <c r="V443" s="2">
        <v>7.1180266008066502</v>
      </c>
      <c r="W443" s="2">
        <v>2.94685917496435</v>
      </c>
      <c r="X443" s="2">
        <v>121.754442440445</v>
      </c>
      <c r="Y443" s="2">
        <v>5.9374916945225298</v>
      </c>
      <c r="Z443" s="4">
        <v>6.9099999999999993</v>
      </c>
      <c r="AA443" s="4">
        <v>13.3</v>
      </c>
      <c r="AB443" s="2">
        <v>1.4</v>
      </c>
      <c r="AC443" s="2">
        <v>17.600000000000001</v>
      </c>
      <c r="AD443" s="2">
        <v>6.7000000000000028</v>
      </c>
      <c r="AE443" s="2">
        <v>0</v>
      </c>
    </row>
    <row r="444" spans="1:31" x14ac:dyDescent="0.25">
      <c r="A444" s="2" t="s">
        <v>509</v>
      </c>
      <c r="B444" s="2">
        <v>2016</v>
      </c>
      <c r="C444" s="2" t="s">
        <v>510</v>
      </c>
      <c r="D444" s="2" t="s">
        <v>338</v>
      </c>
      <c r="E444" s="2">
        <v>6.2363999999999997</v>
      </c>
      <c r="F444" s="2">
        <v>12.583299999999999</v>
      </c>
      <c r="G444" s="2">
        <v>2.8243999999999998</v>
      </c>
      <c r="H444" s="2">
        <v>0.99</v>
      </c>
      <c r="I444" s="2">
        <v>0.75009999999999999</v>
      </c>
      <c r="J444">
        <f>0.338374039776913*(100)</f>
        <v>33.837403977691302</v>
      </c>
      <c r="K444">
        <f>0.0397533076240323*(100)</f>
        <v>3.9753307624032299</v>
      </c>
      <c r="L444" s="2">
        <v>8.4085000000000001</v>
      </c>
      <c r="M444" s="2">
        <v>2.4382999999999999</v>
      </c>
      <c r="N444" s="2">
        <v>14.430400000000001</v>
      </c>
      <c r="O444" s="2">
        <v>1.4423999999999999</v>
      </c>
      <c r="P444" s="2">
        <v>56.887999999999998</v>
      </c>
      <c r="Q444" s="2">
        <v>44.564599999999999</v>
      </c>
      <c r="R444" s="2">
        <v>43.640143982028299</v>
      </c>
      <c r="S444" s="2">
        <v>47.681494040908703</v>
      </c>
      <c r="T444" s="2">
        <v>12.311853919873601</v>
      </c>
      <c r="U444" s="2">
        <v>74.316500000000005</v>
      </c>
      <c r="V444" s="2">
        <v>16.9111120992949</v>
      </c>
      <c r="W444" s="2">
        <v>2.5364916073897299</v>
      </c>
      <c r="X444" s="2">
        <v>120.561058297269</v>
      </c>
      <c r="Y444" s="2">
        <v>2.4424725356450998</v>
      </c>
      <c r="Z444" s="4">
        <v>6.7</v>
      </c>
      <c r="AA444" s="4">
        <v>11.3</v>
      </c>
      <c r="AB444" s="2">
        <v>2</v>
      </c>
      <c r="AC444" s="2">
        <v>15.9</v>
      </c>
      <c r="AD444" s="2">
        <v>7.7000000000000028</v>
      </c>
      <c r="AE444" s="2">
        <v>0</v>
      </c>
    </row>
    <row r="445" spans="1:31" x14ac:dyDescent="0.25">
      <c r="A445" s="2" t="s">
        <v>511</v>
      </c>
      <c r="B445" s="2">
        <v>2015</v>
      </c>
      <c r="C445" s="2" t="s">
        <v>512</v>
      </c>
      <c r="D445" s="2" t="s">
        <v>589</v>
      </c>
      <c r="E445" s="2">
        <v>7.9249000000000001</v>
      </c>
      <c r="F445" s="2">
        <v>10.5097</v>
      </c>
      <c r="G445" s="2">
        <v>20.0015</v>
      </c>
      <c r="H445" s="2">
        <v>3.35</v>
      </c>
      <c r="I445" s="2">
        <v>3.1312000000000002</v>
      </c>
      <c r="J445">
        <f>1.93471542707491*(100)</f>
        <v>193.47154270749101</v>
      </c>
      <c r="K445">
        <f>0.244250894791851*(100)</f>
        <v>24.4250894791851</v>
      </c>
      <c r="L445" s="2">
        <v>5.7298</v>
      </c>
      <c r="M445" s="2">
        <v>0.91700000000000004</v>
      </c>
      <c r="N445" s="2">
        <v>3.6934</v>
      </c>
      <c r="O445" s="2">
        <v>0.36520000000000002</v>
      </c>
      <c r="P445" s="2">
        <v>6.2</v>
      </c>
      <c r="Q445" s="2">
        <v>9.1153999999999993</v>
      </c>
      <c r="R445" s="2">
        <v>-15.8261642718819</v>
      </c>
      <c r="S445" s="2">
        <v>18.138217663173201</v>
      </c>
      <c r="T445" s="2">
        <v>27.649913201058901</v>
      </c>
      <c r="U445" s="2">
        <v>26.307400000000001</v>
      </c>
      <c r="V445" s="2">
        <v>13.334692277085599</v>
      </c>
      <c r="W445" s="2">
        <v>7.8765090143712104</v>
      </c>
      <c r="X445" s="2">
        <v>96.841672720248596</v>
      </c>
      <c r="Y445" s="2">
        <v>19.060471026155103</v>
      </c>
      <c r="Z445" s="4">
        <v>6.9099999999999993</v>
      </c>
      <c r="AA445" s="4">
        <v>13.3</v>
      </c>
      <c r="AB445" s="2">
        <v>1.4</v>
      </c>
      <c r="AC445" s="2">
        <v>17.600000000000001</v>
      </c>
      <c r="AD445" s="2">
        <v>9.7000000000000028</v>
      </c>
      <c r="AE445" s="2">
        <v>0</v>
      </c>
    </row>
    <row r="446" spans="1:31" x14ac:dyDescent="0.25">
      <c r="A446" s="2" t="s">
        <v>511</v>
      </c>
      <c r="B446" s="2">
        <v>2016</v>
      </c>
      <c r="C446" s="2" t="s">
        <v>512</v>
      </c>
      <c r="D446" s="2" t="s">
        <v>303</v>
      </c>
      <c r="E446" s="2">
        <v>9.6910000000000007</v>
      </c>
      <c r="F446" s="2">
        <v>9.3917999999999999</v>
      </c>
      <c r="G446" s="2">
        <v>26.138400000000001</v>
      </c>
      <c r="H446" s="2">
        <v>3.2332999999999998</v>
      </c>
      <c r="I446" s="2">
        <v>3.0546000000000002</v>
      </c>
      <c r="J446">
        <f>1.67630028877901*(100)</f>
        <v>167.630028877901</v>
      </c>
      <c r="K446">
        <f>0.198960131322915*(100)</f>
        <v>19.8960131322915</v>
      </c>
      <c r="L446" s="2">
        <v>8.5576000000000008</v>
      </c>
      <c r="M446" s="2">
        <v>0.81369999999999998</v>
      </c>
      <c r="N446" s="2">
        <v>3.7334999999999998</v>
      </c>
      <c r="O446" s="2">
        <v>0.3478</v>
      </c>
      <c r="P446" s="2">
        <v>5.1223999999999998</v>
      </c>
      <c r="Q446" s="2">
        <v>5.7881</v>
      </c>
      <c r="R446" s="2">
        <v>13.990669388817199</v>
      </c>
      <c r="S446" s="2">
        <v>4.3519565967313296</v>
      </c>
      <c r="T446" s="2">
        <v>6.9986729715548597</v>
      </c>
      <c r="U446" s="2">
        <v>25.5733</v>
      </c>
      <c r="V446" s="2">
        <v>12.566064048844899</v>
      </c>
      <c r="W446" s="2">
        <v>8.0232494837441504</v>
      </c>
      <c r="X446" s="2">
        <v>95.758240057960094</v>
      </c>
      <c r="Y446" s="2">
        <v>14.9504283974836</v>
      </c>
      <c r="Z446" s="4">
        <v>6.7</v>
      </c>
      <c r="AA446" s="4">
        <v>11.3</v>
      </c>
      <c r="AB446" s="2">
        <v>2</v>
      </c>
      <c r="AC446" s="2">
        <v>15.9</v>
      </c>
      <c r="AD446" s="2">
        <v>7.7000000000000028</v>
      </c>
      <c r="AE446" s="2">
        <v>0</v>
      </c>
    </row>
    <row r="447" spans="1:31" x14ac:dyDescent="0.25">
      <c r="A447" s="2" t="s">
        <v>513</v>
      </c>
      <c r="B447" s="2">
        <v>2016</v>
      </c>
      <c r="C447" s="2" t="s">
        <v>514</v>
      </c>
      <c r="D447" s="2" t="s">
        <v>515</v>
      </c>
      <c r="E447" s="2">
        <v>8.5850000000000009</v>
      </c>
      <c r="F447" s="2">
        <v>7.5031999999999996</v>
      </c>
      <c r="G447" s="2">
        <v>27.959900000000001</v>
      </c>
      <c r="H447" s="2">
        <v>3.8298999999999999</v>
      </c>
      <c r="I447" s="2">
        <v>2.4857</v>
      </c>
      <c r="J447">
        <f>0.64080126764734*(100)</f>
        <v>64.080126764734004</v>
      </c>
      <c r="K447">
        <f>-0.28720634624806*(100)</f>
        <v>-28.720634624806003</v>
      </c>
      <c r="L447" s="2">
        <v>0.52639999999999998</v>
      </c>
      <c r="M447" s="2">
        <v>0.41049999999999998</v>
      </c>
      <c r="N447" s="2">
        <v>87.770200000000003</v>
      </c>
      <c r="O447" s="2">
        <v>0.23719999999999999</v>
      </c>
      <c r="P447" s="2">
        <v>1.2362</v>
      </c>
      <c r="Q447" s="2">
        <v>31.930599999999998</v>
      </c>
      <c r="R447" s="2">
        <v>113.949506289634</v>
      </c>
      <c r="S447" s="2">
        <v>193.874692184081</v>
      </c>
      <c r="T447" s="2">
        <v>174.689112690276</v>
      </c>
      <c r="U447" s="2">
        <v>31.002800000000001</v>
      </c>
      <c r="V447" s="2">
        <v>16.636446951438998</v>
      </c>
      <c r="W447" s="2">
        <v>305.72362062489901</v>
      </c>
      <c r="X447" s="2">
        <v>88.4972046698675</v>
      </c>
      <c r="Y447" s="2">
        <v>-56.018515646666103</v>
      </c>
      <c r="Z447" s="4">
        <v>6.7</v>
      </c>
      <c r="AA447" s="4">
        <v>11.3</v>
      </c>
      <c r="AB447" s="2">
        <v>2</v>
      </c>
      <c r="AC447" s="2">
        <v>15.9</v>
      </c>
      <c r="AD447" s="2">
        <v>7.7000000000000028</v>
      </c>
      <c r="AE447" s="2">
        <v>0</v>
      </c>
    </row>
    <row r="448" spans="1:31" x14ac:dyDescent="0.25">
      <c r="A448" s="2" t="s">
        <v>513</v>
      </c>
      <c r="B448" s="2">
        <v>2017</v>
      </c>
      <c r="C448" s="2" t="s">
        <v>514</v>
      </c>
      <c r="D448" s="2" t="s">
        <v>515</v>
      </c>
      <c r="E448" s="2">
        <v>6.5633999999999997</v>
      </c>
      <c r="F448" s="2">
        <v>5.2179000000000002</v>
      </c>
      <c r="G448" s="2">
        <v>21.038799999999998</v>
      </c>
      <c r="H448" s="2">
        <v>2.7805</v>
      </c>
      <c r="I448" s="2">
        <v>1.7198</v>
      </c>
      <c r="J448">
        <f>0.477405691080254*(100)</f>
        <v>47.740569108025397</v>
      </c>
      <c r="K448">
        <f>-0.347566289310326*(100)</f>
        <v>-34.756628931032601</v>
      </c>
      <c r="L448" s="2">
        <v>0.41420000000000001</v>
      </c>
      <c r="M448" s="2">
        <v>0.34810000000000002</v>
      </c>
      <c r="N448" s="2">
        <v>69.625699999999995</v>
      </c>
      <c r="O448" s="2">
        <v>0.20949999999999999</v>
      </c>
      <c r="P448" s="2">
        <v>1.2133</v>
      </c>
      <c r="Q448" s="2">
        <v>60.5002</v>
      </c>
      <c r="R448" s="2">
        <v>1.1505631054566701</v>
      </c>
      <c r="S448" s="2">
        <v>43.190738687431903</v>
      </c>
      <c r="T448" s="2">
        <v>5.6950876241053203</v>
      </c>
      <c r="U448" s="2">
        <v>46.433199999999999</v>
      </c>
      <c r="V448" s="2">
        <v>23.4964362008146</v>
      </c>
      <c r="W448" s="2">
        <v>151.576799988294</v>
      </c>
      <c r="X448" s="2">
        <v>51.890096919886794</v>
      </c>
      <c r="Y448" s="2">
        <v>-90.718967604142591</v>
      </c>
      <c r="Z448" s="4">
        <v>6.9</v>
      </c>
      <c r="AA448" s="4">
        <v>8.2000000000000011</v>
      </c>
      <c r="AB448" s="2">
        <v>1.6</v>
      </c>
      <c r="AC448" s="2">
        <v>16.3</v>
      </c>
      <c r="AD448" s="2">
        <v>7.7999999999999972</v>
      </c>
      <c r="AE448" s="2">
        <v>0</v>
      </c>
    </row>
    <row r="449" spans="1:31" x14ac:dyDescent="0.25">
      <c r="A449" s="2" t="s">
        <v>516</v>
      </c>
      <c r="B449" s="2">
        <v>2014</v>
      </c>
      <c r="C449" s="2" t="s">
        <v>517</v>
      </c>
      <c r="D449" s="2" t="s">
        <v>518</v>
      </c>
      <c r="E449" s="2">
        <v>4.7332999999999998</v>
      </c>
      <c r="F449" s="2">
        <v>6.6731999999999996</v>
      </c>
      <c r="G449" s="2">
        <v>13.297499999999999</v>
      </c>
      <c r="H449" s="2">
        <v>0.64739999999999998</v>
      </c>
      <c r="I449" s="2">
        <v>0.62639999999999996</v>
      </c>
      <c r="J449">
        <f>0.533667703863044*(100)</f>
        <v>53.366770386304395</v>
      </c>
      <c r="K449">
        <f>0.310428198739498*(100)</f>
        <v>31.042819873949799</v>
      </c>
      <c r="L449" s="2">
        <v>11.4343</v>
      </c>
      <c r="M449" s="2">
        <v>1.7856000000000001</v>
      </c>
      <c r="N449" s="2">
        <v>0.59699999999999998</v>
      </c>
      <c r="O449" s="2">
        <v>0.32900000000000001</v>
      </c>
      <c r="P449" s="2">
        <v>50.472799999999999</v>
      </c>
      <c r="Q449" s="2">
        <v>15.4275</v>
      </c>
      <c r="R449" s="2">
        <v>20.336889828019999</v>
      </c>
      <c r="S449" s="2">
        <v>63.720006626994397</v>
      </c>
      <c r="T449" s="2">
        <v>80.014166175538406</v>
      </c>
      <c r="U449" s="2">
        <v>33.164700000000003</v>
      </c>
      <c r="V449" s="2">
        <v>4.2231986243166704</v>
      </c>
      <c r="W449" s="2">
        <v>1.2676953389979699</v>
      </c>
      <c r="X449" s="2">
        <v>102.458181797856</v>
      </c>
      <c r="Y449" s="2">
        <v>43.432438832017198</v>
      </c>
      <c r="Z449" s="4">
        <v>7.3</v>
      </c>
      <c r="AA449" s="4">
        <v>12.2</v>
      </c>
      <c r="AB449" s="2">
        <v>2</v>
      </c>
      <c r="AC449" s="2">
        <v>16.899999999999999</v>
      </c>
      <c r="AD449" s="2">
        <v>10.299999999999997</v>
      </c>
      <c r="AE449" s="2">
        <v>0</v>
      </c>
    </row>
    <row r="450" spans="1:31" x14ac:dyDescent="0.25">
      <c r="A450" s="2" t="s">
        <v>516</v>
      </c>
      <c r="B450" s="2">
        <v>2015</v>
      </c>
      <c r="C450" s="2" t="s">
        <v>517</v>
      </c>
      <c r="D450" s="2" t="s">
        <v>518</v>
      </c>
      <c r="E450" s="2">
        <v>5.1077000000000004</v>
      </c>
      <c r="F450" s="2">
        <v>7.1757999999999997</v>
      </c>
      <c r="G450" s="2">
        <v>15.213800000000001</v>
      </c>
      <c r="H450" s="2">
        <v>0.40229999999999999</v>
      </c>
      <c r="I450" s="2">
        <v>0.38619999999999999</v>
      </c>
      <c r="J450">
        <f>0.275640167266321*(100)</f>
        <v>27.564016726632101</v>
      </c>
      <c r="K450">
        <f>0.513490203050449*(100)</f>
        <v>51.349020305044903</v>
      </c>
      <c r="L450" s="2">
        <v>30.9268</v>
      </c>
      <c r="M450" s="2">
        <v>2.1029</v>
      </c>
      <c r="N450" s="2">
        <v>0.58199999999999996</v>
      </c>
      <c r="O450" s="2">
        <v>0.31850000000000001</v>
      </c>
      <c r="P450" s="2">
        <v>35.305</v>
      </c>
      <c r="Q450" s="2">
        <v>35.252000000000002</v>
      </c>
      <c r="R450" s="2">
        <v>51.738952842331102</v>
      </c>
      <c r="S450" s="2">
        <v>1.1967779553326801</v>
      </c>
      <c r="T450" s="2">
        <v>6.5039000877201003</v>
      </c>
      <c r="U450" s="2">
        <v>29.666899999999998</v>
      </c>
      <c r="V450" s="2">
        <v>0.82839939404532792</v>
      </c>
      <c r="W450" s="2">
        <v>1.2400186005111</v>
      </c>
      <c r="X450" s="2">
        <v>102.805064308483</v>
      </c>
      <c r="Y450" s="2">
        <v>48.109894404293101</v>
      </c>
      <c r="Z450" s="4">
        <v>6.9099999999999993</v>
      </c>
      <c r="AA450" s="4">
        <v>13.3</v>
      </c>
      <c r="AB450" s="2">
        <v>1.4</v>
      </c>
      <c r="AC450" s="2">
        <v>17.600000000000001</v>
      </c>
      <c r="AD450" s="2">
        <v>9.7000000000000028</v>
      </c>
      <c r="AE450" s="2">
        <v>0</v>
      </c>
    </row>
    <row r="451" spans="1:31" x14ac:dyDescent="0.25">
      <c r="A451" s="2" t="s">
        <v>519</v>
      </c>
      <c r="B451" s="2">
        <v>2014</v>
      </c>
      <c r="C451" s="2" t="s">
        <v>520</v>
      </c>
      <c r="D451" s="2" t="s">
        <v>322</v>
      </c>
      <c r="E451" s="2">
        <v>5.806</v>
      </c>
      <c r="F451" s="2">
        <v>5.2816000000000001</v>
      </c>
      <c r="G451" s="2">
        <v>11.4339</v>
      </c>
      <c r="H451" s="2">
        <v>6.1166</v>
      </c>
      <c r="I451" s="2">
        <v>4.4158999999999997</v>
      </c>
      <c r="J451">
        <f>1.39830572630742*(100)</f>
        <v>139.83057263074198</v>
      </c>
      <c r="K451">
        <f>0.0552686555406047*(100)</f>
        <v>5.5268655540604703</v>
      </c>
      <c r="L451" s="2">
        <v>0.85319999999999996</v>
      </c>
      <c r="M451" s="2">
        <v>0.61570000000000003</v>
      </c>
      <c r="N451" s="2">
        <v>5.9462999999999999</v>
      </c>
      <c r="O451" s="2">
        <v>0.45429999999999998</v>
      </c>
      <c r="P451" s="2">
        <v>11.039899999999999</v>
      </c>
      <c r="Q451" s="2">
        <v>-10.831799999999999</v>
      </c>
      <c r="R451" s="2">
        <v>-48.1362354478429</v>
      </c>
      <c r="S451" s="2">
        <v>14.0716350673002</v>
      </c>
      <c r="T451" s="2">
        <v>-3.3764326451411302</v>
      </c>
      <c r="U451" s="2">
        <v>22.168600000000001</v>
      </c>
      <c r="V451" s="2">
        <v>10.846984149079701</v>
      </c>
      <c r="W451" s="2">
        <v>6.3227975415001598</v>
      </c>
      <c r="X451" s="2">
        <v>112.69008750288401</v>
      </c>
      <c r="Y451" s="2">
        <v>2.8744070149702798</v>
      </c>
      <c r="Z451" s="4">
        <v>7.3</v>
      </c>
      <c r="AA451" s="4">
        <v>12.2</v>
      </c>
      <c r="AB451" s="2">
        <v>2</v>
      </c>
      <c r="AC451" s="2">
        <v>16.899999999999999</v>
      </c>
      <c r="AD451" s="2">
        <v>10.299999999999997</v>
      </c>
      <c r="AE451" s="2">
        <v>0</v>
      </c>
    </row>
    <row r="452" spans="1:31" x14ac:dyDescent="0.25">
      <c r="A452" s="2" t="s">
        <v>519</v>
      </c>
      <c r="B452" s="2">
        <v>2015</v>
      </c>
      <c r="C452" s="2" t="s">
        <v>520</v>
      </c>
      <c r="D452" s="2" t="s">
        <v>322</v>
      </c>
      <c r="E452" s="2">
        <v>3.2911000000000001</v>
      </c>
      <c r="F452" s="2">
        <v>3.2507999999999999</v>
      </c>
      <c r="G452" s="2">
        <v>6.3367000000000004</v>
      </c>
      <c r="H452" s="2">
        <v>2.9742999999999999</v>
      </c>
      <c r="I452" s="2">
        <v>1.9259999999999999</v>
      </c>
      <c r="J452">
        <f>0.781726556622019*(100)</f>
        <v>78.17265566220189</v>
      </c>
      <c r="K452">
        <f>0.325179606701563*(100)</f>
        <v>32.517960670156299</v>
      </c>
      <c r="L452" s="2">
        <v>0.89859999999999995</v>
      </c>
      <c r="M452" s="2">
        <v>0.67569999999999997</v>
      </c>
      <c r="N452" s="2">
        <v>3.25</v>
      </c>
      <c r="O452" s="2">
        <v>0.40239999999999998</v>
      </c>
      <c r="P452" s="2">
        <v>11.1754</v>
      </c>
      <c r="Q452" s="2">
        <v>-6.7512999999999996</v>
      </c>
      <c r="R452" s="2">
        <v>-38.579938219539898</v>
      </c>
      <c r="S452" s="2">
        <v>-3.7780816362110299</v>
      </c>
      <c r="T452" s="2">
        <v>3.0676811234922798</v>
      </c>
      <c r="U452" s="2">
        <v>16.6312</v>
      </c>
      <c r="V452" s="5">
        <v>6.9970686209341677</v>
      </c>
      <c r="W452" s="2">
        <v>6.6932821348605804</v>
      </c>
      <c r="X452" s="2">
        <v>114.964913212586</v>
      </c>
      <c r="Y452" s="2">
        <v>13.181093501009</v>
      </c>
      <c r="Z452" s="4">
        <v>6.9099999999999993</v>
      </c>
      <c r="AA452" s="4">
        <v>13.3</v>
      </c>
      <c r="AB452" s="2">
        <v>1.4</v>
      </c>
      <c r="AC452" s="2">
        <v>17.600000000000001</v>
      </c>
      <c r="AD452" s="2">
        <v>6.7000000000000028</v>
      </c>
      <c r="AE452" s="2">
        <v>0</v>
      </c>
    </row>
    <row r="453" spans="1:31" x14ac:dyDescent="0.25">
      <c r="A453" s="2" t="s">
        <v>519</v>
      </c>
      <c r="B453" s="2">
        <v>2016</v>
      </c>
      <c r="C453" s="2" t="s">
        <v>520</v>
      </c>
      <c r="D453" s="2" t="s">
        <v>322</v>
      </c>
      <c r="E453" s="2">
        <v>5.4964000000000004</v>
      </c>
      <c r="F453" s="2">
        <v>6.8497000000000003</v>
      </c>
      <c r="G453" s="2">
        <v>10.277699999999999</v>
      </c>
      <c r="H453" s="2">
        <v>1.8194999999999999</v>
      </c>
      <c r="I453" s="2">
        <v>1.1874</v>
      </c>
      <c r="J453">
        <f>0.278705125576068*(100)</f>
        <v>27.870512557606801</v>
      </c>
      <c r="K453">
        <f>0.111936102951646*(100)</f>
        <v>11.1936102951646</v>
      </c>
      <c r="L453" s="2">
        <v>1.0722</v>
      </c>
      <c r="M453" s="2">
        <v>0.83209999999999995</v>
      </c>
      <c r="N453" s="2">
        <v>3.2926000000000002</v>
      </c>
      <c r="O453" s="2">
        <v>0.37930000000000003</v>
      </c>
      <c r="P453" s="2">
        <v>5.8746999999999998</v>
      </c>
      <c r="Q453" s="2">
        <v>19.330400000000001</v>
      </c>
      <c r="R453" s="2">
        <v>146.915456445757</v>
      </c>
      <c r="S453" s="2">
        <v>58.5927449591167</v>
      </c>
      <c r="T453" s="2">
        <v>5.97581934606107</v>
      </c>
      <c r="U453" s="2">
        <v>26.749500000000001</v>
      </c>
      <c r="V453" s="2">
        <v>3.0390346255379499</v>
      </c>
      <c r="W453" s="2">
        <v>6.7016031542274401</v>
      </c>
      <c r="X453" s="2">
        <v>104.06261016485401</v>
      </c>
      <c r="Y453" s="2">
        <v>9.6825871353692996</v>
      </c>
      <c r="Z453" s="4">
        <v>6.7</v>
      </c>
      <c r="AA453" s="4">
        <v>11.3</v>
      </c>
      <c r="AB453" s="2">
        <v>2</v>
      </c>
      <c r="AC453" s="2">
        <v>15.9</v>
      </c>
      <c r="AD453" s="2">
        <v>7.7000000000000028</v>
      </c>
      <c r="AE453" s="2">
        <v>0</v>
      </c>
    </row>
    <row r="454" spans="1:31" x14ac:dyDescent="0.25">
      <c r="A454" s="2" t="s">
        <v>519</v>
      </c>
      <c r="B454" s="2">
        <v>2017</v>
      </c>
      <c r="C454" s="2" t="s">
        <v>520</v>
      </c>
      <c r="D454" s="2" t="s">
        <v>322</v>
      </c>
      <c r="E454" s="2">
        <v>4.8777999999999997</v>
      </c>
      <c r="F454" s="2">
        <v>7.2967000000000004</v>
      </c>
      <c r="G454" s="2">
        <v>9.5137</v>
      </c>
      <c r="H454" s="2">
        <v>0.72540000000000004</v>
      </c>
      <c r="I454" s="2">
        <v>0.45989999999999998</v>
      </c>
      <c r="J454">
        <f>0.0699743121928444*(100)</f>
        <v>6.9974312192844401</v>
      </c>
      <c r="K454">
        <f>0.0408233053713135*(100)</f>
        <v>4.0823305371313499</v>
      </c>
      <c r="L454" s="2">
        <v>1.3864000000000001</v>
      </c>
      <c r="M454" s="2">
        <v>1.1613</v>
      </c>
      <c r="N454" s="2">
        <v>5.3352000000000004</v>
      </c>
      <c r="O454" s="2">
        <v>0.4143</v>
      </c>
      <c r="P454" s="2">
        <v>6.3182</v>
      </c>
      <c r="Q454" s="2">
        <v>72.376300000000001</v>
      </c>
      <c r="R454" s="2">
        <v>4.9694191568566399</v>
      </c>
      <c r="S454" s="2">
        <v>56.863778560574701</v>
      </c>
      <c r="T454" s="2">
        <v>8.6587323120653998</v>
      </c>
      <c r="U454" s="2">
        <v>45.6768</v>
      </c>
      <c r="V454" s="2">
        <v>3.0616796341822701</v>
      </c>
      <c r="W454" s="2">
        <v>9.4522523581616902</v>
      </c>
      <c r="X454" s="2">
        <v>106.02615320362001</v>
      </c>
      <c r="Y454" s="2">
        <v>5.49749809081439</v>
      </c>
      <c r="Z454" s="4">
        <v>6.9</v>
      </c>
      <c r="AA454" s="4">
        <v>8.2000000000000011</v>
      </c>
      <c r="AB454" s="2">
        <v>1.6</v>
      </c>
      <c r="AC454" s="2">
        <v>16.3</v>
      </c>
      <c r="AD454" s="2">
        <v>7.7999999999999972</v>
      </c>
      <c r="AE454" s="2">
        <v>0</v>
      </c>
    </row>
    <row r="455" spans="1:31" x14ac:dyDescent="0.25">
      <c r="A455" s="2" t="s">
        <v>519</v>
      </c>
      <c r="B455" s="2">
        <v>2018</v>
      </c>
      <c r="C455" s="2" t="s">
        <v>520</v>
      </c>
      <c r="D455" s="2" t="s">
        <v>322</v>
      </c>
      <c r="E455" s="2">
        <v>5.6151999999999997</v>
      </c>
      <c r="F455" s="2">
        <v>7.7131999999999996</v>
      </c>
      <c r="G455" s="2">
        <v>9.0004000000000008</v>
      </c>
      <c r="H455" s="2">
        <v>1.5431999999999999</v>
      </c>
      <c r="I455" s="2">
        <v>1.1418999999999999</v>
      </c>
      <c r="J455">
        <f>0.109022491119433*(100)</f>
        <v>10.9022491119433</v>
      </c>
      <c r="K455">
        <f>0.0181415482661765*(100)</f>
        <v>1.8141548266176502</v>
      </c>
      <c r="L455" s="2">
        <v>1.2881</v>
      </c>
      <c r="M455" s="2">
        <v>0.91649999999999998</v>
      </c>
      <c r="N455" s="2">
        <v>6.7061000000000002</v>
      </c>
      <c r="O455" s="2">
        <v>0.37430000000000002</v>
      </c>
      <c r="P455" s="2">
        <v>7.2153</v>
      </c>
      <c r="Q455" s="2">
        <v>13.0992</v>
      </c>
      <c r="R455" s="2">
        <v>5.88569592606855</v>
      </c>
      <c r="S455" s="2">
        <v>4.9594125087595202</v>
      </c>
      <c r="T455" s="2">
        <v>3.8203664251126601</v>
      </c>
      <c r="U455" s="2">
        <v>41.165999999999997</v>
      </c>
      <c r="V455" s="2">
        <v>8.5677009255020202</v>
      </c>
      <c r="W455" s="2">
        <v>10.845363335899</v>
      </c>
      <c r="X455" s="2">
        <v>107.959698517346</v>
      </c>
      <c r="Y455" s="2">
        <v>2.04329750921432</v>
      </c>
      <c r="Z455" s="4">
        <v>6.6000000000000005</v>
      </c>
      <c r="AA455" s="4">
        <v>8.1</v>
      </c>
      <c r="AB455" s="2">
        <v>2.1</v>
      </c>
      <c r="AC455" s="2">
        <v>12.5</v>
      </c>
      <c r="AD455" s="2">
        <v>6.7000000000000028</v>
      </c>
      <c r="AE455" s="2">
        <v>0</v>
      </c>
    </row>
    <row r="456" spans="1:31" x14ac:dyDescent="0.25">
      <c r="A456" s="2" t="s">
        <v>519</v>
      </c>
      <c r="B456" s="2">
        <v>2019</v>
      </c>
      <c r="C456" s="2" t="s">
        <v>520</v>
      </c>
      <c r="D456" s="2" t="s">
        <v>322</v>
      </c>
      <c r="E456" s="2">
        <v>3.8193000000000001</v>
      </c>
      <c r="F456" s="2">
        <v>2.0417999999999998</v>
      </c>
      <c r="G456" s="2">
        <v>5.1905999999999999</v>
      </c>
      <c r="H456" s="2">
        <v>1.7734000000000001</v>
      </c>
      <c r="I456" s="2">
        <v>0.85019999999999996</v>
      </c>
      <c r="J456">
        <f>0.332547583584636*(100)</f>
        <v>33.254758358463597</v>
      </c>
      <c r="K456">
        <f>0.369929166782945*(100)</f>
        <v>36.992916678294499</v>
      </c>
      <c r="L456" s="2">
        <v>1.288</v>
      </c>
      <c r="M456" s="2">
        <v>1.0781000000000001</v>
      </c>
      <c r="N456" s="2">
        <v>7.3853999999999997</v>
      </c>
      <c r="O456" s="2">
        <v>0.47810000000000002</v>
      </c>
      <c r="P456" s="2">
        <v>8.0245999999999995</v>
      </c>
      <c r="Q456" s="2">
        <v>13.0891</v>
      </c>
      <c r="R456" s="2">
        <v>-80.069848322575993</v>
      </c>
      <c r="S456" s="2">
        <v>-27.232823172880099</v>
      </c>
      <c r="T456" s="2">
        <v>7.1386168980148401</v>
      </c>
      <c r="U456" s="2">
        <v>30.442699999999999</v>
      </c>
      <c r="V456" s="2">
        <v>10.058349334039701</v>
      </c>
      <c r="W456" s="2">
        <v>8.7891502308474792</v>
      </c>
      <c r="X456" s="2">
        <v>103.235499030911</v>
      </c>
      <c r="Y456" s="2">
        <v>19.843565305007399</v>
      </c>
      <c r="Z456" s="4">
        <v>6</v>
      </c>
      <c r="AA456" s="4">
        <v>8.6999999999999993</v>
      </c>
      <c r="AB456" s="2">
        <v>2.9</v>
      </c>
      <c r="AC456" s="2">
        <v>15.6</v>
      </c>
      <c r="AD456" s="2">
        <v>5.5999999999999943</v>
      </c>
      <c r="AE456" s="2">
        <v>0</v>
      </c>
    </row>
    <row r="457" spans="1:31" x14ac:dyDescent="0.25">
      <c r="A457" s="2" t="s">
        <v>519</v>
      </c>
      <c r="B457" s="2">
        <v>2020</v>
      </c>
      <c r="C457" s="2" t="s">
        <v>520</v>
      </c>
      <c r="D457" s="2" t="s">
        <v>322</v>
      </c>
      <c r="E457" s="2">
        <v>3.3963000000000001</v>
      </c>
      <c r="F457" s="2">
        <v>4.7831000000000001</v>
      </c>
      <c r="G457" s="2">
        <v>5.4358000000000004</v>
      </c>
      <c r="H457" s="2">
        <v>1.8900999999999999</v>
      </c>
      <c r="I457" s="2">
        <v>0.98570000000000002</v>
      </c>
      <c r="J457">
        <f>0.49976483987049*(100)</f>
        <v>49.976483987049001</v>
      </c>
      <c r="K457">
        <f>0.243624951668369*(100)</f>
        <v>24.362495166836901</v>
      </c>
      <c r="L457" s="2">
        <v>1.3687</v>
      </c>
      <c r="M457" s="2">
        <v>1.4907999999999999</v>
      </c>
      <c r="N457" s="2">
        <v>6.9668000000000001</v>
      </c>
      <c r="O457" s="2">
        <v>0.5504</v>
      </c>
      <c r="P457" s="2">
        <v>8.4451999999999998</v>
      </c>
      <c r="Q457" s="2">
        <v>-4.2659000000000002</v>
      </c>
      <c r="R457" s="2">
        <v>233.446944748318</v>
      </c>
      <c r="S457" s="2">
        <v>-2.74345586971755</v>
      </c>
      <c r="T457" s="2">
        <v>-0.56998943291871995</v>
      </c>
      <c r="U457" s="2">
        <v>30.208400000000001</v>
      </c>
      <c r="V457" s="2">
        <v>10.2585785854089</v>
      </c>
      <c r="W457" s="2">
        <v>8.8498721204690405</v>
      </c>
      <c r="X457" s="2">
        <v>110.22822799991201</v>
      </c>
      <c r="Y457" s="2">
        <v>13.185691271422501</v>
      </c>
      <c r="Z457" s="4">
        <v>2.2999999999999998</v>
      </c>
      <c r="AA457" s="4">
        <v>10.100000000000001</v>
      </c>
      <c r="AB457" s="2">
        <v>2.5</v>
      </c>
      <c r="AC457" s="2">
        <v>16.100000000000001</v>
      </c>
      <c r="AD457" s="2">
        <v>-0.90000000000000568</v>
      </c>
      <c r="AE457" s="2">
        <v>0</v>
      </c>
    </row>
    <row r="458" spans="1:31" x14ac:dyDescent="0.25">
      <c r="A458" s="2" t="s">
        <v>519</v>
      </c>
      <c r="B458" s="2">
        <v>2021</v>
      </c>
      <c r="C458" s="2" t="s">
        <v>520</v>
      </c>
      <c r="D458" s="2" t="s">
        <v>322</v>
      </c>
      <c r="E458" s="2">
        <v>4.1127000000000002</v>
      </c>
      <c r="F458" s="2">
        <v>6.3356000000000003</v>
      </c>
      <c r="G458" s="2">
        <v>5.4297000000000004</v>
      </c>
      <c r="H458" s="2">
        <v>1.0469999999999999</v>
      </c>
      <c r="I458" s="2">
        <v>0.54459999999999997</v>
      </c>
      <c r="J458">
        <f>0.314607712648562*(100)</f>
        <v>31.460771264856202</v>
      </c>
      <c r="K458">
        <f>0.145604034133822*(100)</f>
        <v>14.5604034133822</v>
      </c>
      <c r="L458" s="2">
        <v>1.6054999999999999</v>
      </c>
      <c r="M458" s="2">
        <v>1.7897000000000001</v>
      </c>
      <c r="N458" s="2">
        <v>7.3728999999999996</v>
      </c>
      <c r="O458" s="2">
        <v>0.61060000000000003</v>
      </c>
      <c r="P458" s="2">
        <v>13.3874</v>
      </c>
      <c r="Q458" s="2">
        <v>27.4969</v>
      </c>
      <c r="R458" s="2">
        <v>66.168640932245694</v>
      </c>
      <c r="S458" s="2">
        <v>32.932286127307599</v>
      </c>
      <c r="T458" s="2">
        <v>-0.16110181930255299</v>
      </c>
      <c r="U458" s="2">
        <v>47.176600000000001</v>
      </c>
      <c r="V458" s="2">
        <v>17.166420364598601</v>
      </c>
      <c r="W458" s="2">
        <v>6.1562996208474798</v>
      </c>
      <c r="X458" s="2">
        <v>105.43736119640398</v>
      </c>
      <c r="Y458" s="2">
        <v>12.8392182441412</v>
      </c>
      <c r="Z458" s="4">
        <v>8.4</v>
      </c>
      <c r="AA458" s="4">
        <v>9</v>
      </c>
      <c r="AB458" s="2">
        <v>0.9</v>
      </c>
      <c r="AC458" s="2">
        <v>20.9</v>
      </c>
      <c r="AD458" s="2">
        <v>11</v>
      </c>
      <c r="AE458" s="2">
        <v>0</v>
      </c>
    </row>
    <row r="459" spans="1:31" x14ac:dyDescent="0.25">
      <c r="A459" s="2" t="s">
        <v>521</v>
      </c>
      <c r="B459" s="2">
        <v>2014</v>
      </c>
      <c r="C459" s="2" t="s">
        <v>522</v>
      </c>
      <c r="D459" s="2" t="s">
        <v>322</v>
      </c>
      <c r="E459" s="2">
        <v>9.6775000000000002</v>
      </c>
      <c r="F459" s="2">
        <v>14.2453</v>
      </c>
      <c r="G459" s="2">
        <v>5.8239000000000001</v>
      </c>
      <c r="H459" s="2">
        <v>1.5916999999999999</v>
      </c>
      <c r="I459" s="2">
        <v>0.85860000000000003</v>
      </c>
      <c r="J459">
        <f>0.685968752335191*(100)</f>
        <v>68.5968752335191</v>
      </c>
      <c r="K459">
        <f>0.0609726350923507*(100)</f>
        <v>6.09726350923507</v>
      </c>
      <c r="L459" s="2">
        <v>4.4802999999999997</v>
      </c>
      <c r="M459" s="2">
        <v>2.5562</v>
      </c>
      <c r="N459" s="2">
        <v>19.714500000000001</v>
      </c>
      <c r="O459" s="2">
        <v>1.3915</v>
      </c>
      <c r="P459" s="2">
        <v>99.245800000000003</v>
      </c>
      <c r="Q459" s="2">
        <v>-14.899800000000001</v>
      </c>
      <c r="R459" s="2">
        <v>-0.19400209075980199</v>
      </c>
      <c r="S459" s="2">
        <v>1.7865890094908601</v>
      </c>
      <c r="T459" s="2">
        <v>15.6386644426773</v>
      </c>
      <c r="U459" s="2">
        <v>41.933500000000002</v>
      </c>
      <c r="V459" s="2">
        <v>13.0224411175251</v>
      </c>
      <c r="W459" s="2">
        <v>8.4303530636250699</v>
      </c>
      <c r="X459" s="2">
        <v>109.68954641897699</v>
      </c>
      <c r="Y459" s="2">
        <v>1.8463437859848799</v>
      </c>
      <c r="Z459" s="4">
        <v>7.3</v>
      </c>
      <c r="AA459" s="4">
        <v>12.2</v>
      </c>
      <c r="AB459" s="2">
        <v>2</v>
      </c>
      <c r="AC459" s="2">
        <v>16.899999999999999</v>
      </c>
      <c r="AD459" s="2">
        <v>10.299999999999997</v>
      </c>
      <c r="AE459" s="2">
        <v>0</v>
      </c>
    </row>
    <row r="460" spans="1:31" x14ac:dyDescent="0.25">
      <c r="A460" s="2" t="s">
        <v>521</v>
      </c>
      <c r="B460" s="2">
        <v>2015</v>
      </c>
      <c r="C460" s="2" t="s">
        <v>522</v>
      </c>
      <c r="D460" s="2" t="s">
        <v>322</v>
      </c>
      <c r="E460" s="2">
        <v>7.5795000000000003</v>
      </c>
      <c r="F460" s="2">
        <v>10.442</v>
      </c>
      <c r="G460" s="2">
        <v>5.1196999999999999</v>
      </c>
      <c r="H460" s="2">
        <v>1.1256999999999999</v>
      </c>
      <c r="I460" s="2">
        <v>0.48749999999999999</v>
      </c>
      <c r="J460">
        <f>0.388395008811634*(100)</f>
        <v>38.839500881163403</v>
      </c>
      <c r="K460">
        <f>-0.035153641004478*(100)</f>
        <v>-3.5153641004478002</v>
      </c>
      <c r="L460" s="2">
        <v>4.3456999999999999</v>
      </c>
      <c r="M460" s="2">
        <v>2.5421999999999998</v>
      </c>
      <c r="N460" s="2">
        <v>8.3559999999999999</v>
      </c>
      <c r="O460" s="2">
        <v>1.1328</v>
      </c>
      <c r="P460" s="2">
        <v>84.7179</v>
      </c>
      <c r="Q460" s="2">
        <v>-8.5778999999999996</v>
      </c>
      <c r="R460" s="2">
        <v>-20.718523489888099</v>
      </c>
      <c r="S460" s="2">
        <v>24.038167973791499</v>
      </c>
      <c r="T460" s="2">
        <v>5.8873261813061202</v>
      </c>
      <c r="U460" s="2">
        <v>50.895400000000002</v>
      </c>
      <c r="V460" s="2">
        <v>12.350996447396</v>
      </c>
      <c r="W460" s="2">
        <v>2.5934312160779598</v>
      </c>
      <c r="X460" s="2">
        <v>110.498502558384</v>
      </c>
      <c r="Y460" s="2">
        <v>-1.7488058713268699</v>
      </c>
      <c r="Z460" s="4">
        <v>6.9099999999999993</v>
      </c>
      <c r="AA460" s="4">
        <v>13.3</v>
      </c>
      <c r="AB460" s="2">
        <v>1.4</v>
      </c>
      <c r="AC460" s="2">
        <v>17.600000000000001</v>
      </c>
      <c r="AD460" s="2">
        <v>6.7000000000000028</v>
      </c>
      <c r="AE460" s="2">
        <v>0</v>
      </c>
    </row>
    <row r="461" spans="1:31" x14ac:dyDescent="0.25">
      <c r="A461" s="2" t="s">
        <v>521</v>
      </c>
      <c r="B461" s="2">
        <v>2016</v>
      </c>
      <c r="C461" s="2" t="s">
        <v>522</v>
      </c>
      <c r="D461" s="2" t="s">
        <v>322</v>
      </c>
      <c r="E461" s="2">
        <v>4.7455999999999996</v>
      </c>
      <c r="F461" s="2">
        <v>5.1703000000000001</v>
      </c>
      <c r="G461" s="2">
        <v>3.0796999999999999</v>
      </c>
      <c r="H461" s="2">
        <v>0.98429999999999995</v>
      </c>
      <c r="I461" s="2">
        <v>0.52729999999999999</v>
      </c>
      <c r="J461">
        <f>0.358685424689981*(100)</f>
        <v>35.868542468998101</v>
      </c>
      <c r="K461">
        <f>0.032450990520002*(100)</f>
        <v>3.2450990520001999</v>
      </c>
      <c r="L461" s="2">
        <v>3.5265</v>
      </c>
      <c r="M461" s="2">
        <v>2.1648000000000001</v>
      </c>
      <c r="N461" s="2">
        <v>6.7239000000000004</v>
      </c>
      <c r="O461" s="2">
        <v>0.77569999999999995</v>
      </c>
      <c r="P461" s="2">
        <v>69.793300000000002</v>
      </c>
      <c r="Q461" s="2">
        <v>-10.806100000000001</v>
      </c>
      <c r="R461" s="2">
        <v>-48.057356864492199</v>
      </c>
      <c r="S461" s="2">
        <v>27.5356071388277</v>
      </c>
      <c r="T461" s="2">
        <v>21.439406114558299</v>
      </c>
      <c r="U461" s="2">
        <v>52.810499999999998</v>
      </c>
      <c r="V461" s="2">
        <v>22.0889275313735</v>
      </c>
      <c r="W461" s="2">
        <v>7.7868660964512504</v>
      </c>
      <c r="X461" s="2">
        <v>115.18466295701799</v>
      </c>
      <c r="Y461" s="2">
        <v>2.5393432073816702</v>
      </c>
      <c r="Z461" s="4">
        <v>6.7</v>
      </c>
      <c r="AA461" s="4">
        <v>11.3</v>
      </c>
      <c r="AB461" s="2">
        <v>2</v>
      </c>
      <c r="AC461" s="2">
        <v>15.9</v>
      </c>
      <c r="AD461" s="2">
        <v>7.7000000000000028</v>
      </c>
      <c r="AE461" s="2">
        <v>0</v>
      </c>
    </row>
    <row r="462" spans="1:31" x14ac:dyDescent="0.25">
      <c r="A462" s="2" t="s">
        <v>521</v>
      </c>
      <c r="B462" s="2">
        <v>2017</v>
      </c>
      <c r="C462" s="2" t="s">
        <v>522</v>
      </c>
      <c r="D462" s="2" t="s">
        <v>322</v>
      </c>
      <c r="E462" s="2">
        <v>4.7427000000000001</v>
      </c>
      <c r="F462" s="2">
        <v>6.4668000000000001</v>
      </c>
      <c r="G462" s="2">
        <v>4.7793000000000001</v>
      </c>
      <c r="H462" s="2">
        <v>1.0223</v>
      </c>
      <c r="I462" s="2">
        <v>0.58389999999999997</v>
      </c>
      <c r="J462">
        <f>0.425395565837658*(100)</f>
        <v>42.539556583765794</v>
      </c>
      <c r="K462">
        <f>0.0874905624001293*(100)</f>
        <v>8.7490562400129299</v>
      </c>
      <c r="L462" s="2">
        <v>4.5423999999999998</v>
      </c>
      <c r="M462" s="2">
        <v>2.4140999999999999</v>
      </c>
      <c r="N462" s="2">
        <v>10.3325</v>
      </c>
      <c r="O462" s="2">
        <v>0.72360000000000002</v>
      </c>
      <c r="P462" s="2">
        <v>75.783600000000007</v>
      </c>
      <c r="Q462" s="2">
        <v>9.1386000000000003</v>
      </c>
      <c r="R462" s="2">
        <v>47.732767542408901</v>
      </c>
      <c r="S462" s="2">
        <v>4.0411715058010698</v>
      </c>
      <c r="T462" s="2">
        <v>4.85333090737213</v>
      </c>
      <c r="U462" s="2">
        <v>52.757399999999997</v>
      </c>
      <c r="V462" s="2">
        <v>23.686664572219502</v>
      </c>
      <c r="W462" s="2">
        <v>5.9728596910613998</v>
      </c>
      <c r="X462" s="2">
        <v>113.65937137684901</v>
      </c>
      <c r="Y462" s="2">
        <v>6.5052267091782401</v>
      </c>
      <c r="Z462" s="4">
        <v>6.9</v>
      </c>
      <c r="AA462" s="4">
        <v>8.2000000000000011</v>
      </c>
      <c r="AB462" s="2">
        <v>1.6</v>
      </c>
      <c r="AC462" s="2">
        <v>16.3</v>
      </c>
      <c r="AD462" s="2">
        <v>7.7999999999999972</v>
      </c>
      <c r="AE462" s="2">
        <v>0</v>
      </c>
    </row>
    <row r="463" spans="1:31" x14ac:dyDescent="0.25">
      <c r="A463" s="2" t="s">
        <v>521</v>
      </c>
      <c r="B463" s="2">
        <v>2018</v>
      </c>
      <c r="C463" s="2" t="s">
        <v>522</v>
      </c>
      <c r="D463" s="2" t="s">
        <v>322</v>
      </c>
      <c r="E463" s="2">
        <v>9.1685999999999996</v>
      </c>
      <c r="F463" s="2">
        <v>15.185600000000001</v>
      </c>
      <c r="G463" s="2">
        <v>13.713900000000001</v>
      </c>
      <c r="H463" s="2">
        <v>1.6067</v>
      </c>
      <c r="I463" s="2">
        <v>0.75339999999999996</v>
      </c>
      <c r="J463">
        <f>0.579598633774935*(100)</f>
        <v>57.959863377493505</v>
      </c>
      <c r="K463">
        <f>0.142753547189028*(100)</f>
        <v>14.2753547189028</v>
      </c>
      <c r="L463" s="2">
        <v>1.4811000000000001</v>
      </c>
      <c r="M463" s="2">
        <v>1.0366</v>
      </c>
      <c r="N463" s="2">
        <v>17.6462</v>
      </c>
      <c r="O463" s="2">
        <v>0.61770000000000003</v>
      </c>
      <c r="P463" s="2">
        <v>47.817599999999999</v>
      </c>
      <c r="Q463" s="2">
        <v>7.6142000000000003</v>
      </c>
      <c r="R463" s="2">
        <v>2.30475159540048</v>
      </c>
      <c r="S463" s="2">
        <v>36.4660272322336</v>
      </c>
      <c r="T463" s="2">
        <v>32.766955360296599</v>
      </c>
      <c r="U463" s="2">
        <v>62.260899999999999</v>
      </c>
      <c r="V463" s="2">
        <v>19.9179660740621</v>
      </c>
      <c r="W463" s="2">
        <v>16.750217764867699</v>
      </c>
      <c r="X463" s="2">
        <v>108.45753682572401</v>
      </c>
      <c r="Y463" s="2">
        <v>22.433347167972101</v>
      </c>
      <c r="Z463" s="4">
        <v>6.6000000000000005</v>
      </c>
      <c r="AA463" s="4">
        <v>8.1</v>
      </c>
      <c r="AB463" s="2">
        <v>2.1</v>
      </c>
      <c r="AC463" s="2">
        <v>12.5</v>
      </c>
      <c r="AD463" s="2">
        <v>6.7000000000000028</v>
      </c>
      <c r="AE463" s="2">
        <v>0</v>
      </c>
    </row>
    <row r="464" spans="1:31" x14ac:dyDescent="0.25">
      <c r="A464" s="2" t="s">
        <v>521</v>
      </c>
      <c r="B464" s="2">
        <v>2019</v>
      </c>
      <c r="C464" s="2" t="s">
        <v>522</v>
      </c>
      <c r="D464" s="2" t="s">
        <v>322</v>
      </c>
      <c r="E464" s="2">
        <v>6.6443000000000003</v>
      </c>
      <c r="F464" s="2">
        <v>10.680300000000001</v>
      </c>
      <c r="G464" s="2">
        <v>12.523999999999999</v>
      </c>
      <c r="H464" s="2">
        <v>1.4555</v>
      </c>
      <c r="I464" s="2">
        <v>0.63590000000000002</v>
      </c>
      <c r="J464">
        <f>0.427680950619493*(100)</f>
        <v>42.768095061949303</v>
      </c>
      <c r="K464">
        <f>0.0561205779761326*(100)</f>
        <v>5.61205779761326</v>
      </c>
      <c r="L464" s="2">
        <v>0.93700000000000006</v>
      </c>
      <c r="M464" s="2">
        <v>0.70169999999999999</v>
      </c>
      <c r="N464" s="2">
        <v>17.589400000000001</v>
      </c>
      <c r="O464" s="2">
        <v>0.4647</v>
      </c>
      <c r="P464" s="2">
        <v>43.791499999999999</v>
      </c>
      <c r="Q464" s="2">
        <v>26.192399999999999</v>
      </c>
      <c r="R464" s="2">
        <v>13.7400466448202</v>
      </c>
      <c r="S464" s="2">
        <v>16.419025115441698</v>
      </c>
      <c r="T464" s="2">
        <v>9.2149750967133901</v>
      </c>
      <c r="U464" s="2">
        <v>63.325899999999997</v>
      </c>
      <c r="V464" s="2">
        <v>18.8963873713761</v>
      </c>
      <c r="W464" s="2">
        <v>12.328308217789001</v>
      </c>
      <c r="X464" s="2">
        <v>106.385115309684</v>
      </c>
      <c r="Y464" s="2">
        <v>8.2364711369320993</v>
      </c>
      <c r="Z464" s="4">
        <v>6</v>
      </c>
      <c r="AA464" s="4">
        <v>8.6999999999999993</v>
      </c>
      <c r="AB464" s="2">
        <v>2.9</v>
      </c>
      <c r="AC464" s="2">
        <v>15.6</v>
      </c>
      <c r="AD464" s="2">
        <v>5.5999999999999943</v>
      </c>
      <c r="AE464" s="2">
        <v>0</v>
      </c>
    </row>
    <row r="465" spans="1:31" x14ac:dyDescent="0.25">
      <c r="A465" s="2" t="s">
        <v>521</v>
      </c>
      <c r="B465" s="2">
        <v>2020</v>
      </c>
      <c r="C465" s="2" t="s">
        <v>522</v>
      </c>
      <c r="D465" s="2" t="s">
        <v>322</v>
      </c>
      <c r="E465" s="2">
        <v>5.6818</v>
      </c>
      <c r="F465" s="2">
        <v>11.214499999999999</v>
      </c>
      <c r="G465" s="2">
        <v>11.356400000000001</v>
      </c>
      <c r="H465" s="2">
        <v>1.4149</v>
      </c>
      <c r="I465" s="2">
        <v>0.5403</v>
      </c>
      <c r="J465">
        <f>0.355174922229103*(100)</f>
        <v>35.517492222910299</v>
      </c>
      <c r="K465">
        <f>-0.0132282345885331*(100)</f>
        <v>-1.3228234588533099</v>
      </c>
      <c r="L465" s="2">
        <v>0.86380000000000001</v>
      </c>
      <c r="M465" s="2">
        <v>0.67610000000000003</v>
      </c>
      <c r="N465" s="2">
        <v>10.967499999999999</v>
      </c>
      <c r="O465" s="2">
        <v>0.41620000000000001</v>
      </c>
      <c r="P465" s="2">
        <v>35.5959</v>
      </c>
      <c r="Q465" s="2">
        <v>0.71450000000000002</v>
      </c>
      <c r="R465" s="2">
        <v>3.0487971678781101</v>
      </c>
      <c r="S465" s="2">
        <v>11.0739715751139</v>
      </c>
      <c r="T465" s="2">
        <v>2.0501891654636402</v>
      </c>
      <c r="U465" s="2">
        <v>64.305800000000005</v>
      </c>
      <c r="V465" s="2">
        <v>22.7534752273063</v>
      </c>
      <c r="W465" s="2">
        <v>7.8955719962387096</v>
      </c>
      <c r="X465" s="2">
        <v>96.294058914431105</v>
      </c>
      <c r="Y465" s="2">
        <v>-2.1675741345201098</v>
      </c>
      <c r="Z465" s="4">
        <v>2.2999999999999998</v>
      </c>
      <c r="AA465" s="4">
        <v>10.100000000000001</v>
      </c>
      <c r="AB465" s="2">
        <v>2.5</v>
      </c>
      <c r="AC465" s="2">
        <v>16.100000000000001</v>
      </c>
      <c r="AD465" s="2">
        <v>-0.90000000000000568</v>
      </c>
      <c r="AE465" s="2">
        <v>0</v>
      </c>
    </row>
    <row r="466" spans="1:31" x14ac:dyDescent="0.25">
      <c r="A466" s="2" t="s">
        <v>521</v>
      </c>
      <c r="B466" s="2">
        <v>2021</v>
      </c>
      <c r="C466" s="2" t="s">
        <v>522</v>
      </c>
      <c r="D466" s="2" t="s">
        <v>322</v>
      </c>
      <c r="E466" s="2">
        <v>4.9763999999999999</v>
      </c>
      <c r="F466" s="2">
        <v>11.4773</v>
      </c>
      <c r="G466" s="2">
        <v>9.7051999999999996</v>
      </c>
      <c r="H466" s="2">
        <v>1.4395</v>
      </c>
      <c r="I466" s="2">
        <v>0.47670000000000001</v>
      </c>
      <c r="J466">
        <f>0.240860285461289*(100)</f>
        <v>24.086028546128897</v>
      </c>
      <c r="K466">
        <f>-0.0766520679781287*(100)</f>
        <v>-7.6652067978128695</v>
      </c>
      <c r="L466" s="2">
        <v>0.83020000000000005</v>
      </c>
      <c r="M466" s="2">
        <v>0.70640000000000003</v>
      </c>
      <c r="N466" s="2">
        <v>9.94</v>
      </c>
      <c r="O466" s="2">
        <v>0.41899999999999998</v>
      </c>
      <c r="P466" s="2">
        <v>31.863900000000001</v>
      </c>
      <c r="Q466" s="2">
        <v>11.7104</v>
      </c>
      <c r="R466" s="2">
        <v>-2.4134293529139001</v>
      </c>
      <c r="S466" s="2">
        <v>6.02390996462539</v>
      </c>
      <c r="T466" s="2">
        <v>-2.5291193138197801</v>
      </c>
      <c r="U466" s="2">
        <v>68.239900000000006</v>
      </c>
      <c r="V466" s="2">
        <v>26.722144887559601</v>
      </c>
      <c r="W466" s="2">
        <v>8.0304178777870607</v>
      </c>
      <c r="X466" s="2">
        <v>102.856877057521</v>
      </c>
      <c r="Y466" s="2">
        <v>-13.467916448428099</v>
      </c>
      <c r="Z466" s="4">
        <v>8.4</v>
      </c>
      <c r="AA466" s="4">
        <v>9</v>
      </c>
      <c r="AB466" s="2">
        <v>0.9</v>
      </c>
      <c r="AC466" s="2">
        <v>20.9</v>
      </c>
      <c r="AD466" s="2">
        <v>11</v>
      </c>
      <c r="AE466" s="2">
        <v>0</v>
      </c>
    </row>
    <row r="467" spans="1:31" x14ac:dyDescent="0.25">
      <c r="A467" s="2" t="s">
        <v>523</v>
      </c>
      <c r="B467" s="2">
        <v>2014</v>
      </c>
      <c r="C467" s="2" t="s">
        <v>524</v>
      </c>
      <c r="D467" s="2" t="s">
        <v>322</v>
      </c>
      <c r="E467" s="2">
        <v>7.6833</v>
      </c>
      <c r="F467" s="2">
        <v>10.2873</v>
      </c>
      <c r="G467" s="2">
        <v>1.2366999999999999</v>
      </c>
      <c r="H467" s="2">
        <v>1.7859</v>
      </c>
      <c r="I467" s="2">
        <v>1.2533000000000001</v>
      </c>
      <c r="J467">
        <f>0.722510557657719*(100)</f>
        <v>72.251055765771895</v>
      </c>
      <c r="K467">
        <f>0.0438805062704427*(100)</f>
        <v>4.3880506270442705</v>
      </c>
      <c r="L467" s="2">
        <v>5.9683000000000002</v>
      </c>
      <c r="M467" s="2">
        <v>1.8729</v>
      </c>
      <c r="N467" s="2">
        <v>7.0289999999999999</v>
      </c>
      <c r="O467" s="2">
        <v>1.1273</v>
      </c>
      <c r="P467" s="2">
        <v>16.248999999999999</v>
      </c>
      <c r="Q467" s="2">
        <v>-16.765899999999998</v>
      </c>
      <c r="R467" s="2">
        <v>19.650137549956501</v>
      </c>
      <c r="S467" s="2">
        <v>11.0337153007225</v>
      </c>
      <c r="T467" s="2">
        <v>9.1484342325774204</v>
      </c>
      <c r="U467" s="2">
        <v>41.111199999999997</v>
      </c>
      <c r="V467" s="2">
        <v>8.3852209647224694</v>
      </c>
      <c r="W467" s="2">
        <v>3.8413259574624399</v>
      </c>
      <c r="X467" s="2">
        <v>94.820790634265791</v>
      </c>
      <c r="Y467" s="2">
        <v>1.6833250987261701</v>
      </c>
      <c r="Z467" s="4">
        <v>7.3</v>
      </c>
      <c r="AA467" s="4">
        <v>12.2</v>
      </c>
      <c r="AB467" s="2">
        <v>2</v>
      </c>
      <c r="AC467" s="2">
        <v>16.899999999999999</v>
      </c>
      <c r="AD467" s="2">
        <v>10.299999999999997</v>
      </c>
      <c r="AE467" s="2">
        <v>0</v>
      </c>
    </row>
    <row r="468" spans="1:31" x14ac:dyDescent="0.25">
      <c r="A468" s="2" t="s">
        <v>523</v>
      </c>
      <c r="B468" s="2">
        <v>2015</v>
      </c>
      <c r="C468" s="2" t="s">
        <v>524</v>
      </c>
      <c r="D468" s="2" t="s">
        <v>322</v>
      </c>
      <c r="E468" s="2">
        <v>7.8094999999999999</v>
      </c>
      <c r="F468" s="2">
        <v>9.3087</v>
      </c>
      <c r="G468" s="2">
        <v>-0.38179999999999997</v>
      </c>
      <c r="H468" s="2">
        <v>2.2115999999999998</v>
      </c>
      <c r="I468" s="2">
        <v>1.5681</v>
      </c>
      <c r="J468">
        <f>1.01600806304349*(100)</f>
        <v>101.60080630434901</v>
      </c>
      <c r="K468">
        <f>0.0413656555942522*(100)</f>
        <v>4.13656555942522</v>
      </c>
      <c r="L468" s="2">
        <v>5.4459</v>
      </c>
      <c r="M468" s="2">
        <v>1.7554000000000001</v>
      </c>
      <c r="N468" s="2">
        <v>6.9878</v>
      </c>
      <c r="O468" s="2">
        <v>0.97430000000000005</v>
      </c>
      <c r="P468" s="2">
        <v>14.648899999999999</v>
      </c>
      <c r="Q468" s="2">
        <v>0.80979999999999996</v>
      </c>
      <c r="R468" s="2">
        <v>-0.38105721394099301</v>
      </c>
      <c r="S468" s="2">
        <v>21.922818260553299</v>
      </c>
      <c r="T468" s="2">
        <v>7.5650671139484498</v>
      </c>
      <c r="U468" s="2">
        <v>48.298200000000001</v>
      </c>
      <c r="V468" s="2">
        <v>24.2910640360254</v>
      </c>
      <c r="W468" s="2">
        <v>4.0373316438020899</v>
      </c>
      <c r="X468" s="2">
        <v>96.000383020050592</v>
      </c>
      <c r="Y468" s="2">
        <v>2.2530708041649601</v>
      </c>
      <c r="Z468" s="4">
        <v>6.9099999999999993</v>
      </c>
      <c r="AA468" s="4">
        <v>13.3</v>
      </c>
      <c r="AB468" s="2">
        <v>1.4</v>
      </c>
      <c r="AC468" s="2">
        <v>17.600000000000001</v>
      </c>
      <c r="AD468" s="2">
        <v>6.7000000000000028</v>
      </c>
      <c r="AE468" s="2">
        <v>0</v>
      </c>
    </row>
    <row r="469" spans="1:31" x14ac:dyDescent="0.25">
      <c r="A469" s="2" t="s">
        <v>523</v>
      </c>
      <c r="B469" s="2">
        <v>2016</v>
      </c>
      <c r="C469" s="2" t="s">
        <v>524</v>
      </c>
      <c r="D469" s="2" t="s">
        <v>322</v>
      </c>
      <c r="E469" s="2">
        <v>6.9359999999999999</v>
      </c>
      <c r="F469" s="2">
        <v>9.1312999999999995</v>
      </c>
      <c r="G469" s="2">
        <v>-0.52390000000000003</v>
      </c>
      <c r="H469" s="2">
        <v>2.1804999999999999</v>
      </c>
      <c r="I469" s="2">
        <v>1.7044999999999999</v>
      </c>
      <c r="J469">
        <f>1.02275819179263*(100)</f>
        <v>102.27581917926301</v>
      </c>
      <c r="K469">
        <f>0.0882443131144885*(100)</f>
        <v>8.8244313114488513</v>
      </c>
      <c r="L469" s="2">
        <v>7.1379000000000001</v>
      </c>
      <c r="M469" s="2">
        <v>1.9464999999999999</v>
      </c>
      <c r="N469" s="2">
        <v>7.6790000000000003</v>
      </c>
      <c r="O469" s="2">
        <v>1.0401</v>
      </c>
      <c r="P469" s="2">
        <v>19.872599999999998</v>
      </c>
      <c r="Q469" s="2">
        <v>20.8582</v>
      </c>
      <c r="R469" s="2">
        <v>6.8323573536218003</v>
      </c>
      <c r="S469" s="2">
        <v>6.3532095441669902</v>
      </c>
      <c r="T469" s="2">
        <v>8.6808052787024508</v>
      </c>
      <c r="U469" s="2">
        <v>47.4069</v>
      </c>
      <c r="V469" s="2">
        <v>22.753005900306398</v>
      </c>
      <c r="W469" s="2">
        <v>3.6931552502790002</v>
      </c>
      <c r="X469" s="2">
        <v>100.884409541477</v>
      </c>
      <c r="Y469" s="2">
        <v>4.1457520395076299</v>
      </c>
      <c r="Z469" s="4">
        <v>6.7</v>
      </c>
      <c r="AA469" s="4">
        <v>11.3</v>
      </c>
      <c r="AB469" s="2">
        <v>2</v>
      </c>
      <c r="AC469" s="2">
        <v>15.9</v>
      </c>
      <c r="AD469" s="2">
        <v>7.7000000000000028</v>
      </c>
      <c r="AE469" s="2">
        <v>0</v>
      </c>
    </row>
    <row r="470" spans="1:31" x14ac:dyDescent="0.25">
      <c r="A470" s="2" t="s">
        <v>523</v>
      </c>
      <c r="B470" s="2">
        <v>2017</v>
      </c>
      <c r="C470" s="2" t="s">
        <v>524</v>
      </c>
      <c r="D470" s="2" t="s">
        <v>322</v>
      </c>
      <c r="E470" s="2">
        <v>4.0549999999999997</v>
      </c>
      <c r="F470" s="2">
        <v>4.6100000000000003</v>
      </c>
      <c r="G470" s="2">
        <v>0.39050000000000001</v>
      </c>
      <c r="H470" s="2">
        <v>2.8456999999999999</v>
      </c>
      <c r="I470" s="2">
        <v>2.0865</v>
      </c>
      <c r="J470">
        <f>1.07704870861594*(100)</f>
        <v>107.70487086159399</v>
      </c>
      <c r="K470">
        <f>-0.215210769587845*(100)</f>
        <v>-21.521076958784498</v>
      </c>
      <c r="L470" s="2">
        <v>5.8484999999999996</v>
      </c>
      <c r="M470" s="2">
        <v>1.5552999999999999</v>
      </c>
      <c r="N470" s="2">
        <v>6.4188999999999998</v>
      </c>
      <c r="O470" s="2">
        <v>0.87260000000000004</v>
      </c>
      <c r="P470" s="2">
        <v>10.3531</v>
      </c>
      <c r="Q470" s="2">
        <v>-6.3658999999999999</v>
      </c>
      <c r="R470" s="2">
        <v>-37.114830470014397</v>
      </c>
      <c r="S470" s="2">
        <v>16.660585758247301</v>
      </c>
      <c r="T470" s="2">
        <v>34.821893258264097</v>
      </c>
      <c r="U470" s="2">
        <v>39.430799999999998</v>
      </c>
      <c r="V470" s="2">
        <v>19.006769562500299</v>
      </c>
      <c r="W470" s="2">
        <v>4.6443318109528899</v>
      </c>
      <c r="X470" s="2">
        <v>100.05061279871299</v>
      </c>
      <c r="Y470" s="2">
        <v>-10.472179456758299</v>
      </c>
      <c r="Z470" s="4">
        <v>6.9</v>
      </c>
      <c r="AA470" s="4">
        <v>8.2000000000000011</v>
      </c>
      <c r="AB470" s="2">
        <v>1.6</v>
      </c>
      <c r="AC470" s="2">
        <v>16.3</v>
      </c>
      <c r="AD470" s="2">
        <v>7.7999999999999972</v>
      </c>
      <c r="AE470" s="2">
        <v>0</v>
      </c>
    </row>
    <row r="471" spans="1:31" x14ac:dyDescent="0.25">
      <c r="A471" s="2" t="s">
        <v>525</v>
      </c>
      <c r="B471" s="2">
        <v>2016</v>
      </c>
      <c r="C471" s="2" t="s">
        <v>526</v>
      </c>
      <c r="D471" s="2" t="s">
        <v>336</v>
      </c>
      <c r="E471" s="2">
        <v>14.520200000000001</v>
      </c>
      <c r="F471" s="2">
        <v>18.257999999999999</v>
      </c>
      <c r="G471" s="2">
        <v>23.102</v>
      </c>
      <c r="H471" s="2">
        <v>1.5444</v>
      </c>
      <c r="I471" s="2">
        <v>1.2569999999999999</v>
      </c>
      <c r="J471">
        <f>0.834205245413723*(100)</f>
        <v>83.420524541372302</v>
      </c>
      <c r="K471">
        <f>0.307506782958496*(100)</f>
        <v>30.7506782958496</v>
      </c>
      <c r="L471" s="2">
        <v>3.5840999999999998</v>
      </c>
      <c r="M471" s="2">
        <v>1.2088000000000001</v>
      </c>
      <c r="N471" s="2">
        <v>1.9604999999999999</v>
      </c>
      <c r="O471" s="2">
        <v>0.60780000000000001</v>
      </c>
      <c r="P471" s="2">
        <v>5.1951999999999998</v>
      </c>
      <c r="Q471" s="2">
        <v>22.4544</v>
      </c>
      <c r="R471" s="2">
        <v>20.526107496885501</v>
      </c>
      <c r="S471" s="2">
        <v>20.295967443792499</v>
      </c>
      <c r="T471" s="2">
        <v>9.9032667442097502</v>
      </c>
      <c r="U471" s="2">
        <v>39.601399999999998</v>
      </c>
      <c r="V471" s="2">
        <v>7.1478763880355096</v>
      </c>
      <c r="W471" s="2">
        <v>1.9479359511296599</v>
      </c>
      <c r="X471" s="2">
        <v>103.97274186115</v>
      </c>
      <c r="Y471" s="2">
        <v>21.248219409031599</v>
      </c>
      <c r="Z471" s="4">
        <v>6.7</v>
      </c>
      <c r="AA471" s="4">
        <v>11.3</v>
      </c>
      <c r="AB471" s="2">
        <v>2</v>
      </c>
      <c r="AC471" s="2">
        <v>15.9</v>
      </c>
      <c r="AD471" s="2">
        <v>7.7000000000000028</v>
      </c>
      <c r="AE471" s="2">
        <v>0</v>
      </c>
    </row>
    <row r="472" spans="1:31" x14ac:dyDescent="0.25">
      <c r="A472" s="2" t="s">
        <v>525</v>
      </c>
      <c r="B472" s="2">
        <v>2017</v>
      </c>
      <c r="C472" s="2" t="s">
        <v>526</v>
      </c>
      <c r="D472" s="2" t="s">
        <v>336</v>
      </c>
      <c r="E472" s="2">
        <v>12.0365</v>
      </c>
      <c r="F472" s="2">
        <v>17.0044</v>
      </c>
      <c r="G472" s="2">
        <v>19.608899999999998</v>
      </c>
      <c r="H472" s="2">
        <v>1.5548</v>
      </c>
      <c r="I472" s="2">
        <v>1.2465999999999999</v>
      </c>
      <c r="J472">
        <f>0.803487901808662*(100)</f>
        <v>80.348790180866203</v>
      </c>
      <c r="K472">
        <f>0.377715254814526*(100)</f>
        <v>37.771525481452599</v>
      </c>
      <c r="L472" s="2">
        <v>3.7193000000000001</v>
      </c>
      <c r="M472" s="2">
        <v>1.2487999999999999</v>
      </c>
      <c r="N472" s="2">
        <v>1.8331</v>
      </c>
      <c r="O472" s="2">
        <v>0.6079</v>
      </c>
      <c r="P472" s="2">
        <v>5.0909000000000004</v>
      </c>
      <c r="Q472" s="2">
        <v>12.5999</v>
      </c>
      <c r="R472" s="2">
        <v>0.17583361053989999</v>
      </c>
      <c r="S472" s="2">
        <v>6.1547364220415197</v>
      </c>
      <c r="T472" s="2">
        <v>5.3634164510408402</v>
      </c>
      <c r="U472" s="2">
        <v>40.054099999999998</v>
      </c>
      <c r="V472" s="2">
        <v>9.6066951747094986</v>
      </c>
      <c r="W472" s="2">
        <v>1.70543210267047</v>
      </c>
      <c r="X472" s="2">
        <v>109.438420107645</v>
      </c>
      <c r="Y472" s="2">
        <v>24.889481613872299</v>
      </c>
      <c r="Z472" s="4">
        <v>6.9</v>
      </c>
      <c r="AA472" s="4">
        <v>8.2000000000000011</v>
      </c>
      <c r="AB472" s="2">
        <v>1.6</v>
      </c>
      <c r="AC472" s="2">
        <v>16.3</v>
      </c>
      <c r="AD472" s="2">
        <v>7.7999999999999972</v>
      </c>
      <c r="AE472" s="2">
        <v>0</v>
      </c>
    </row>
    <row r="473" spans="1:31" x14ac:dyDescent="0.25">
      <c r="A473" s="2" t="s">
        <v>525</v>
      </c>
      <c r="B473" s="2">
        <v>2018</v>
      </c>
      <c r="C473" s="2" t="s">
        <v>526</v>
      </c>
      <c r="D473" s="2" t="s">
        <v>336</v>
      </c>
      <c r="E473" s="2">
        <v>15.4169</v>
      </c>
      <c r="F473" s="2">
        <v>21.0273</v>
      </c>
      <c r="G473" s="2">
        <v>24.589500000000001</v>
      </c>
      <c r="H473" s="2">
        <v>1.2608999999999999</v>
      </c>
      <c r="I473" s="2">
        <v>0.99860000000000004</v>
      </c>
      <c r="J473">
        <f>0.603995276958305*(100)</f>
        <v>60.3995276958305</v>
      </c>
      <c r="K473">
        <f>0.406128070525866*(100)</f>
        <v>40.612807052586604</v>
      </c>
      <c r="L473" s="2">
        <v>3.7330000000000001</v>
      </c>
      <c r="M473" s="2">
        <v>1.3224</v>
      </c>
      <c r="N473" s="2">
        <v>1.6323000000000001</v>
      </c>
      <c r="O473" s="2">
        <v>0.61109999999999998</v>
      </c>
      <c r="P473" s="2">
        <v>5.5335000000000001</v>
      </c>
      <c r="Q473" s="2">
        <v>8.0648</v>
      </c>
      <c r="R473" s="2">
        <v>30.459220683784999</v>
      </c>
      <c r="S473" s="2">
        <v>8.7888857778912097</v>
      </c>
      <c r="T473" s="2">
        <v>6.2632543549631103</v>
      </c>
      <c r="U473" s="2">
        <v>41.462400000000002</v>
      </c>
      <c r="V473" s="2">
        <v>5.6326828253612504</v>
      </c>
      <c r="W473" s="2">
        <v>1.48223338617986</v>
      </c>
      <c r="X473" s="2">
        <v>112.380438437214</v>
      </c>
      <c r="Y473" s="2">
        <v>26.953739673641703</v>
      </c>
      <c r="Z473" s="4">
        <v>6.6000000000000005</v>
      </c>
      <c r="AA473" s="4">
        <v>8.1</v>
      </c>
      <c r="AB473" s="2">
        <v>2.1</v>
      </c>
      <c r="AC473" s="2">
        <v>12.5</v>
      </c>
      <c r="AD473" s="2">
        <v>6.7000000000000028</v>
      </c>
      <c r="AE473" s="2">
        <v>0</v>
      </c>
    </row>
    <row r="474" spans="1:31" x14ac:dyDescent="0.25">
      <c r="A474" s="2" t="s">
        <v>525</v>
      </c>
      <c r="B474" s="2">
        <v>2019</v>
      </c>
      <c r="C474" s="2" t="s">
        <v>526</v>
      </c>
      <c r="D474" s="2" t="s">
        <v>336</v>
      </c>
      <c r="E474" s="2">
        <v>9.2186000000000003</v>
      </c>
      <c r="F474" s="2">
        <v>13.947800000000001</v>
      </c>
      <c r="G474" s="2">
        <v>16.186299999999999</v>
      </c>
      <c r="H474" s="2">
        <v>1.2020999999999999</v>
      </c>
      <c r="I474" s="2">
        <v>0.98029999999999995</v>
      </c>
      <c r="J474">
        <f>0.624720924048696*(100)</f>
        <v>62.472092404869592</v>
      </c>
      <c r="K474">
        <f>0.293684863174307*(100)</f>
        <v>29.368486317430698</v>
      </c>
      <c r="L474" s="2">
        <v>4.0469999999999997</v>
      </c>
      <c r="M474" s="2">
        <v>1.2654000000000001</v>
      </c>
      <c r="N474" s="2">
        <v>1.4994000000000001</v>
      </c>
      <c r="O474" s="2">
        <v>0.57569999999999999</v>
      </c>
      <c r="P474" s="2">
        <v>5.9859999999999998</v>
      </c>
      <c r="Q474" s="2">
        <v>4.3456000000000001</v>
      </c>
      <c r="R474" s="2">
        <v>-29.436076355211402</v>
      </c>
      <c r="S474" s="2">
        <v>12.5711388552774</v>
      </c>
      <c r="T474" s="2">
        <v>5.8415407698111297</v>
      </c>
      <c r="U474" s="2">
        <v>44.962299999999999</v>
      </c>
      <c r="V474" s="2">
        <v>6.8779666973381097</v>
      </c>
      <c r="W474" s="2">
        <v>1.4725054008960701</v>
      </c>
      <c r="X474" s="2">
        <v>107.223688885318</v>
      </c>
      <c r="Y474" s="2">
        <v>22.275105581316602</v>
      </c>
      <c r="Z474" s="4">
        <v>6</v>
      </c>
      <c r="AA474" s="4">
        <v>8.6999999999999993</v>
      </c>
      <c r="AB474" s="2">
        <v>2.9</v>
      </c>
      <c r="AC474" s="2">
        <v>15.6</v>
      </c>
      <c r="AD474" s="2">
        <v>5.5999999999999943</v>
      </c>
      <c r="AE474" s="2">
        <v>0</v>
      </c>
    </row>
    <row r="475" spans="1:31" x14ac:dyDescent="0.25">
      <c r="A475" s="2" t="s">
        <v>525</v>
      </c>
      <c r="B475" s="2">
        <v>2020</v>
      </c>
      <c r="C475" s="2" t="s">
        <v>526</v>
      </c>
      <c r="D475" s="2" t="s">
        <v>336</v>
      </c>
      <c r="E475" s="2">
        <v>8.2175999999999991</v>
      </c>
      <c r="F475" s="2">
        <v>12.1065</v>
      </c>
      <c r="G475" s="2">
        <v>16.409800000000001</v>
      </c>
      <c r="H475" s="2">
        <v>1.5299</v>
      </c>
      <c r="I475" s="2">
        <v>1.2594000000000001</v>
      </c>
      <c r="J475">
        <f>0.752577167618385*(100)</f>
        <v>75.257716761838495</v>
      </c>
      <c r="K475">
        <f>0.313541887575362*(100)</f>
        <v>31.3541887575362</v>
      </c>
      <c r="L475" s="2">
        <v>3.6705999999999999</v>
      </c>
      <c r="M475" s="2">
        <v>1.0958000000000001</v>
      </c>
      <c r="N475" s="2">
        <v>1.3833</v>
      </c>
      <c r="O475" s="2">
        <v>0.51539999999999997</v>
      </c>
      <c r="P475" s="2">
        <v>5.5358000000000001</v>
      </c>
      <c r="Q475" s="2">
        <v>-5.6733000000000002</v>
      </c>
      <c r="R475" s="2">
        <v>-10.342042639547399</v>
      </c>
      <c r="S475" s="2">
        <v>-1.03706671634695</v>
      </c>
      <c r="T475" s="2">
        <v>1.0488884318023499</v>
      </c>
      <c r="U475" s="2">
        <v>43.808300000000003</v>
      </c>
      <c r="V475" s="2">
        <v>12.2321437004889</v>
      </c>
      <c r="W475" s="2">
        <v>1.5148631915425399</v>
      </c>
      <c r="X475" s="2">
        <v>102.401038162397</v>
      </c>
      <c r="Y475" s="2">
        <v>24.361365533463299</v>
      </c>
      <c r="Z475" s="4">
        <v>2.2999999999999998</v>
      </c>
      <c r="AA475" s="4">
        <v>10.100000000000001</v>
      </c>
      <c r="AB475" s="2">
        <v>2.5</v>
      </c>
      <c r="AC475" s="2">
        <v>16.100000000000001</v>
      </c>
      <c r="AD475" s="2">
        <v>-0.90000000000000568</v>
      </c>
      <c r="AE475" s="2">
        <v>0</v>
      </c>
    </row>
    <row r="476" spans="1:31" x14ac:dyDescent="0.25">
      <c r="A476" s="2" t="s">
        <v>525</v>
      </c>
      <c r="B476" s="2">
        <v>2021</v>
      </c>
      <c r="C476" s="2" t="s">
        <v>526</v>
      </c>
      <c r="D476" s="2" t="s">
        <v>336</v>
      </c>
      <c r="E476" s="2">
        <v>9.5397999999999996</v>
      </c>
      <c r="F476" s="2">
        <v>13.1363</v>
      </c>
      <c r="G476" s="2">
        <v>15.938700000000001</v>
      </c>
      <c r="H476" s="2">
        <v>1.677</v>
      </c>
      <c r="I476" s="2">
        <v>1.383</v>
      </c>
      <c r="J476">
        <f>0.976477881757772*(100)</f>
        <v>97.647788175777194</v>
      </c>
      <c r="K476">
        <f>0.30701823688794*(100)</f>
        <v>30.701823688794001</v>
      </c>
      <c r="L476" s="2">
        <v>3.9771000000000001</v>
      </c>
      <c r="M476" s="2">
        <v>1.0916999999999999</v>
      </c>
      <c r="N476" s="2">
        <v>1.6413</v>
      </c>
      <c r="O476" s="2">
        <v>0.56730000000000003</v>
      </c>
      <c r="P476" s="2">
        <v>5.8672000000000004</v>
      </c>
      <c r="Q476" s="2">
        <v>18.569099999999999</v>
      </c>
      <c r="R476" s="2">
        <v>20.9559414594234</v>
      </c>
      <c r="S476" s="2">
        <v>16.555618423658998</v>
      </c>
      <c r="T476" s="2">
        <v>21.818030508227601</v>
      </c>
      <c r="U476" s="2">
        <v>41.287999999999997</v>
      </c>
      <c r="V476" s="2">
        <v>8.4203966217136994</v>
      </c>
      <c r="W476" s="2">
        <v>1.81393766204732</v>
      </c>
      <c r="X476" s="2">
        <v>104.78565742812201</v>
      </c>
      <c r="Y476" s="2">
        <v>23.2613704247896</v>
      </c>
      <c r="Z476" s="4">
        <v>8.4</v>
      </c>
      <c r="AA476" s="4">
        <v>9</v>
      </c>
      <c r="AB476" s="2">
        <v>0.9</v>
      </c>
      <c r="AC476" s="2">
        <v>20.9</v>
      </c>
      <c r="AD476" s="2">
        <v>11</v>
      </c>
      <c r="AE476" s="2">
        <v>0</v>
      </c>
    </row>
    <row r="477" spans="1:31" x14ac:dyDescent="0.25">
      <c r="A477" s="2" t="s">
        <v>527</v>
      </c>
      <c r="B477" s="2">
        <v>2018</v>
      </c>
      <c r="C477" s="2" t="s">
        <v>528</v>
      </c>
      <c r="D477" s="2" t="s">
        <v>336</v>
      </c>
      <c r="E477" s="2">
        <v>7.8574000000000002</v>
      </c>
      <c r="F477" s="2">
        <v>10.4901</v>
      </c>
      <c r="G477" s="2">
        <v>1.5228999999999999</v>
      </c>
      <c r="H477" s="2">
        <v>1.2781</v>
      </c>
      <c r="I477" s="2">
        <v>0.94689999999999996</v>
      </c>
      <c r="J477">
        <f>0.379031738046264*(100)</f>
        <v>37.903173804626398</v>
      </c>
      <c r="K477">
        <f>0.072302440090379*(100)</f>
        <v>7.2302440090379001</v>
      </c>
      <c r="L477" s="2">
        <v>8.2140000000000004</v>
      </c>
      <c r="M477" s="2">
        <v>2.5306000000000002</v>
      </c>
      <c r="N477" s="2">
        <v>5.8802000000000003</v>
      </c>
      <c r="O477" s="2">
        <v>1.1868000000000001</v>
      </c>
      <c r="P477" s="2">
        <v>7.7816999999999998</v>
      </c>
      <c r="Q477" s="2">
        <v>111.2072</v>
      </c>
      <c r="R477" s="2">
        <v>186.37964622374801</v>
      </c>
      <c r="S477" s="2">
        <v>67.784216772192096</v>
      </c>
      <c r="T477" s="2">
        <v>-1.9867263278225999</v>
      </c>
      <c r="U477" s="2">
        <v>69.345600000000005</v>
      </c>
      <c r="V477" s="2">
        <v>30.834836935907301</v>
      </c>
      <c r="W477" s="2">
        <v>1.4179539060956501</v>
      </c>
      <c r="X477" s="2">
        <v>108.90380965321799</v>
      </c>
      <c r="Y477" s="2">
        <v>5.2940151860442501</v>
      </c>
      <c r="Z477" s="4">
        <v>6.6000000000000005</v>
      </c>
      <c r="AA477" s="4">
        <v>8.1</v>
      </c>
      <c r="AB477" s="2">
        <v>2.1</v>
      </c>
      <c r="AC477" s="2">
        <v>12.5</v>
      </c>
      <c r="AD477" s="2">
        <v>6.7000000000000028</v>
      </c>
      <c r="AE477" s="2">
        <v>0</v>
      </c>
    </row>
    <row r="478" spans="1:31" x14ac:dyDescent="0.25">
      <c r="A478" s="2" t="s">
        <v>527</v>
      </c>
      <c r="B478" s="2">
        <v>2019</v>
      </c>
      <c r="C478" s="2" t="s">
        <v>528</v>
      </c>
      <c r="D478" s="2" t="s">
        <v>336</v>
      </c>
      <c r="E478" s="2">
        <v>4.3083999999999998</v>
      </c>
      <c r="F478" s="2">
        <v>7.5156000000000001</v>
      </c>
      <c r="G478" s="2">
        <v>2.4943</v>
      </c>
      <c r="H478" s="2">
        <v>1.1725000000000001</v>
      </c>
      <c r="I478" s="2">
        <v>0.84119999999999995</v>
      </c>
      <c r="J478">
        <f>0.349758376211531*(100)</f>
        <v>34.975837621153097</v>
      </c>
      <c r="K478">
        <f>0.0984350627697496*(100)</f>
        <v>9.8435062769749599</v>
      </c>
      <c r="L478" s="2">
        <v>6.9785000000000004</v>
      </c>
      <c r="M478" s="2">
        <v>2.2442000000000002</v>
      </c>
      <c r="N478" s="2">
        <v>4.7865000000000002</v>
      </c>
      <c r="O478" s="2">
        <v>1.0615000000000001</v>
      </c>
      <c r="P478" s="2">
        <v>6.7198000000000002</v>
      </c>
      <c r="Q478" s="2">
        <v>9.7514000000000003</v>
      </c>
      <c r="R478" s="2">
        <v>-31.715444961377401</v>
      </c>
      <c r="S478" s="2">
        <v>-4.03800876257651</v>
      </c>
      <c r="T478" s="2">
        <v>1.12638024517641</v>
      </c>
      <c r="U478" s="2">
        <v>69.947800000000001</v>
      </c>
      <c r="V478" s="2">
        <v>31.312814708838999</v>
      </c>
      <c r="W478" s="2">
        <v>1.32041662861598</v>
      </c>
      <c r="X478" s="2">
        <v>116.90092895017601</v>
      </c>
      <c r="Y478" s="2">
        <v>6.3525554602901195</v>
      </c>
      <c r="Z478" s="4">
        <v>6</v>
      </c>
      <c r="AA478" s="4">
        <v>8.6999999999999993</v>
      </c>
      <c r="AB478" s="2">
        <v>2.9</v>
      </c>
      <c r="AC478" s="2">
        <v>15.6</v>
      </c>
      <c r="AD478" s="2">
        <v>5.5999999999999943</v>
      </c>
      <c r="AE478" s="2">
        <v>0</v>
      </c>
    </row>
    <row r="479" spans="1:31" x14ac:dyDescent="0.25">
      <c r="A479" s="2" t="s">
        <v>527</v>
      </c>
      <c r="B479" s="2">
        <v>2020</v>
      </c>
      <c r="C479" s="2" t="s">
        <v>528</v>
      </c>
      <c r="D479" s="2" t="s">
        <v>336</v>
      </c>
      <c r="E479" s="2">
        <v>2.7238000000000002</v>
      </c>
      <c r="F479" s="2">
        <v>4.4413</v>
      </c>
      <c r="G479" s="2">
        <v>1.0169999999999999</v>
      </c>
      <c r="H479" s="2">
        <v>1.2756000000000001</v>
      </c>
      <c r="I479" s="2">
        <v>0.96709999999999996</v>
      </c>
      <c r="J479">
        <f>0.512497704342079*(100)</f>
        <v>51.249770434207896</v>
      </c>
      <c r="K479">
        <f>0.084810812332692*(100)</f>
        <v>8.4810812332691992</v>
      </c>
      <c r="L479" s="2">
        <v>6.0975999999999999</v>
      </c>
      <c r="M479" s="2">
        <v>1.8431</v>
      </c>
      <c r="N479" s="2">
        <v>3.9222000000000001</v>
      </c>
      <c r="O479" s="2">
        <v>0.84619999999999995</v>
      </c>
      <c r="P479" s="2">
        <v>6.3380999999999998</v>
      </c>
      <c r="Q479" s="2">
        <v>-22.407499999999999</v>
      </c>
      <c r="R479" s="2">
        <v>-85.964303411953395</v>
      </c>
      <c r="S479" s="2">
        <v>-1.15886297332087</v>
      </c>
      <c r="T479" s="2">
        <v>20.597503839431599</v>
      </c>
      <c r="U479" s="2">
        <v>65.398600000000002</v>
      </c>
      <c r="V479" s="2">
        <v>28.921362781118699</v>
      </c>
      <c r="W479" s="2">
        <v>1.69818791074108</v>
      </c>
      <c r="X479" s="2">
        <v>116.07992747040198</v>
      </c>
      <c r="Y479" s="2">
        <v>6.51652106318185</v>
      </c>
      <c r="Z479" s="4">
        <v>2.2999999999999998</v>
      </c>
      <c r="AA479" s="4">
        <v>10.100000000000001</v>
      </c>
      <c r="AB479" s="2">
        <v>2.5</v>
      </c>
      <c r="AC479" s="2">
        <v>16.100000000000001</v>
      </c>
      <c r="AD479" s="2">
        <v>-0.90000000000000568</v>
      </c>
      <c r="AE479" s="2">
        <v>0</v>
      </c>
    </row>
    <row r="480" spans="1:31" x14ac:dyDescent="0.25">
      <c r="A480" s="2" t="s">
        <v>527</v>
      </c>
      <c r="B480" s="2">
        <v>2021</v>
      </c>
      <c r="C480" s="2" t="s">
        <v>528</v>
      </c>
      <c r="D480" s="2" t="s">
        <v>336</v>
      </c>
      <c r="E480" s="2">
        <v>-5.4897999999999998</v>
      </c>
      <c r="F480" s="2">
        <v>-28.281600000000001</v>
      </c>
      <c r="G480" s="2">
        <v>-8.4911999999999992</v>
      </c>
      <c r="H480" s="2">
        <v>1.4093</v>
      </c>
      <c r="I480" s="2">
        <v>1.0006999999999999</v>
      </c>
      <c r="J480">
        <f>0.436005223586408*(100)</f>
        <v>43.600522358640795</v>
      </c>
      <c r="K480">
        <f>0.0528397251875318*(100)</f>
        <v>5.2839725187531803</v>
      </c>
      <c r="L480" s="2">
        <v>6.0414000000000003</v>
      </c>
      <c r="M480" s="2">
        <v>1.8111999999999999</v>
      </c>
      <c r="N480" s="2">
        <v>4.0803000000000003</v>
      </c>
      <c r="O480" s="2">
        <v>0.84889999999999999</v>
      </c>
      <c r="P480" s="2">
        <v>6.6786000000000003</v>
      </c>
      <c r="Q480" s="2">
        <v>-4.6238000000000001</v>
      </c>
      <c r="R480" s="2">
        <v>-2325.10774702256</v>
      </c>
      <c r="S480" s="2">
        <v>-8.7771331607228102</v>
      </c>
      <c r="T480" s="2">
        <v>-25.022851547979801</v>
      </c>
      <c r="U480" s="2">
        <v>67.161900000000003</v>
      </c>
      <c r="V480" s="2">
        <v>33.6339853187702</v>
      </c>
      <c r="W480" s="2">
        <v>1.5432554918474899</v>
      </c>
      <c r="X480" s="2">
        <v>114.634682713657</v>
      </c>
      <c r="Y480" s="2">
        <v>3.9883682693678999</v>
      </c>
      <c r="Z480" s="4">
        <v>8.4</v>
      </c>
      <c r="AA480" s="4">
        <v>9</v>
      </c>
      <c r="AB480" s="2">
        <v>0.9</v>
      </c>
      <c r="AC480" s="2">
        <v>20.9</v>
      </c>
      <c r="AD480" s="2">
        <v>11</v>
      </c>
      <c r="AE480" s="2">
        <v>0</v>
      </c>
    </row>
    <row r="481" spans="1:31" x14ac:dyDescent="0.25">
      <c r="A481" s="2" t="s">
        <v>529</v>
      </c>
      <c r="B481" s="2">
        <v>2014</v>
      </c>
      <c r="C481" s="2" t="s">
        <v>530</v>
      </c>
      <c r="D481" s="2" t="s">
        <v>321</v>
      </c>
      <c r="E481" s="2">
        <v>12.315200000000001</v>
      </c>
      <c r="F481" s="2">
        <v>34.046900000000001</v>
      </c>
      <c r="G481" s="2">
        <v>13.562799999999999</v>
      </c>
      <c r="H481" s="2">
        <v>0.91369999999999996</v>
      </c>
      <c r="I481" s="2">
        <v>0.74660000000000004</v>
      </c>
      <c r="J481">
        <f>0.69866482968069*(100)</f>
        <v>69.866482968068993</v>
      </c>
      <c r="K481">
        <f>0.0854568366788506*(100)</f>
        <v>8.5456836678850596</v>
      </c>
      <c r="L481" s="2">
        <v>7.6570999999999998</v>
      </c>
      <c r="M481" s="2">
        <v>1.8404</v>
      </c>
      <c r="N481" s="2">
        <v>3.7385999999999999</v>
      </c>
      <c r="O481" s="2">
        <v>0.86</v>
      </c>
      <c r="P481" s="2">
        <v>92.920599999999993</v>
      </c>
      <c r="Q481" s="2">
        <v>34.2562</v>
      </c>
      <c r="R481" s="2">
        <v>125.667348387857</v>
      </c>
      <c r="S481" s="2">
        <v>27.604217756313599</v>
      </c>
      <c r="T481" s="2">
        <v>35.9555879854477</v>
      </c>
      <c r="U481" s="2">
        <v>63.472000000000001</v>
      </c>
      <c r="V481" s="2">
        <v>7.0449582565888003</v>
      </c>
      <c r="W481" s="2">
        <v>1.747640008873</v>
      </c>
      <c r="X481" s="2">
        <v>88.956824432989507</v>
      </c>
      <c r="Y481" s="2">
        <v>7.1436094165589505</v>
      </c>
      <c r="Z481" s="4">
        <v>7.3</v>
      </c>
      <c r="AA481" s="4">
        <v>12.2</v>
      </c>
      <c r="AB481" s="2">
        <v>2</v>
      </c>
      <c r="AC481" s="2">
        <v>16.899999999999999</v>
      </c>
      <c r="AD481" s="2">
        <v>10.299999999999997</v>
      </c>
      <c r="AE481" s="2">
        <v>0</v>
      </c>
    </row>
    <row r="482" spans="1:31" x14ac:dyDescent="0.25">
      <c r="A482" s="2" t="s">
        <v>529</v>
      </c>
      <c r="B482" s="2">
        <v>2015</v>
      </c>
      <c r="C482" s="2" t="s">
        <v>530</v>
      </c>
      <c r="D482" s="2" t="s">
        <v>321</v>
      </c>
      <c r="E482" s="2">
        <v>12.3584</v>
      </c>
      <c r="F482" s="2">
        <v>33.1633</v>
      </c>
      <c r="G482" s="2">
        <v>14.358599999999999</v>
      </c>
      <c r="H482" s="2">
        <v>1.0267999999999999</v>
      </c>
      <c r="I482" s="2">
        <v>0.86509999999999998</v>
      </c>
      <c r="J482">
        <f>0.809850164218388*(100)</f>
        <v>80.985016421838793</v>
      </c>
      <c r="K482">
        <f>0.0980241654222703*(100)</f>
        <v>9.8024165422270304</v>
      </c>
      <c r="L482" s="2">
        <v>7.2656000000000001</v>
      </c>
      <c r="M482" s="2">
        <v>1.5253000000000001</v>
      </c>
      <c r="N482" s="2">
        <v>4.6897000000000002</v>
      </c>
      <c r="O482" s="2">
        <v>0.83940000000000003</v>
      </c>
      <c r="P482" s="2">
        <v>81.709999999999994</v>
      </c>
      <c r="Q482" s="2">
        <v>25.528600000000001</v>
      </c>
      <c r="R482" s="2">
        <v>31.984322130342601</v>
      </c>
      <c r="S482" s="2">
        <v>28.307339797718999</v>
      </c>
      <c r="T482" s="2">
        <v>34.121732847816901</v>
      </c>
      <c r="U482" s="2">
        <v>61.780500000000004</v>
      </c>
      <c r="V482" s="2">
        <v>5.5491040748119502</v>
      </c>
      <c r="W482" s="2">
        <v>2.4567224070471698</v>
      </c>
      <c r="X482" s="2">
        <v>100.682233297355</v>
      </c>
      <c r="Y482" s="2">
        <v>8.1095740533757308</v>
      </c>
      <c r="Z482" s="4">
        <v>6.9099999999999993</v>
      </c>
      <c r="AA482" s="4">
        <v>13.3</v>
      </c>
      <c r="AB482" s="2">
        <v>1.4</v>
      </c>
      <c r="AC482" s="2">
        <v>17.600000000000001</v>
      </c>
      <c r="AD482" s="2">
        <v>6.7000000000000028</v>
      </c>
      <c r="AE482" s="2">
        <v>0</v>
      </c>
    </row>
    <row r="483" spans="1:31" x14ac:dyDescent="0.25">
      <c r="A483" s="2" t="s">
        <v>531</v>
      </c>
      <c r="B483" s="2">
        <v>2019</v>
      </c>
      <c r="C483" s="2" t="s">
        <v>532</v>
      </c>
      <c r="D483" s="2" t="s">
        <v>321</v>
      </c>
      <c r="E483" s="2">
        <v>2.8521999999999998</v>
      </c>
      <c r="F483" s="2">
        <v>2.8839999999999999</v>
      </c>
      <c r="G483" s="2">
        <v>1.8102</v>
      </c>
      <c r="H483" s="2">
        <v>0.99019999999999997</v>
      </c>
      <c r="I483" s="2">
        <v>0.75349999999999995</v>
      </c>
      <c r="J483">
        <f>0.117416936406869*(100)</f>
        <v>11.741693640686899</v>
      </c>
      <c r="K483">
        <f>0.110801171312367*(100)</f>
        <v>11.080117131236699</v>
      </c>
      <c r="L483" s="2">
        <v>3.2804000000000002</v>
      </c>
      <c r="M483" s="2">
        <v>1.1498999999999999</v>
      </c>
      <c r="N483" s="2">
        <v>2.7435</v>
      </c>
      <c r="O483" s="2">
        <v>0.65469999999999995</v>
      </c>
      <c r="P483" s="2">
        <v>2.7406999999999999</v>
      </c>
      <c r="Q483" s="2">
        <v>-1.0500000000000001E-2</v>
      </c>
      <c r="R483" s="2">
        <v>-40.417828841123097</v>
      </c>
      <c r="S483" s="2">
        <v>0.55019277094303198</v>
      </c>
      <c r="T483" s="2">
        <v>2.8334211591232501</v>
      </c>
      <c r="U483" s="2">
        <v>68.001999999999995</v>
      </c>
      <c r="V483" s="2">
        <v>12.7842068838603</v>
      </c>
      <c r="W483" s="2">
        <v>1.26612390420069</v>
      </c>
      <c r="X483" s="2">
        <v>83.894910073447505</v>
      </c>
      <c r="Y483" s="2">
        <v>11.539985474859501</v>
      </c>
      <c r="Z483" s="4">
        <v>6</v>
      </c>
      <c r="AA483" s="4">
        <v>8.6999999999999993</v>
      </c>
      <c r="AB483" s="2">
        <v>2.9</v>
      </c>
      <c r="AC483" s="2">
        <v>15.6</v>
      </c>
      <c r="AD483" s="2">
        <v>5.5999999999999943</v>
      </c>
      <c r="AE483" s="2">
        <v>0</v>
      </c>
    </row>
    <row r="484" spans="1:31" x14ac:dyDescent="0.25">
      <c r="A484" s="2" t="s">
        <v>531</v>
      </c>
      <c r="B484" s="2">
        <v>2020</v>
      </c>
      <c r="C484" s="2" t="s">
        <v>532</v>
      </c>
      <c r="D484" s="2" t="s">
        <v>321</v>
      </c>
      <c r="E484" s="2">
        <v>4.9371</v>
      </c>
      <c r="F484" s="2">
        <v>7.4523000000000001</v>
      </c>
      <c r="G484" s="2">
        <v>4.5247999999999999</v>
      </c>
      <c r="H484" s="2">
        <v>1.0486</v>
      </c>
      <c r="I484" s="2">
        <v>0.75360000000000005</v>
      </c>
      <c r="J484">
        <f>0.135722630245695*(100)</f>
        <v>13.5722630245695</v>
      </c>
      <c r="K484">
        <f>0.332392610380721*(100)</f>
        <v>33.239261038072101</v>
      </c>
      <c r="L484" s="2">
        <v>3.6436000000000002</v>
      </c>
      <c r="M484" s="2">
        <v>1.4329000000000001</v>
      </c>
      <c r="N484" s="2">
        <v>3.0106999999999999</v>
      </c>
      <c r="O484" s="2">
        <v>0.78959999999999997</v>
      </c>
      <c r="P484" s="2">
        <v>3.6781999999999999</v>
      </c>
      <c r="Q484" s="2">
        <v>26.023599999999998</v>
      </c>
      <c r="R484" s="2">
        <v>183.83052749666399</v>
      </c>
      <c r="S484" s="2">
        <v>2.7477429096582799</v>
      </c>
      <c r="T484" s="2">
        <v>0.19728767456858501</v>
      </c>
      <c r="U484" s="2">
        <v>67.936099999999996</v>
      </c>
      <c r="V484" s="2">
        <v>14.9901077430039</v>
      </c>
      <c r="W484" s="2">
        <v>1.18080719440751</v>
      </c>
      <c r="X484" s="2">
        <v>88.549782640153992</v>
      </c>
      <c r="Y484" s="2">
        <v>28.986805431249902</v>
      </c>
      <c r="Z484" s="4">
        <v>2.2999999999999998</v>
      </c>
      <c r="AA484" s="4">
        <v>10.100000000000001</v>
      </c>
      <c r="AB484" s="2">
        <v>2.5</v>
      </c>
      <c r="AC484" s="2">
        <v>16.100000000000001</v>
      </c>
      <c r="AD484" s="2">
        <v>-0.90000000000000568</v>
      </c>
      <c r="AE484" s="2">
        <v>0</v>
      </c>
    </row>
    <row r="485" spans="1:31" x14ac:dyDescent="0.25">
      <c r="A485" s="2" t="s">
        <v>533</v>
      </c>
      <c r="B485" s="2">
        <v>2014</v>
      </c>
      <c r="C485" s="2" t="s">
        <v>534</v>
      </c>
      <c r="D485" s="2" t="s">
        <v>321</v>
      </c>
      <c r="E485" s="2">
        <v>5.5277000000000003</v>
      </c>
      <c r="F485" s="2">
        <v>9.2913999999999994</v>
      </c>
      <c r="G485" s="2">
        <v>12.0481</v>
      </c>
      <c r="H485" s="2">
        <v>1.3324</v>
      </c>
      <c r="I485" s="2">
        <v>1.2009000000000001</v>
      </c>
      <c r="J485">
        <f>0.921440315435568*(100)</f>
        <v>92.144031543556807</v>
      </c>
      <c r="K485">
        <f>0.0421621997898454*(100)</f>
        <v>4.2162199789845403</v>
      </c>
      <c r="L485" s="2">
        <v>8.0729000000000006</v>
      </c>
      <c r="M485" s="2">
        <v>0.8367</v>
      </c>
      <c r="N485" s="2">
        <v>3.0868000000000002</v>
      </c>
      <c r="O485" s="2">
        <v>0.37259999999999999</v>
      </c>
      <c r="P485" s="2">
        <v>21.474900000000002</v>
      </c>
      <c r="Q485" s="2">
        <v>18.867899999999999</v>
      </c>
      <c r="R485" s="2">
        <v>15.032194364767699</v>
      </c>
      <c r="S485" s="2">
        <v>7.8360833489467998</v>
      </c>
      <c r="T485" s="2">
        <v>6.1984329113358596</v>
      </c>
      <c r="U485" s="2">
        <v>42.047199999999997</v>
      </c>
      <c r="V485" s="2">
        <v>9.5519148089769992</v>
      </c>
      <c r="W485" s="2">
        <v>4.5711026267642598</v>
      </c>
      <c r="X485" s="2">
        <v>119.37832506071101</v>
      </c>
      <c r="Y485" s="2">
        <v>1.5532848875657801</v>
      </c>
      <c r="Z485" s="4">
        <v>7.3</v>
      </c>
      <c r="AA485" s="4">
        <v>12.2</v>
      </c>
      <c r="AB485" s="2">
        <v>2</v>
      </c>
      <c r="AC485" s="2">
        <v>16.899999999999999</v>
      </c>
      <c r="AD485" s="2">
        <v>10.299999999999997</v>
      </c>
      <c r="AE485" s="2">
        <v>0</v>
      </c>
    </row>
    <row r="486" spans="1:31" x14ac:dyDescent="0.25">
      <c r="A486" s="2" t="s">
        <v>533</v>
      </c>
      <c r="B486" s="2">
        <v>2015</v>
      </c>
      <c r="C486" s="2" t="s">
        <v>534</v>
      </c>
      <c r="D486" s="2" t="s">
        <v>321</v>
      </c>
      <c r="E486" s="2">
        <v>7.1992000000000003</v>
      </c>
      <c r="F486" s="2">
        <v>11.452400000000001</v>
      </c>
      <c r="G486" s="2">
        <v>13.817299999999999</v>
      </c>
      <c r="H486" s="2">
        <v>1.5004</v>
      </c>
      <c r="I486" s="2">
        <v>1.3972</v>
      </c>
      <c r="J486">
        <f>0.967295577506789*(100)</f>
        <v>96.729557750678893</v>
      </c>
      <c r="K486">
        <f>0.183271834977549*(100)</f>
        <v>18.327183497754902</v>
      </c>
      <c r="L486" s="2">
        <v>10.818899999999999</v>
      </c>
      <c r="M486" s="2">
        <v>1.0701000000000001</v>
      </c>
      <c r="N486" s="2">
        <v>3.7084999999999999</v>
      </c>
      <c r="O486" s="2">
        <v>0.45440000000000003</v>
      </c>
      <c r="P486" s="2">
        <v>32.837200000000003</v>
      </c>
      <c r="Q486" s="2">
        <v>31.428599999999999</v>
      </c>
      <c r="R486" s="2">
        <v>36.454980660799301</v>
      </c>
      <c r="S486" s="2">
        <v>7.6214624188206601</v>
      </c>
      <c r="T486" s="2">
        <v>9.0194252035724194</v>
      </c>
      <c r="U486" s="2">
        <v>41.283499999999997</v>
      </c>
      <c r="V486" s="2">
        <v>13.480622973138502</v>
      </c>
      <c r="W486" s="2">
        <v>4.9657287333085902</v>
      </c>
      <c r="X486" s="2">
        <v>117.43476939116199</v>
      </c>
      <c r="Y486" s="2">
        <v>13.225523631782199</v>
      </c>
      <c r="Z486" s="4">
        <v>6.9099999999999993</v>
      </c>
      <c r="AA486" s="4">
        <v>13.3</v>
      </c>
      <c r="AB486" s="2">
        <v>1.4</v>
      </c>
      <c r="AC486" s="2">
        <v>17.600000000000001</v>
      </c>
      <c r="AD486" s="2">
        <v>6.7000000000000028</v>
      </c>
      <c r="AE486" s="2">
        <v>0</v>
      </c>
    </row>
    <row r="487" spans="1:31" x14ac:dyDescent="0.25">
      <c r="A487" s="2" t="s">
        <v>535</v>
      </c>
      <c r="B487" s="2">
        <v>2016</v>
      </c>
      <c r="C487" s="2" t="s">
        <v>536</v>
      </c>
      <c r="D487" s="2" t="s">
        <v>328</v>
      </c>
      <c r="E487" s="2">
        <v>3.7584</v>
      </c>
      <c r="F487" s="2">
        <v>3.2545000000000002</v>
      </c>
      <c r="G487" s="2">
        <v>5.57</v>
      </c>
      <c r="H487" s="2">
        <v>0.66930000000000001</v>
      </c>
      <c r="I487" s="2">
        <v>0.63759999999999994</v>
      </c>
      <c r="J487">
        <f>0.448488865051141*(100)</f>
        <v>44.848886505114102</v>
      </c>
      <c r="K487">
        <f>0.123115719579549*(100)</f>
        <v>12.3115719579549</v>
      </c>
      <c r="L487" s="2">
        <v>22.4651</v>
      </c>
      <c r="M487" s="2">
        <v>1.4490000000000001</v>
      </c>
      <c r="N487" s="2">
        <v>1.5472999999999999</v>
      </c>
      <c r="O487" s="2">
        <v>0.49559999999999998</v>
      </c>
      <c r="P487" s="2">
        <v>5.0856000000000003</v>
      </c>
      <c r="Q487" s="2">
        <v>10.597</v>
      </c>
      <c r="R487" s="2">
        <v>2063.95385930372</v>
      </c>
      <c r="S487" s="2">
        <v>23.5674976268931</v>
      </c>
      <c r="T487" s="2">
        <v>5.1379313890726896</v>
      </c>
      <c r="U487" s="2">
        <v>66.430199999999999</v>
      </c>
      <c r="V487" s="2">
        <v>12.632261487696599</v>
      </c>
      <c r="W487" s="2">
        <v>0.98098367561136302</v>
      </c>
      <c r="X487" s="2">
        <v>77.934905735742802</v>
      </c>
      <c r="Y487" s="2">
        <v>18.277144536007402</v>
      </c>
      <c r="Z487" s="4">
        <v>6.7</v>
      </c>
      <c r="AA487" s="4">
        <v>11.3</v>
      </c>
      <c r="AB487" s="2">
        <v>2</v>
      </c>
      <c r="AC487" s="2">
        <v>15.9</v>
      </c>
      <c r="AD487" s="2">
        <v>7.7000000000000028</v>
      </c>
      <c r="AE487" s="2">
        <v>0</v>
      </c>
    </row>
    <row r="488" spans="1:31" x14ac:dyDescent="0.25">
      <c r="A488" s="2" t="s">
        <v>535</v>
      </c>
      <c r="B488" s="2">
        <v>2017</v>
      </c>
      <c r="C488" s="2" t="s">
        <v>536</v>
      </c>
      <c r="D488" s="2" t="s">
        <v>328</v>
      </c>
      <c r="E488" s="2">
        <v>7.9794999999999998</v>
      </c>
      <c r="F488" s="2">
        <v>11.492000000000001</v>
      </c>
      <c r="G488" s="2">
        <v>9.8274000000000008</v>
      </c>
      <c r="H488" s="2">
        <v>0.55640000000000001</v>
      </c>
      <c r="I488" s="2">
        <v>0.52710000000000001</v>
      </c>
      <c r="J488">
        <f>0.363432225381226*(100)</f>
        <v>36.343222538122596</v>
      </c>
      <c r="K488">
        <f>0.10893769848427*(100)</f>
        <v>10.893769848427</v>
      </c>
      <c r="L488" s="2">
        <v>31.817499999999999</v>
      </c>
      <c r="M488" s="2">
        <v>2.0093000000000001</v>
      </c>
      <c r="N488" s="2">
        <v>1.7194</v>
      </c>
      <c r="O488" s="2">
        <v>0.67130000000000001</v>
      </c>
      <c r="P488" s="2">
        <v>8.5664999999999996</v>
      </c>
      <c r="Q488" s="2">
        <v>50.000399999999999</v>
      </c>
      <c r="R488" s="2">
        <v>272.57282739946902</v>
      </c>
      <c r="S488" s="2">
        <v>0.418535108440377</v>
      </c>
      <c r="T488" s="2">
        <v>10.914614571576299</v>
      </c>
      <c r="U488" s="2">
        <v>62.772599999999997</v>
      </c>
      <c r="V488" s="2">
        <v>7.3777386329275592</v>
      </c>
      <c r="W488" s="2">
        <v>0.84905614374959104</v>
      </c>
      <c r="X488" s="2">
        <v>102.524828417354</v>
      </c>
      <c r="Y488" s="2">
        <v>10.2080422388964</v>
      </c>
      <c r="Z488" s="4">
        <v>6.9</v>
      </c>
      <c r="AA488" s="4">
        <v>8.2000000000000011</v>
      </c>
      <c r="AB488" s="2">
        <v>1.6</v>
      </c>
      <c r="AC488" s="2">
        <v>16.3</v>
      </c>
      <c r="AD488" s="2">
        <v>7.7999999999999972</v>
      </c>
      <c r="AE488" s="2">
        <v>0</v>
      </c>
    </row>
    <row r="489" spans="1:31" x14ac:dyDescent="0.25">
      <c r="A489" s="2" t="s">
        <v>537</v>
      </c>
      <c r="B489" s="2">
        <v>2015</v>
      </c>
      <c r="C489" s="2" t="s">
        <v>538</v>
      </c>
      <c r="D489" s="2" t="s">
        <v>328</v>
      </c>
      <c r="E489" s="2">
        <v>2.8313000000000001</v>
      </c>
      <c r="F489" s="2">
        <v>2.5524</v>
      </c>
      <c r="G489" s="2">
        <v>3.7719</v>
      </c>
      <c r="H489" s="2">
        <v>0.58030000000000004</v>
      </c>
      <c r="I489" s="2">
        <v>0.28179999999999999</v>
      </c>
      <c r="J489">
        <f>0.0588676623058463*(100)</f>
        <v>5.8867662305846302</v>
      </c>
      <c r="K489">
        <f>0.0484911470637381*(100)</f>
        <v>4.8491147063738103</v>
      </c>
      <c r="L489" s="2">
        <v>1.6069</v>
      </c>
      <c r="M489" s="2">
        <v>1.0162</v>
      </c>
      <c r="N489" s="2">
        <v>0.9335</v>
      </c>
      <c r="O489" s="2">
        <v>0.22220000000000001</v>
      </c>
      <c r="P489" s="2">
        <v>5.9336000000000002</v>
      </c>
      <c r="Q489" s="2">
        <v>-19.653300000000002</v>
      </c>
      <c r="R489" s="2">
        <v>35.0080505495227</v>
      </c>
      <c r="S489" s="2">
        <v>41.865784291511197</v>
      </c>
      <c r="T489" s="2">
        <v>46.657288060425103</v>
      </c>
      <c r="U489" s="2">
        <v>38.0015</v>
      </c>
      <c r="V489" s="2">
        <v>7.7307201961200809</v>
      </c>
      <c r="W489" s="2">
        <v>3.1631370614718599</v>
      </c>
      <c r="X489" s="2">
        <v>96.311503271543401</v>
      </c>
      <c r="Y489" s="2">
        <v>9.7285223715027396</v>
      </c>
      <c r="Z489" s="4">
        <v>6.9099999999999993</v>
      </c>
      <c r="AA489" s="4">
        <v>13.3</v>
      </c>
      <c r="AB489" s="2">
        <v>1.4</v>
      </c>
      <c r="AC489" s="2">
        <v>17.600000000000001</v>
      </c>
      <c r="AD489" s="2">
        <v>5.7000000000000028</v>
      </c>
      <c r="AE489" s="2">
        <v>0</v>
      </c>
    </row>
    <row r="490" spans="1:31" x14ac:dyDescent="0.25">
      <c r="A490" s="2" t="s">
        <v>537</v>
      </c>
      <c r="B490" s="2">
        <v>2016</v>
      </c>
      <c r="C490" s="2" t="s">
        <v>538</v>
      </c>
      <c r="D490" s="2" t="s">
        <v>590</v>
      </c>
      <c r="E490" s="2">
        <v>2.6143999999999998</v>
      </c>
      <c r="F490" s="2">
        <v>2.1722000000000001</v>
      </c>
      <c r="G490" s="2">
        <v>5.9756999999999998</v>
      </c>
      <c r="H490" s="2">
        <v>0.49020000000000002</v>
      </c>
      <c r="I490" s="2">
        <v>0.20230000000000001</v>
      </c>
      <c r="J490">
        <f>0.0640153287374696*(100)</f>
        <v>6.4015328737469597</v>
      </c>
      <c r="K490">
        <f>0.084493926687785*(100)</f>
        <v>8.4493926687785006</v>
      </c>
      <c r="L490" s="2">
        <v>1.5685</v>
      </c>
      <c r="M490" s="2">
        <v>1.1916</v>
      </c>
      <c r="N490" s="2">
        <v>1.0111000000000001</v>
      </c>
      <c r="O490" s="2">
        <v>0.21099999999999999</v>
      </c>
      <c r="P490" s="2">
        <v>7.4656000000000002</v>
      </c>
      <c r="Q490" s="2">
        <v>17.1935</v>
      </c>
      <c r="R490" s="2">
        <v>-0.37850641698888399</v>
      </c>
      <c r="S490" s="2">
        <v>12.0664796323445</v>
      </c>
      <c r="T490" s="2">
        <v>2.3115638090054502</v>
      </c>
      <c r="U490" s="2">
        <v>43.626100000000001</v>
      </c>
      <c r="V490" s="2">
        <v>7.2582437946711904</v>
      </c>
      <c r="W490" s="2">
        <v>2.5634624388051801</v>
      </c>
      <c r="X490" s="2">
        <v>99.37974178465781</v>
      </c>
      <c r="Y490" s="2">
        <v>18.4679592717848</v>
      </c>
      <c r="Z490" s="4">
        <v>6.7</v>
      </c>
      <c r="AA490" s="4">
        <v>11.3</v>
      </c>
      <c r="AB490" s="2">
        <v>2</v>
      </c>
      <c r="AC490" s="2">
        <v>15.9</v>
      </c>
      <c r="AD490" s="2">
        <v>7.7000000000000028</v>
      </c>
      <c r="AE490" s="2">
        <v>0</v>
      </c>
    </row>
    <row r="491" spans="1:31" x14ac:dyDescent="0.25">
      <c r="A491" s="2" t="s">
        <v>537</v>
      </c>
      <c r="B491" s="2">
        <v>2020</v>
      </c>
      <c r="C491" s="2" t="s">
        <v>538</v>
      </c>
      <c r="D491" s="2" t="s">
        <v>328</v>
      </c>
      <c r="E491" s="2">
        <v>1.3735999999999999</v>
      </c>
      <c r="F491" s="2">
        <v>0.86529999999999996</v>
      </c>
      <c r="G491" s="2">
        <v>1.7189000000000001</v>
      </c>
      <c r="H491" s="2">
        <v>0.56579999999999997</v>
      </c>
      <c r="I491" s="2">
        <v>0.1903</v>
      </c>
      <c r="J491">
        <f>0.0614719047829322*(100)</f>
        <v>6.1471904782932203</v>
      </c>
      <c r="K491">
        <f>0.0764562156671556*(100)</f>
        <v>7.64562156671556</v>
      </c>
      <c r="L491" s="2">
        <v>1.8357000000000001</v>
      </c>
      <c r="M491" s="2">
        <v>1.3992</v>
      </c>
      <c r="N491" s="2">
        <v>0.95309999999999995</v>
      </c>
      <c r="O491" s="2">
        <v>0.24399999999999999</v>
      </c>
      <c r="P491" s="2">
        <v>60.063699999999997</v>
      </c>
      <c r="Q491" s="2">
        <v>-1.9938</v>
      </c>
      <c r="R491" s="2">
        <v>-36.975884077882498</v>
      </c>
      <c r="S491" s="2">
        <v>2.3887224265776301</v>
      </c>
      <c r="T491" s="2">
        <v>0.83618574959300396</v>
      </c>
      <c r="U491" s="2">
        <v>38.011400000000002</v>
      </c>
      <c r="V491" s="2">
        <v>9.7306344110455196</v>
      </c>
      <c r="W491" s="2">
        <v>3.6289802548393002</v>
      </c>
      <c r="X491" s="2">
        <v>89.881533863172706</v>
      </c>
      <c r="Y491" s="2">
        <v>12.050325110025099</v>
      </c>
      <c r="Z491" s="4">
        <v>2.2999999999999998</v>
      </c>
      <c r="AA491" s="4">
        <v>10.100000000000001</v>
      </c>
      <c r="AB491" s="2">
        <v>2.5</v>
      </c>
      <c r="AC491" s="2">
        <v>16.100000000000001</v>
      </c>
      <c r="AD491" s="2">
        <v>3.7000000000000028</v>
      </c>
      <c r="AE491" s="2">
        <v>0</v>
      </c>
    </row>
    <row r="492" spans="1:31" x14ac:dyDescent="0.25">
      <c r="A492" s="2" t="s">
        <v>537</v>
      </c>
      <c r="B492" s="2">
        <v>2021</v>
      </c>
      <c r="C492" s="2" t="s">
        <v>538</v>
      </c>
      <c r="D492" s="2" t="s">
        <v>328</v>
      </c>
      <c r="E492" s="2">
        <v>2.593</v>
      </c>
      <c r="F492" s="2">
        <v>2.4073000000000002</v>
      </c>
      <c r="G492" s="2">
        <v>4.9238</v>
      </c>
      <c r="H492" s="2">
        <v>0.50570000000000004</v>
      </c>
      <c r="I492" s="2">
        <v>0.16830000000000001</v>
      </c>
      <c r="J492">
        <f>0.0736697838542729*(100)</f>
        <v>7.3669783854272906</v>
      </c>
      <c r="K492">
        <f>0.137419481798755*(100)</f>
        <v>13.741948179875498</v>
      </c>
      <c r="L492" s="2">
        <v>2.6383000000000001</v>
      </c>
      <c r="M492" s="2">
        <v>2.1126999999999998</v>
      </c>
      <c r="N492" s="2">
        <v>1.9154</v>
      </c>
      <c r="O492" s="2">
        <v>0.31019999999999998</v>
      </c>
      <c r="P492" s="2">
        <v>64.788899999999998</v>
      </c>
      <c r="Q492" s="2">
        <v>33.560499999999998</v>
      </c>
      <c r="R492" s="2">
        <v>275.35114728974003</v>
      </c>
      <c r="S492" s="2">
        <v>8.0234362764617408</v>
      </c>
      <c r="T492" s="2">
        <v>2.1836287532923402</v>
      </c>
      <c r="U492" s="2">
        <v>41.308799999999998</v>
      </c>
      <c r="V492" s="2">
        <v>14.681426219562599</v>
      </c>
      <c r="W492" s="2">
        <v>3.8168456667155999</v>
      </c>
      <c r="X492" s="2">
        <v>91.669393557829508</v>
      </c>
      <c r="Y492" s="2">
        <v>19.004273658544399</v>
      </c>
      <c r="Z492" s="4">
        <v>8.4</v>
      </c>
      <c r="AA492" s="4">
        <v>9</v>
      </c>
      <c r="AB492" s="2">
        <v>0.9</v>
      </c>
      <c r="AC492" s="2">
        <v>20.9</v>
      </c>
      <c r="AD492" s="2">
        <v>10.400000000000006</v>
      </c>
      <c r="AE492" s="2">
        <v>0</v>
      </c>
    </row>
    <row r="493" spans="1:31" x14ac:dyDescent="0.25">
      <c r="A493" s="2" t="s">
        <v>539</v>
      </c>
      <c r="B493" s="2">
        <v>2016</v>
      </c>
      <c r="C493" s="2" t="s">
        <v>540</v>
      </c>
      <c r="D493" s="2" t="s">
        <v>328</v>
      </c>
      <c r="E493" s="2">
        <v>4.1212999999999997</v>
      </c>
      <c r="F493" s="2">
        <v>7.4493</v>
      </c>
      <c r="G493" s="2">
        <v>4.8159000000000001</v>
      </c>
      <c r="H493" s="2">
        <v>0.68010000000000004</v>
      </c>
      <c r="I493" s="2">
        <v>0.61140000000000005</v>
      </c>
      <c r="J493">
        <f>0.529767236830862*(100)</f>
        <v>52.976723683086199</v>
      </c>
      <c r="K493">
        <f>0.132166821626044*(100)</f>
        <v>13.216682162604402</v>
      </c>
      <c r="L493" s="2">
        <v>10.811199999999999</v>
      </c>
      <c r="M493" s="2">
        <v>1.2788999999999999</v>
      </c>
      <c r="N493" s="2">
        <v>0.71399999999999997</v>
      </c>
      <c r="O493" s="2">
        <v>0.40010000000000001</v>
      </c>
      <c r="P493" s="2">
        <v>14.2036</v>
      </c>
      <c r="Q493" s="2">
        <v>18.332799999999999</v>
      </c>
      <c r="R493" s="2">
        <v>133.090457537101</v>
      </c>
      <c r="S493" s="2">
        <v>7.7019080627145504</v>
      </c>
      <c r="T493" s="2">
        <v>16.6796201904051</v>
      </c>
      <c r="U493" s="2">
        <v>69.693799999999996</v>
      </c>
      <c r="V493" s="2">
        <v>22.476241132855399</v>
      </c>
      <c r="W493" s="2">
        <v>0.52768947790577503</v>
      </c>
      <c r="X493" s="2">
        <v>82.992230810070495</v>
      </c>
      <c r="Y493" s="2">
        <v>23.878497017543701</v>
      </c>
      <c r="Z493" s="4">
        <v>6.7</v>
      </c>
      <c r="AA493" s="4">
        <v>11.3</v>
      </c>
      <c r="AB493" s="2">
        <v>2</v>
      </c>
      <c r="AC493" s="2">
        <v>15.9</v>
      </c>
      <c r="AD493" s="2">
        <v>7.7000000000000028</v>
      </c>
      <c r="AE493" s="2">
        <v>0</v>
      </c>
    </row>
    <row r="494" spans="1:31" x14ac:dyDescent="0.25">
      <c r="A494" s="2" t="s">
        <v>539</v>
      </c>
      <c r="B494" s="2">
        <v>2017</v>
      </c>
      <c r="C494" s="2" t="s">
        <v>540</v>
      </c>
      <c r="D494" s="2" t="s">
        <v>328</v>
      </c>
      <c r="E494" s="2">
        <v>6.3536000000000001</v>
      </c>
      <c r="F494" s="2">
        <v>12.046799999999999</v>
      </c>
      <c r="G494" s="2">
        <v>8.1008999999999993</v>
      </c>
      <c r="H494" s="2">
        <v>0.79090000000000005</v>
      </c>
      <c r="I494" s="2">
        <v>0.70950000000000002</v>
      </c>
      <c r="J494">
        <f>0.56649011852489*(100)</f>
        <v>56.649011852488997</v>
      </c>
      <c r="K494">
        <f>0.0925582666512738*(100)</f>
        <v>9.2558266651273797</v>
      </c>
      <c r="L494" s="2">
        <v>11.652100000000001</v>
      </c>
      <c r="M494" s="2">
        <v>1.5147999999999999</v>
      </c>
      <c r="N494" s="2">
        <v>0.90149999999999997</v>
      </c>
      <c r="O494" s="2">
        <v>0.51090000000000002</v>
      </c>
      <c r="P494" s="2">
        <v>15.154299999999999</v>
      </c>
      <c r="Q494" s="2">
        <v>34.249899999999997</v>
      </c>
      <c r="R494" s="2">
        <v>93.724664007487704</v>
      </c>
      <c r="S494" s="2">
        <v>11.037564915048399</v>
      </c>
      <c r="T494" s="2">
        <v>5.3527692542240697</v>
      </c>
      <c r="U494" s="2">
        <v>68.162999999999997</v>
      </c>
      <c r="V494" s="2">
        <v>23.709755098584701</v>
      </c>
      <c r="W494" s="2">
        <v>0.56731946245015896</v>
      </c>
      <c r="X494" s="2">
        <v>79.289282711964105</v>
      </c>
      <c r="Y494" s="2">
        <v>13.096069542751401</v>
      </c>
      <c r="Z494" s="4">
        <v>6.9</v>
      </c>
      <c r="AA494" s="4">
        <v>8.2000000000000011</v>
      </c>
      <c r="AB494" s="2">
        <v>1.6</v>
      </c>
      <c r="AC494" s="2">
        <v>16.3</v>
      </c>
      <c r="AD494" s="2">
        <v>7.7999999999999972</v>
      </c>
      <c r="AE494" s="2">
        <v>0</v>
      </c>
    </row>
    <row r="495" spans="1:31" x14ac:dyDescent="0.25">
      <c r="A495" s="2" t="s">
        <v>541</v>
      </c>
      <c r="B495" s="2">
        <v>2017</v>
      </c>
      <c r="C495" s="2" t="s">
        <v>542</v>
      </c>
      <c r="D495" s="2" t="s">
        <v>543</v>
      </c>
      <c r="E495" s="2">
        <v>11.0977</v>
      </c>
      <c r="F495" s="2">
        <v>21.593599999999999</v>
      </c>
      <c r="G495" s="2">
        <v>31.439499999999999</v>
      </c>
      <c r="H495" s="2">
        <v>0.97319999999999995</v>
      </c>
      <c r="I495" s="2">
        <v>0.8135</v>
      </c>
      <c r="J495">
        <f>0.501909197052126*(100)</f>
        <v>50.1909197052126</v>
      </c>
      <c r="K495">
        <f>0.172469722752271*(100)</f>
        <v>17.246972275227098</v>
      </c>
      <c r="L495" s="2">
        <v>4.0552000000000001</v>
      </c>
      <c r="M495" s="2">
        <v>0.7581</v>
      </c>
      <c r="N495" s="2">
        <v>0.5837</v>
      </c>
      <c r="O495" s="2">
        <v>0.28039999999999998</v>
      </c>
      <c r="P495" s="2">
        <v>2.0350999999999999</v>
      </c>
      <c r="Q495" s="2">
        <v>55.6584</v>
      </c>
      <c r="R495" s="2">
        <v>25.242167117965</v>
      </c>
      <c r="S495" s="2">
        <v>18.093981665598001</v>
      </c>
      <c r="T495" s="2">
        <v>130.37165431065</v>
      </c>
      <c r="U495" s="2">
        <v>55.651400000000002</v>
      </c>
      <c r="V495" s="2">
        <v>11.512185405128101</v>
      </c>
      <c r="W495" s="2">
        <v>1.0036582426063601</v>
      </c>
      <c r="X495" s="2">
        <v>64.543727128938897</v>
      </c>
      <c r="Y495" s="2">
        <v>37.070810305099599</v>
      </c>
      <c r="Z495" s="4">
        <v>6.9</v>
      </c>
      <c r="AA495" s="4">
        <v>8.2000000000000011</v>
      </c>
      <c r="AB495" s="2">
        <v>1.6</v>
      </c>
      <c r="AC495" s="2">
        <v>16.3</v>
      </c>
      <c r="AD495" s="2">
        <v>7.7999999999999972</v>
      </c>
      <c r="AE495" s="2">
        <v>0</v>
      </c>
    </row>
    <row r="496" spans="1:31" x14ac:dyDescent="0.25">
      <c r="A496" s="2" t="s">
        <v>541</v>
      </c>
      <c r="B496" s="2">
        <v>2018</v>
      </c>
      <c r="C496" s="2" t="s">
        <v>542</v>
      </c>
      <c r="D496" s="2" t="s">
        <v>543</v>
      </c>
      <c r="E496" s="2">
        <v>12.367800000000001</v>
      </c>
      <c r="F496" s="2">
        <v>19.385100000000001</v>
      </c>
      <c r="G496" s="2">
        <v>35.195799999999998</v>
      </c>
      <c r="H496" s="2">
        <v>1.4354</v>
      </c>
      <c r="I496" s="2">
        <v>1.3858999999999999</v>
      </c>
      <c r="J496">
        <f>0.502016823786125*(100)</f>
        <v>50.201682378612503</v>
      </c>
      <c r="K496">
        <f>0.170811580659761*(100)</f>
        <v>17.081158065976098</v>
      </c>
      <c r="L496" s="2">
        <v>4.4642999999999997</v>
      </c>
      <c r="M496" s="2">
        <v>0.68310000000000004</v>
      </c>
      <c r="N496" s="2">
        <v>0.70620000000000005</v>
      </c>
      <c r="O496" s="2">
        <v>0.3044</v>
      </c>
      <c r="P496" s="2">
        <v>1.5497000000000001</v>
      </c>
      <c r="Q496" s="2">
        <v>22.857399999999998</v>
      </c>
      <c r="R496" s="2">
        <v>40.410594674560997</v>
      </c>
      <c r="S496" s="2">
        <v>8.5161161434527699</v>
      </c>
      <c r="T496" s="2">
        <v>21.4986147338339</v>
      </c>
      <c r="U496" s="2">
        <v>50.7515</v>
      </c>
      <c r="V496" s="2">
        <v>18.677620929006199</v>
      </c>
      <c r="W496" s="2">
        <v>1.16966230817999</v>
      </c>
      <c r="X496" s="2">
        <v>51.5047353690017</v>
      </c>
      <c r="Y496" s="2">
        <v>29.643463085870099</v>
      </c>
      <c r="Z496" s="4">
        <v>6.6000000000000005</v>
      </c>
      <c r="AA496" s="4">
        <v>8.1</v>
      </c>
      <c r="AB496" s="2">
        <v>2.1</v>
      </c>
      <c r="AC496" s="2">
        <v>12.5</v>
      </c>
      <c r="AD496" s="2">
        <v>6.0999999999999943</v>
      </c>
      <c r="AE496" s="2">
        <v>0</v>
      </c>
    </row>
    <row r="497" spans="1:31" x14ac:dyDescent="0.25">
      <c r="A497" s="2" t="s">
        <v>544</v>
      </c>
      <c r="B497" s="2">
        <v>2014</v>
      </c>
      <c r="C497" s="2" t="s">
        <v>545</v>
      </c>
      <c r="D497" s="2" t="s">
        <v>304</v>
      </c>
      <c r="E497" s="2">
        <v>3.0531999999999999</v>
      </c>
      <c r="F497" s="2">
        <v>6.2173999999999996</v>
      </c>
      <c r="G497" s="2">
        <v>1.3689</v>
      </c>
      <c r="H497" s="2">
        <v>1.1153</v>
      </c>
      <c r="I497" s="2">
        <v>0.93400000000000005</v>
      </c>
      <c r="J497">
        <f>0.624923957351651*(100)</f>
        <v>62.492395735165097</v>
      </c>
      <c r="K497">
        <f>-0.0451285063794693*(100)</f>
        <v>-4.5128506379469302</v>
      </c>
      <c r="L497" s="2">
        <v>10.251799999999999</v>
      </c>
      <c r="M497" s="2">
        <v>2.4597000000000002</v>
      </c>
      <c r="N497" s="2">
        <v>12.764799999999999</v>
      </c>
      <c r="O497" s="2">
        <v>1.4017999999999999</v>
      </c>
      <c r="P497" s="2">
        <v>29.896899999999999</v>
      </c>
      <c r="Q497" s="2">
        <v>41.68</v>
      </c>
      <c r="R497" s="2">
        <v>9.49781503091336</v>
      </c>
      <c r="S497" s="2">
        <v>46.8095068471631</v>
      </c>
      <c r="T497" s="2">
        <v>86.920072266716005</v>
      </c>
      <c r="U497" s="2">
        <v>70.520499999999998</v>
      </c>
      <c r="V497" s="2">
        <v>22.520936336598901</v>
      </c>
      <c r="W497" s="2">
        <v>3.2668176189482501</v>
      </c>
      <c r="X497" s="2">
        <v>105.3501369666</v>
      </c>
      <c r="Y497" s="2">
        <v>-2.7008156819026503</v>
      </c>
      <c r="Z497" s="4">
        <v>7.3</v>
      </c>
      <c r="AA497" s="4">
        <v>12.2</v>
      </c>
      <c r="AB497" s="2">
        <v>2</v>
      </c>
      <c r="AC497" s="2">
        <v>16.899999999999999</v>
      </c>
      <c r="AD497" s="2">
        <v>10.299999999999997</v>
      </c>
      <c r="AE497" s="2">
        <v>0</v>
      </c>
    </row>
    <row r="498" spans="1:31" x14ac:dyDescent="0.25">
      <c r="A498" s="2" t="s">
        <v>544</v>
      </c>
      <c r="B498" s="2">
        <v>2015</v>
      </c>
      <c r="C498" s="2" t="s">
        <v>545</v>
      </c>
      <c r="D498" s="2" t="s">
        <v>304</v>
      </c>
      <c r="E498" s="2">
        <v>4.7112999999999996</v>
      </c>
      <c r="F498" s="2">
        <v>13.457000000000001</v>
      </c>
      <c r="G498" s="2">
        <v>2.8603999999999998</v>
      </c>
      <c r="H498" s="2">
        <v>0.86629999999999996</v>
      </c>
      <c r="I498" s="2">
        <v>0.73960000000000004</v>
      </c>
      <c r="J498">
        <f>0.458856146861572*(100)</f>
        <v>45.885614686157197</v>
      </c>
      <c r="K498">
        <f>0.0402563833740139*(100)</f>
        <v>4.0256383374013902</v>
      </c>
      <c r="L498" s="2">
        <v>16.7471</v>
      </c>
      <c r="M498" s="2">
        <v>2.7381000000000002</v>
      </c>
      <c r="N498" s="2">
        <v>17.082699999999999</v>
      </c>
      <c r="O498" s="2">
        <v>1.3129</v>
      </c>
      <c r="P498" s="2">
        <v>38.290700000000001</v>
      </c>
      <c r="Q498" s="2">
        <v>29.150400000000001</v>
      </c>
      <c r="R498" s="2">
        <v>194.44350878532401</v>
      </c>
      <c r="S498" s="2">
        <v>31.842369564058998</v>
      </c>
      <c r="T498" s="2">
        <v>12.1030566879082</v>
      </c>
      <c r="U498" s="2">
        <v>78.248999999999995</v>
      </c>
      <c r="V498" s="2">
        <v>27.790977306896199</v>
      </c>
      <c r="W498" s="2">
        <v>3.2610296275077801</v>
      </c>
      <c r="X498" s="2">
        <v>112.47775395678501</v>
      </c>
      <c r="Y498" s="2">
        <v>2.7288949219701002</v>
      </c>
      <c r="Z498" s="4">
        <v>6.9099999999999993</v>
      </c>
      <c r="AA498" s="4">
        <v>13.3</v>
      </c>
      <c r="AB498" s="2">
        <v>1.4</v>
      </c>
      <c r="AC498" s="2">
        <v>17.600000000000001</v>
      </c>
      <c r="AD498" s="2">
        <v>5.7000000000000028</v>
      </c>
      <c r="AE498" s="2">
        <v>0</v>
      </c>
    </row>
    <row r="499" spans="1:31" x14ac:dyDescent="0.25">
      <c r="A499" s="2" t="s">
        <v>544</v>
      </c>
      <c r="B499" s="2">
        <v>2020</v>
      </c>
      <c r="C499" s="2" t="s">
        <v>545</v>
      </c>
      <c r="D499" s="2" t="s">
        <v>304</v>
      </c>
      <c r="E499" s="2">
        <v>7.1478000000000002</v>
      </c>
      <c r="F499" s="2">
        <v>12.4039</v>
      </c>
      <c r="G499" s="2">
        <v>5.1779000000000002</v>
      </c>
      <c r="H499" s="2">
        <v>1.1948000000000001</v>
      </c>
      <c r="I499" s="2">
        <v>1.0239</v>
      </c>
      <c r="J499">
        <f>0.649740225924229*(100)</f>
        <v>64.974022592422898</v>
      </c>
      <c r="K499">
        <f>0.0494133335287715*(100)</f>
        <v>4.9413333528771499</v>
      </c>
      <c r="L499" s="2">
        <v>12.3742</v>
      </c>
      <c r="M499" s="2">
        <v>1.7952999999999999</v>
      </c>
      <c r="N499" s="2">
        <v>3.9466999999999999</v>
      </c>
      <c r="O499" s="2">
        <v>1.0347999999999999</v>
      </c>
      <c r="P499" s="2">
        <v>17.536200000000001</v>
      </c>
      <c r="Q499" s="2">
        <v>-37.0321</v>
      </c>
      <c r="R499" s="2">
        <v>9.5337129725499192</v>
      </c>
      <c r="S499" s="2">
        <v>0.15106780264606201</v>
      </c>
      <c r="T499" s="2">
        <v>9.2382232268557996</v>
      </c>
      <c r="U499" s="2">
        <v>63.704700000000003</v>
      </c>
      <c r="V499" s="2">
        <v>17.388983761508499</v>
      </c>
      <c r="W499" s="2">
        <v>1.4301121588054899</v>
      </c>
      <c r="X499" s="2">
        <v>104.48954378082701</v>
      </c>
      <c r="Y499" s="2">
        <v>3.0441789573072899</v>
      </c>
      <c r="Z499" s="4">
        <v>2.2999999999999998</v>
      </c>
      <c r="AA499" s="4">
        <v>10.100000000000001</v>
      </c>
      <c r="AB499" s="2">
        <v>2.5</v>
      </c>
      <c r="AC499" s="2">
        <v>16.100000000000001</v>
      </c>
      <c r="AD499" s="2">
        <v>3.7000000000000028</v>
      </c>
      <c r="AE499" s="2">
        <v>0</v>
      </c>
    </row>
    <row r="500" spans="1:31" x14ac:dyDescent="0.25">
      <c r="A500" s="2" t="s">
        <v>544</v>
      </c>
      <c r="B500" s="2">
        <v>2021</v>
      </c>
      <c r="C500" s="2" t="s">
        <v>545</v>
      </c>
      <c r="D500" s="2" t="s">
        <v>304</v>
      </c>
      <c r="E500" s="2">
        <v>6.0922999999999998</v>
      </c>
      <c r="F500" s="2">
        <v>10.8408</v>
      </c>
      <c r="G500" s="2">
        <v>5.8906999999999998</v>
      </c>
      <c r="H500" s="2">
        <v>1.1623000000000001</v>
      </c>
      <c r="I500" s="2">
        <v>0.9859</v>
      </c>
      <c r="J500">
        <f>0.666412605016283*(100)</f>
        <v>66.641260501628295</v>
      </c>
      <c r="K500">
        <f>0.0503469139552362*(100)</f>
        <v>5.0346913955236205</v>
      </c>
      <c r="L500" s="2">
        <v>9.2944999999999993</v>
      </c>
      <c r="M500" s="2">
        <v>1.5274000000000001</v>
      </c>
      <c r="N500" s="2">
        <v>2.9220999999999999</v>
      </c>
      <c r="O500" s="2">
        <v>0.82310000000000005</v>
      </c>
      <c r="P500" s="2">
        <v>12.4405</v>
      </c>
      <c r="Q500" s="2">
        <v>-9.4463000000000008</v>
      </c>
      <c r="R500" s="2">
        <v>-0.36314881514907199</v>
      </c>
      <c r="S500" s="2">
        <v>27.818126723658899</v>
      </c>
      <c r="T500" s="2">
        <v>6.4141845990270001</v>
      </c>
      <c r="U500" s="2">
        <v>65.098600000000005</v>
      </c>
      <c r="V500" s="2">
        <v>19.712822733756301</v>
      </c>
      <c r="W500" s="2">
        <v>1.15004200970125</v>
      </c>
      <c r="X500" s="2">
        <v>104.545012362831</v>
      </c>
      <c r="Y500" s="2">
        <v>4.4683807577843799</v>
      </c>
      <c r="Z500" s="4">
        <v>8.4</v>
      </c>
      <c r="AA500" s="4">
        <v>9</v>
      </c>
      <c r="AB500" s="2">
        <v>0.9</v>
      </c>
      <c r="AC500" s="2">
        <v>20.9</v>
      </c>
      <c r="AD500" s="2">
        <v>10.400000000000006</v>
      </c>
      <c r="AE500" s="2">
        <v>0</v>
      </c>
    </row>
    <row r="501" spans="1:31" x14ac:dyDescent="0.25">
      <c r="A501" s="2" t="s">
        <v>546</v>
      </c>
      <c r="B501" s="2">
        <v>2014</v>
      </c>
      <c r="C501" s="2" t="s">
        <v>547</v>
      </c>
      <c r="D501" s="2" t="s">
        <v>344</v>
      </c>
      <c r="E501" s="2">
        <v>10.508800000000001</v>
      </c>
      <c r="F501" s="2">
        <v>13.193</v>
      </c>
      <c r="G501" s="2">
        <v>4.1291000000000002</v>
      </c>
      <c r="H501" s="2">
        <v>1.0495000000000001</v>
      </c>
      <c r="I501" s="2">
        <v>0.60150000000000003</v>
      </c>
      <c r="J501">
        <f>0.331657848342153*(100)</f>
        <v>33.165784834215302</v>
      </c>
      <c r="K501">
        <f>0.116741494025719*(100)</f>
        <v>11.674149402571899</v>
      </c>
      <c r="L501" s="2">
        <v>14.397600000000001</v>
      </c>
      <c r="M501" s="2">
        <v>6.4739000000000004</v>
      </c>
      <c r="N501" s="2">
        <v>11.74</v>
      </c>
      <c r="O501" s="2">
        <v>2.2248999999999999</v>
      </c>
      <c r="P501" s="2">
        <v>149.43510000000001</v>
      </c>
      <c r="Q501" s="2">
        <v>0.89249999999999996</v>
      </c>
      <c r="R501" s="2">
        <v>4.89505454084299</v>
      </c>
      <c r="S501" s="2">
        <v>10.878050106997</v>
      </c>
      <c r="T501" s="2">
        <v>35.149630986039803</v>
      </c>
      <c r="U501" s="2">
        <v>34.4664</v>
      </c>
      <c r="V501" s="2">
        <v>3.6322520983189404</v>
      </c>
      <c r="W501" s="2">
        <v>3.45631272650279</v>
      </c>
      <c r="X501" s="2">
        <v>105.77638212742899</v>
      </c>
      <c r="Y501" s="2">
        <v>1.9195948860735601</v>
      </c>
      <c r="Z501" s="4">
        <v>7.3</v>
      </c>
      <c r="AA501" s="4">
        <v>12.2</v>
      </c>
      <c r="AB501" s="2">
        <v>2</v>
      </c>
      <c r="AC501" s="2">
        <v>16.899999999999999</v>
      </c>
      <c r="AD501" s="2">
        <v>10.299999999999997</v>
      </c>
      <c r="AE501" s="2">
        <v>0</v>
      </c>
    </row>
    <row r="502" spans="1:31" x14ac:dyDescent="0.25">
      <c r="A502" s="2" t="s">
        <v>546</v>
      </c>
      <c r="B502" s="2">
        <v>2015</v>
      </c>
      <c r="C502" s="2" t="s">
        <v>547</v>
      </c>
      <c r="D502" s="2" t="s">
        <v>344</v>
      </c>
      <c r="E502" s="2">
        <v>9.9323999999999995</v>
      </c>
      <c r="F502" s="2">
        <v>11.9956</v>
      </c>
      <c r="G502" s="2">
        <v>5.1077000000000004</v>
      </c>
      <c r="H502" s="2">
        <v>0.98209999999999997</v>
      </c>
      <c r="I502" s="2">
        <v>0.65280000000000005</v>
      </c>
      <c r="J502">
        <f>0.373865862166886*(100)</f>
        <v>37.386586216688599</v>
      </c>
      <c r="K502">
        <f>0.287677543218191*(100)</f>
        <v>28.767754321819101</v>
      </c>
      <c r="L502" s="2">
        <v>14.4298</v>
      </c>
      <c r="M502" s="2">
        <v>5.9406999999999996</v>
      </c>
      <c r="N502" s="2">
        <v>9.4242000000000008</v>
      </c>
      <c r="O502" s="2">
        <v>1.7930999999999999</v>
      </c>
      <c r="P502" s="2">
        <v>149.8168</v>
      </c>
      <c r="Q502" s="2">
        <v>-12.138199999999999</v>
      </c>
      <c r="R502" s="2">
        <v>13.2489632613574</v>
      </c>
      <c r="S502" s="2">
        <v>5.4366059171673298</v>
      </c>
      <c r="T502" s="2">
        <v>9.4832951057896793</v>
      </c>
      <c r="U502" s="2">
        <v>31.4649</v>
      </c>
      <c r="V502" s="2">
        <v>2.8334092985940198</v>
      </c>
      <c r="W502" s="2">
        <v>3.5728990267277898</v>
      </c>
      <c r="X502" s="2">
        <v>105.543002235857</v>
      </c>
      <c r="Y502" s="2">
        <v>5.18170093895269</v>
      </c>
      <c r="Z502" s="4">
        <v>6.9099999999999993</v>
      </c>
      <c r="AA502" s="4">
        <v>13.3</v>
      </c>
      <c r="AB502" s="2">
        <v>1.4</v>
      </c>
      <c r="AC502" s="2">
        <v>17.600000000000001</v>
      </c>
      <c r="AD502" s="2">
        <v>6.7000000000000028</v>
      </c>
      <c r="AE502" s="2">
        <v>0</v>
      </c>
    </row>
    <row r="503" spans="1:31" x14ac:dyDescent="0.25">
      <c r="A503" s="2" t="s">
        <v>546</v>
      </c>
      <c r="B503" s="2">
        <v>2016</v>
      </c>
      <c r="C503" s="2" t="s">
        <v>547</v>
      </c>
      <c r="D503" s="2" t="s">
        <v>344</v>
      </c>
      <c r="E503" s="2">
        <v>9.4182000000000006</v>
      </c>
      <c r="F503" s="2">
        <v>12.413</v>
      </c>
      <c r="G503" s="2">
        <v>5.3071999999999999</v>
      </c>
      <c r="H503" s="2">
        <v>1.0481</v>
      </c>
      <c r="I503" s="2">
        <v>0.55910000000000004</v>
      </c>
      <c r="J503">
        <f>0.364995588762864*(100)</f>
        <v>36.4995588762864</v>
      </c>
      <c r="K503">
        <f>0.262881616863555*(100)</f>
        <v>26.288161686355497</v>
      </c>
      <c r="L503" s="2">
        <v>14.7401</v>
      </c>
      <c r="M503" s="2">
        <v>6.3815</v>
      </c>
      <c r="N503" s="2">
        <v>8.5553000000000008</v>
      </c>
      <c r="O503" s="2">
        <v>1.6771</v>
      </c>
      <c r="P503" s="2">
        <v>139.9716</v>
      </c>
      <c r="Q503" s="2">
        <v>-1.1469</v>
      </c>
      <c r="R503" s="2">
        <v>5.83767803595034</v>
      </c>
      <c r="S503" s="2">
        <v>6.1559996953980898</v>
      </c>
      <c r="T503" s="2">
        <v>6.4817387294568798</v>
      </c>
      <c r="U503" s="2">
        <v>31.659600000000001</v>
      </c>
      <c r="V503" s="2">
        <v>8.2382332718169007</v>
      </c>
      <c r="W503" s="2">
        <v>3.4059178671912398</v>
      </c>
      <c r="X503" s="2">
        <v>105.20580911563</v>
      </c>
      <c r="Y503" s="2">
        <v>5.1108434521333796</v>
      </c>
      <c r="Z503" s="4">
        <v>6.7</v>
      </c>
      <c r="AA503" s="4">
        <v>11.3</v>
      </c>
      <c r="AB503" s="2">
        <v>2</v>
      </c>
      <c r="AC503" s="2">
        <v>15.9</v>
      </c>
      <c r="AD503" s="2">
        <v>7.7000000000000028</v>
      </c>
      <c r="AE503" s="2">
        <v>0</v>
      </c>
    </row>
    <row r="504" spans="1:31" x14ac:dyDescent="0.25">
      <c r="A504" s="2" t="s">
        <v>546</v>
      </c>
      <c r="B504" s="2">
        <v>2017</v>
      </c>
      <c r="C504" s="2" t="s">
        <v>547</v>
      </c>
      <c r="D504" s="2" t="s">
        <v>344</v>
      </c>
      <c r="E504" s="2">
        <v>8.5450999999999997</v>
      </c>
      <c r="F504" s="2">
        <v>11.0284</v>
      </c>
      <c r="G504" s="2">
        <v>5.3190999999999997</v>
      </c>
      <c r="H504" s="2">
        <v>0.83320000000000005</v>
      </c>
      <c r="I504" s="2">
        <v>0.44840000000000002</v>
      </c>
      <c r="J504">
        <f>0.234097410610565*(100)</f>
        <v>23.409741061056501</v>
      </c>
      <c r="K504">
        <f>0.167244434679949*(100)</f>
        <v>16.724443467994902</v>
      </c>
      <c r="L504" s="2">
        <v>12.2363</v>
      </c>
      <c r="M504" s="2">
        <v>6.1814</v>
      </c>
      <c r="N504" s="2">
        <v>8.0142000000000007</v>
      </c>
      <c r="O504" s="2">
        <v>1.5673999999999999</v>
      </c>
      <c r="P504" s="2">
        <v>124.1011</v>
      </c>
      <c r="Q504" s="2">
        <v>2.7033999999999998</v>
      </c>
      <c r="R504" s="2">
        <v>-6.3921023706028102</v>
      </c>
      <c r="S504" s="2">
        <v>13.5524623892536</v>
      </c>
      <c r="T504" s="2">
        <v>1.5450605816741401</v>
      </c>
      <c r="U504" s="2">
        <v>38.201000000000001</v>
      </c>
      <c r="V504" s="2">
        <v>6.9143590010587701</v>
      </c>
      <c r="W504" s="2">
        <v>3.2108282352706401</v>
      </c>
      <c r="X504" s="2">
        <v>102.721609966206</v>
      </c>
      <c r="Y504" s="2">
        <v>4.3348702872594593</v>
      </c>
      <c r="Z504" s="4">
        <v>6.9</v>
      </c>
      <c r="AA504" s="4">
        <v>8.2000000000000011</v>
      </c>
      <c r="AB504" s="2">
        <v>1.6</v>
      </c>
      <c r="AC504" s="2">
        <v>16.3</v>
      </c>
      <c r="AD504" s="2">
        <v>7.7999999999999972</v>
      </c>
      <c r="AE504" s="2">
        <v>0</v>
      </c>
    </row>
    <row r="505" spans="1:31" x14ac:dyDescent="0.25">
      <c r="A505" s="2" t="s">
        <v>546</v>
      </c>
      <c r="B505" s="2">
        <v>2020</v>
      </c>
      <c r="C505" s="2" t="s">
        <v>547</v>
      </c>
      <c r="D505" s="2" t="s">
        <v>344</v>
      </c>
      <c r="E505" s="2">
        <v>8.0303000000000004</v>
      </c>
      <c r="F505" s="2">
        <v>15.003299999999999</v>
      </c>
      <c r="G505" s="2">
        <v>6.1277999999999997</v>
      </c>
      <c r="H505" s="2">
        <v>0.9103</v>
      </c>
      <c r="I505" s="2">
        <v>0.4199</v>
      </c>
      <c r="J505">
        <f>0.276536942989779*(100)</f>
        <v>27.6536942989779</v>
      </c>
      <c r="K505">
        <f>0.0974328328512582*(100)</f>
        <v>9.7432832851258198</v>
      </c>
      <c r="L505" s="2">
        <v>7.8673999999999999</v>
      </c>
      <c r="M505" s="2">
        <v>4.7510000000000003</v>
      </c>
      <c r="N505" s="2">
        <v>5.1462000000000003</v>
      </c>
      <c r="O505" s="2">
        <v>1.2647999999999999</v>
      </c>
      <c r="P505" s="2">
        <v>124.8446</v>
      </c>
      <c r="Q505" s="2">
        <v>33.869</v>
      </c>
      <c r="R505" s="2">
        <v>-5.3859017560429896</v>
      </c>
      <c r="S505" s="2">
        <v>70.425789153335003</v>
      </c>
      <c r="T505" s="2">
        <v>52.8923650550975</v>
      </c>
      <c r="U505" s="2">
        <v>53.061700000000002</v>
      </c>
      <c r="V505" s="2">
        <v>23.897504331949097</v>
      </c>
      <c r="W505" s="2">
        <v>1.7799430147461399</v>
      </c>
      <c r="X505" s="2">
        <v>103.46136345167301</v>
      </c>
      <c r="Y505" s="2">
        <v>5.15197627705209</v>
      </c>
      <c r="Z505" s="4">
        <v>2.2999999999999998</v>
      </c>
      <c r="AA505" s="4">
        <v>10.100000000000001</v>
      </c>
      <c r="AB505" s="2">
        <v>2.5</v>
      </c>
      <c r="AC505" s="2">
        <v>16.100000000000001</v>
      </c>
      <c r="AD505" s="2">
        <v>-0.90000000000000568</v>
      </c>
      <c r="AE505" s="2">
        <v>0</v>
      </c>
    </row>
    <row r="506" spans="1:31" x14ac:dyDescent="0.25">
      <c r="A506" s="2" t="s">
        <v>551</v>
      </c>
      <c r="B506" s="2">
        <v>2019</v>
      </c>
      <c r="C506" s="2" t="s">
        <v>552</v>
      </c>
      <c r="D506" s="2" t="s">
        <v>307</v>
      </c>
      <c r="E506" s="2">
        <v>16.543299999999999</v>
      </c>
      <c r="F506" s="2">
        <v>34.547400000000003</v>
      </c>
      <c r="G506" s="2">
        <v>31.2286</v>
      </c>
      <c r="H506" s="2">
        <v>1.0783</v>
      </c>
      <c r="I506" s="2">
        <v>0.68389999999999995</v>
      </c>
      <c r="J506">
        <f>0.601746145347154*(100)</f>
        <v>60.174614534715396</v>
      </c>
      <c r="K506">
        <f>0.471730231880089*(100)</f>
        <v>47.173023188008898</v>
      </c>
      <c r="L506" s="2">
        <v>1.9957</v>
      </c>
      <c r="M506" s="2">
        <v>1.3769</v>
      </c>
      <c r="N506" s="2">
        <v>1.2479</v>
      </c>
      <c r="O506" s="2">
        <v>0.4889</v>
      </c>
      <c r="P506" s="2">
        <v>1286.3665000000001</v>
      </c>
      <c r="Q506" s="2">
        <v>51.079900000000002</v>
      </c>
      <c r="R506" s="2">
        <v>1099.90722860964</v>
      </c>
      <c r="S506" s="2">
        <v>77.222803748419594</v>
      </c>
      <c r="T506" s="2">
        <v>88.031873228136007</v>
      </c>
      <c r="U506" s="2">
        <v>40.038499999999999</v>
      </c>
      <c r="V506" s="2">
        <v>5.6836386490873805</v>
      </c>
      <c r="W506" s="2">
        <v>1.68104059919988</v>
      </c>
      <c r="X506" s="2">
        <v>101.11296695825899</v>
      </c>
      <c r="Y506" s="2">
        <v>49.397809655938403</v>
      </c>
      <c r="Z506" s="4">
        <v>6</v>
      </c>
      <c r="AA506" s="4">
        <v>8.6999999999999993</v>
      </c>
      <c r="AB506" s="2">
        <v>2.9</v>
      </c>
      <c r="AC506" s="2">
        <v>15.6</v>
      </c>
      <c r="AD506" s="2">
        <v>5.5</v>
      </c>
      <c r="AE506" s="2">
        <v>0</v>
      </c>
    </row>
    <row r="507" spans="1:31" x14ac:dyDescent="0.25">
      <c r="A507" s="2" t="s">
        <v>551</v>
      </c>
      <c r="B507" s="2">
        <v>2020</v>
      </c>
      <c r="C507" s="2" t="s">
        <v>552</v>
      </c>
      <c r="D507" s="2" t="s">
        <v>307</v>
      </c>
      <c r="E507" s="2">
        <v>35.376300000000001</v>
      </c>
      <c r="F507" s="2">
        <v>74.682900000000004</v>
      </c>
      <c r="G507" s="2">
        <v>54.061</v>
      </c>
      <c r="H507" s="2">
        <v>0.89439999999999997</v>
      </c>
      <c r="I507" s="2">
        <v>0.40799999999999997</v>
      </c>
      <c r="J507">
        <f>0.335149832778833*(100)</f>
        <v>33.514983277883296</v>
      </c>
      <c r="K507">
        <f>0.410207429007027*(100)</f>
        <v>41.0207429007027</v>
      </c>
      <c r="L507" s="2">
        <v>1.5612999999999999</v>
      </c>
      <c r="M507" s="2">
        <v>1.9227000000000001</v>
      </c>
      <c r="N507" s="2">
        <v>1.4542999999999999</v>
      </c>
      <c r="O507" s="2">
        <v>0.64129999999999998</v>
      </c>
      <c r="P507" s="2">
        <v>3205.6354999999999</v>
      </c>
      <c r="Q507" s="2">
        <v>178.43270000000001</v>
      </c>
      <c r="R507" s="2">
        <v>379.36511938628399</v>
      </c>
      <c r="S507" s="2">
        <v>131.868354463999</v>
      </c>
      <c r="T507" s="2">
        <v>118.138552588626</v>
      </c>
      <c r="U507" s="2">
        <v>46.092500000000001</v>
      </c>
      <c r="V507" s="2">
        <v>10.5837786417448</v>
      </c>
      <c r="W507" s="2">
        <v>1.1294153985151401</v>
      </c>
      <c r="X507" s="2">
        <v>101.228013933981</v>
      </c>
      <c r="Y507" s="2">
        <v>41.199289525067002</v>
      </c>
      <c r="Z507" s="4">
        <v>2.2999999999999998</v>
      </c>
      <c r="AA507" s="4">
        <v>10.100000000000001</v>
      </c>
      <c r="AB507" s="2">
        <v>2.5</v>
      </c>
      <c r="AC507" s="2">
        <v>16.100000000000001</v>
      </c>
      <c r="AD507" s="2">
        <v>-0.90000000000000568</v>
      </c>
      <c r="AE507" s="2">
        <v>0</v>
      </c>
    </row>
    <row r="508" spans="1:31" x14ac:dyDescent="0.25">
      <c r="A508" s="2" t="s">
        <v>551</v>
      </c>
      <c r="B508" s="2">
        <v>2021</v>
      </c>
      <c r="C508" s="2" t="s">
        <v>552</v>
      </c>
      <c r="D508" s="2" t="s">
        <v>307</v>
      </c>
      <c r="E508" s="2">
        <v>6.4997999999999996</v>
      </c>
      <c r="F508" s="2">
        <v>13.180300000000001</v>
      </c>
      <c r="G508" s="2">
        <v>9.7202999999999999</v>
      </c>
      <c r="H508" s="2">
        <v>0.62319999999999998</v>
      </c>
      <c r="I508" s="2">
        <v>0.1825</v>
      </c>
      <c r="J508">
        <f>0.155929983276411*(100)</f>
        <v>15.5929983276411</v>
      </c>
      <c r="K508">
        <f>0.149961168361431*(100)</f>
        <v>14.9961168361431</v>
      </c>
      <c r="L508" s="2">
        <v>2.3603000000000001</v>
      </c>
      <c r="M508" s="2">
        <v>1.7990999999999999</v>
      </c>
      <c r="N508" s="2">
        <v>0.99809999999999999</v>
      </c>
      <c r="O508" s="2">
        <v>0.52610000000000001</v>
      </c>
      <c r="P508" s="2">
        <v>1018.3087</v>
      </c>
      <c r="Q508" s="2">
        <v>40.143500000000003</v>
      </c>
      <c r="R508" s="2">
        <v>-74.852210918813398</v>
      </c>
      <c r="S508" s="2">
        <v>44.556572143085099</v>
      </c>
      <c r="T508" s="2">
        <v>7.8260932535566701</v>
      </c>
      <c r="U508" s="2">
        <v>61.298699999999997</v>
      </c>
      <c r="V508" s="2">
        <v>17.166356578497101</v>
      </c>
      <c r="W508" s="2">
        <v>0.68913587732272796</v>
      </c>
      <c r="X508" s="2">
        <v>101.59775096893999</v>
      </c>
      <c r="Y508" s="2">
        <v>20.6554107603774</v>
      </c>
      <c r="Z508" s="4">
        <v>8.4</v>
      </c>
      <c r="AA508" s="4">
        <v>9</v>
      </c>
      <c r="AB508" s="2">
        <v>0.9</v>
      </c>
      <c r="AC508" s="2">
        <v>20.9</v>
      </c>
      <c r="AD508" s="2">
        <v>11</v>
      </c>
      <c r="AE508" s="2">
        <v>0</v>
      </c>
    </row>
    <row r="509" spans="1:31" x14ac:dyDescent="0.25">
      <c r="A509" s="2" t="s">
        <v>553</v>
      </c>
      <c r="B509" s="2">
        <v>2014</v>
      </c>
      <c r="C509" s="2" t="s">
        <v>554</v>
      </c>
      <c r="D509" s="2" t="s">
        <v>307</v>
      </c>
      <c r="E509" s="2">
        <v>12.989800000000001</v>
      </c>
      <c r="F509" s="2">
        <v>19.890899999999998</v>
      </c>
      <c r="G509" s="2">
        <v>7.2480000000000002</v>
      </c>
      <c r="H509" s="2">
        <v>1.161</v>
      </c>
      <c r="I509" s="2">
        <v>0.27350000000000002</v>
      </c>
      <c r="J509">
        <f>0.0460732993163923*(100)</f>
        <v>4.6073299316392298</v>
      </c>
      <c r="K509">
        <f>0.446314006141011*(100)</f>
        <v>44.631400614101103</v>
      </c>
      <c r="L509" s="2">
        <v>4.2281000000000004</v>
      </c>
      <c r="M509" s="2">
        <v>3.5468000000000002</v>
      </c>
      <c r="N509" s="2">
        <v>5.3156999999999996</v>
      </c>
      <c r="O509" s="2">
        <v>1.544</v>
      </c>
      <c r="P509" s="2">
        <v>623.06050000000005</v>
      </c>
      <c r="Q509" s="2">
        <v>8.1293000000000006</v>
      </c>
      <c r="R509" s="2">
        <v>372.15846261046102</v>
      </c>
      <c r="S509" s="2">
        <v>5.8278822239014199</v>
      </c>
      <c r="T509" s="2">
        <v>18.853802638775299</v>
      </c>
      <c r="U509" s="2">
        <v>40.427900000000001</v>
      </c>
      <c r="V509" s="2">
        <v>4.4636078989634305</v>
      </c>
      <c r="W509" s="2">
        <v>1.88057759878693</v>
      </c>
      <c r="X509" s="2">
        <v>98.494627238887603</v>
      </c>
      <c r="Y509" s="2">
        <v>12.018021083553</v>
      </c>
      <c r="Z509" s="4">
        <v>7.3</v>
      </c>
      <c r="AA509" s="4">
        <v>12.2</v>
      </c>
      <c r="AB509" s="2">
        <v>2</v>
      </c>
      <c r="AC509" s="2">
        <v>16.899999999999999</v>
      </c>
      <c r="AD509" s="2">
        <v>10.299999999999997</v>
      </c>
      <c r="AE509" s="2">
        <v>0</v>
      </c>
    </row>
    <row r="510" spans="1:31" x14ac:dyDescent="0.25">
      <c r="A510" s="2" t="s">
        <v>553</v>
      </c>
      <c r="B510" s="2">
        <v>2015</v>
      </c>
      <c r="C510" s="2" t="s">
        <v>554</v>
      </c>
      <c r="D510" s="2" t="s">
        <v>307</v>
      </c>
      <c r="E510" s="2">
        <v>23.282900000000001</v>
      </c>
      <c r="F510" s="2">
        <v>33.714199999999998</v>
      </c>
      <c r="G510" s="2">
        <v>13.932399999999999</v>
      </c>
      <c r="H510" s="2">
        <v>1.6624000000000001</v>
      </c>
      <c r="I510" s="2">
        <v>0.7329</v>
      </c>
      <c r="J510">
        <f>0.156076028858482*(100)</f>
        <v>15.607602885848202</v>
      </c>
      <c r="K510">
        <f>0.958568727391876*(100)</f>
        <v>95.856872739187608</v>
      </c>
      <c r="L510" s="2">
        <v>4.5690999999999997</v>
      </c>
      <c r="M510" s="2">
        <v>3.6423000000000001</v>
      </c>
      <c r="N510" s="2">
        <v>5.5457999999999998</v>
      </c>
      <c r="O510" s="2">
        <v>1.6613</v>
      </c>
      <c r="P510" s="2">
        <v>403.46030000000002</v>
      </c>
      <c r="Q510" s="2">
        <v>24.584399999999999</v>
      </c>
      <c r="R510" s="2">
        <v>121.659701040884</v>
      </c>
      <c r="S510" s="2">
        <v>18.236864820048599</v>
      </c>
      <c r="T510" s="2">
        <v>48.191336583406098</v>
      </c>
      <c r="U510" s="2">
        <v>29.648199999999999</v>
      </c>
      <c r="V510" s="2">
        <v>0.41504765842644398</v>
      </c>
      <c r="W510" s="2">
        <v>2.4578649466122102</v>
      </c>
      <c r="X510" s="2">
        <v>98.369176859067991</v>
      </c>
      <c r="Y510" s="2">
        <v>19.286339381435798</v>
      </c>
      <c r="Z510" s="4">
        <v>6.9099999999999993</v>
      </c>
      <c r="AA510" s="4">
        <v>13.3</v>
      </c>
      <c r="AB510" s="2">
        <v>1.4</v>
      </c>
      <c r="AC510" s="2">
        <v>17.600000000000001</v>
      </c>
      <c r="AD510" s="2">
        <v>6.7000000000000028</v>
      </c>
      <c r="AE510" s="2">
        <v>0</v>
      </c>
    </row>
    <row r="511" spans="1:31" x14ac:dyDescent="0.25">
      <c r="A511" s="2" t="s">
        <v>553</v>
      </c>
      <c r="B511" s="2">
        <v>2016</v>
      </c>
      <c r="C511" s="2" t="s">
        <v>554</v>
      </c>
      <c r="D511" s="2" t="s">
        <v>307</v>
      </c>
      <c r="E511" s="2">
        <v>32.924900000000001</v>
      </c>
      <c r="F511" s="2">
        <v>44.722200000000001</v>
      </c>
      <c r="G511" s="2">
        <v>21.061800000000002</v>
      </c>
      <c r="H511" s="2">
        <v>1.8755999999999999</v>
      </c>
      <c r="I511" s="2">
        <v>0.80310000000000004</v>
      </c>
      <c r="J511">
        <f>0.0956012516314464*(100)</f>
        <v>9.5601251631446402</v>
      </c>
      <c r="K511">
        <f>1.45671191817325*(100)</f>
        <v>145.671191817325</v>
      </c>
      <c r="L511" s="2">
        <v>4.3827999999999996</v>
      </c>
      <c r="M511" s="2">
        <v>3.4554999999999998</v>
      </c>
      <c r="N511" s="2">
        <v>5.7237</v>
      </c>
      <c r="O511" s="2">
        <v>1.6005</v>
      </c>
      <c r="P511" s="2">
        <v>365.70170000000002</v>
      </c>
      <c r="Q511" s="2">
        <v>22.982800000000001</v>
      </c>
      <c r="R511" s="2">
        <v>84.403922508015995</v>
      </c>
      <c r="S511" s="2">
        <v>26.586817495718101</v>
      </c>
      <c r="T511" s="2">
        <v>36.816441228998897</v>
      </c>
      <c r="U511" s="2">
        <v>24.2742</v>
      </c>
      <c r="V511" s="2">
        <v>0.54020538630575998</v>
      </c>
      <c r="W511" s="2">
        <v>2.7597123353139899</v>
      </c>
      <c r="X511" s="2">
        <v>98.229199993659705</v>
      </c>
      <c r="Y511" s="2">
        <v>24.686522043134097</v>
      </c>
      <c r="Z511" s="4">
        <v>6.7</v>
      </c>
      <c r="AA511" s="4">
        <v>11.3</v>
      </c>
      <c r="AB511" s="2">
        <v>2</v>
      </c>
      <c r="AC511" s="2">
        <v>15.9</v>
      </c>
      <c r="AD511" s="2">
        <v>7.7000000000000028</v>
      </c>
      <c r="AE511" s="2">
        <v>0</v>
      </c>
    </row>
    <row r="512" spans="1:31" x14ac:dyDescent="0.25">
      <c r="A512" s="2" t="s">
        <v>553</v>
      </c>
      <c r="B512" s="2">
        <v>2017</v>
      </c>
      <c r="C512" s="2" t="s">
        <v>554</v>
      </c>
      <c r="D512" s="2" t="s">
        <v>307</v>
      </c>
      <c r="E512" s="2">
        <v>15.5989</v>
      </c>
      <c r="F512" s="2">
        <v>21.405799999999999</v>
      </c>
      <c r="G512" s="2">
        <v>12.9825</v>
      </c>
      <c r="H512" s="2">
        <v>1.6253</v>
      </c>
      <c r="I512" s="2">
        <v>0.68940000000000001</v>
      </c>
      <c r="J512">
        <f>0.102856299089562*(100)</f>
        <v>10.285629908956199</v>
      </c>
      <c r="K512">
        <f>0.510136226833791*(100)</f>
        <v>51.013622683379097</v>
      </c>
      <c r="L512" s="2">
        <v>4.0674999999999999</v>
      </c>
      <c r="M512" s="2">
        <v>2.9201000000000001</v>
      </c>
      <c r="N512" s="2">
        <v>4.3129999999999997</v>
      </c>
      <c r="O512" s="2">
        <v>1.2302999999999999</v>
      </c>
      <c r="P512" s="2">
        <v>351.7971</v>
      </c>
      <c r="Q512" s="2">
        <v>-6.2653999999999996</v>
      </c>
      <c r="R512" s="2">
        <v>-42.8086974958456</v>
      </c>
      <c r="S512" s="2">
        <v>18.344048451999001</v>
      </c>
      <c r="T512" s="2">
        <v>7.0766860342834796</v>
      </c>
      <c r="U512" s="2">
        <v>31.954499999999999</v>
      </c>
      <c r="V512" s="2">
        <v>7.2716382104320703</v>
      </c>
      <c r="W512" s="2">
        <v>2.3111487057903899</v>
      </c>
      <c r="X512" s="2">
        <v>97.521065993624404</v>
      </c>
      <c r="Y512" s="2">
        <v>14.3629650241483</v>
      </c>
      <c r="Z512" s="4">
        <v>6.9</v>
      </c>
      <c r="AA512" s="4">
        <v>8.2000000000000011</v>
      </c>
      <c r="AB512" s="2">
        <v>1.6</v>
      </c>
      <c r="AC512" s="2">
        <v>16.3</v>
      </c>
      <c r="AD512" s="2">
        <v>7.7999999999999972</v>
      </c>
      <c r="AE512" s="2">
        <v>0</v>
      </c>
    </row>
    <row r="513" spans="1:31" x14ac:dyDescent="0.25">
      <c r="A513" s="2" t="s">
        <v>553</v>
      </c>
      <c r="B513" s="2">
        <v>2018</v>
      </c>
      <c r="C513" s="2" t="s">
        <v>554</v>
      </c>
      <c r="D513" s="2" t="s">
        <v>307</v>
      </c>
      <c r="E513" s="2">
        <v>8.8757999999999999</v>
      </c>
      <c r="F513" s="2">
        <v>11.7807</v>
      </c>
      <c r="G513" s="2">
        <v>7.6473000000000004</v>
      </c>
      <c r="H513" s="2">
        <v>1.6414</v>
      </c>
      <c r="I513" s="2">
        <v>0.67100000000000004</v>
      </c>
      <c r="J513">
        <f>0.13949124956861*(100)</f>
        <v>13.949124956861001</v>
      </c>
      <c r="K513">
        <f>0.353411564120413*(100)</f>
        <v>35.3411564120413</v>
      </c>
      <c r="L513" s="2">
        <v>3.9302999999999999</v>
      </c>
      <c r="M513" s="2">
        <v>2.7604000000000002</v>
      </c>
      <c r="N513" s="2">
        <v>3.5024000000000002</v>
      </c>
      <c r="O513" s="2">
        <v>1.1115999999999999</v>
      </c>
      <c r="P513" s="2">
        <v>331.61130000000003</v>
      </c>
      <c r="Q513" s="2">
        <v>2.8269000000000002</v>
      </c>
      <c r="R513" s="2">
        <v>-39.189792571132799</v>
      </c>
      <c r="S513" s="2">
        <v>10.0131981752704</v>
      </c>
      <c r="T513" s="2">
        <v>5.98448258461472</v>
      </c>
      <c r="U513" s="2">
        <v>34.062100000000001</v>
      </c>
      <c r="V513" s="2">
        <v>9.4416156425465996</v>
      </c>
      <c r="W513" s="2">
        <v>1.9492219938633599</v>
      </c>
      <c r="X513" s="2">
        <v>98.843166208120607</v>
      </c>
      <c r="Y513" s="2">
        <v>11.346829300052901</v>
      </c>
      <c r="Z513" s="4">
        <v>6.6000000000000005</v>
      </c>
      <c r="AA513" s="4">
        <v>8.1</v>
      </c>
      <c r="AB513" s="2">
        <v>2.1</v>
      </c>
      <c r="AC513" s="2">
        <v>12.5</v>
      </c>
      <c r="AD513" s="2">
        <v>6.7000000000000028</v>
      </c>
      <c r="AE513" s="2">
        <v>0</v>
      </c>
    </row>
    <row r="514" spans="1:31" x14ac:dyDescent="0.25">
      <c r="A514" s="2" t="s">
        <v>553</v>
      </c>
      <c r="B514" s="2">
        <v>2019</v>
      </c>
      <c r="C514" s="2" t="s">
        <v>554</v>
      </c>
      <c r="D514" s="2" t="s">
        <v>307</v>
      </c>
      <c r="E514" s="2">
        <v>25.318899999999999</v>
      </c>
      <c r="F514" s="2">
        <v>35.058100000000003</v>
      </c>
      <c r="G514" s="2">
        <v>20.370200000000001</v>
      </c>
      <c r="H514" s="2">
        <v>1.8776999999999999</v>
      </c>
      <c r="I514" s="2">
        <v>0.97919999999999996</v>
      </c>
      <c r="J514">
        <f>0.211287701925948*(100)</f>
        <v>21.1287701925948</v>
      </c>
      <c r="K514">
        <f>0.965812320462413*(100)</f>
        <v>96.581232046241311</v>
      </c>
      <c r="L514" s="2">
        <v>4.1688999999999998</v>
      </c>
      <c r="M514" s="2">
        <v>3.0543</v>
      </c>
      <c r="N514" s="2">
        <v>3.5695000000000001</v>
      </c>
      <c r="O514" s="2">
        <v>1.2239</v>
      </c>
      <c r="P514" s="2">
        <v>304.96809999999999</v>
      </c>
      <c r="Q514" s="2">
        <v>27.722200000000001</v>
      </c>
      <c r="R514" s="2">
        <v>239.38169199093301</v>
      </c>
      <c r="S514" s="2">
        <v>21.554966247829999</v>
      </c>
      <c r="T514" s="2">
        <v>30.500205330738702</v>
      </c>
      <c r="U514" s="2">
        <v>28.8977</v>
      </c>
      <c r="V514" s="2">
        <v>7.7069705405816205</v>
      </c>
      <c r="W514" s="2">
        <v>2.0511160417868899</v>
      </c>
      <c r="X514" s="2">
        <v>96.715674197601103</v>
      </c>
      <c r="Y514" s="2">
        <v>25.031222261024098</v>
      </c>
      <c r="Z514" s="4">
        <v>6</v>
      </c>
      <c r="AA514" s="4">
        <v>8.6999999999999993</v>
      </c>
      <c r="AB514" s="2">
        <v>2.9</v>
      </c>
      <c r="AC514" s="2">
        <v>15.6</v>
      </c>
      <c r="AD514" s="2">
        <v>5.5</v>
      </c>
      <c r="AE514" s="2">
        <v>0</v>
      </c>
    </row>
    <row r="515" spans="1:31" x14ac:dyDescent="0.25">
      <c r="A515" s="2" t="s">
        <v>553</v>
      </c>
      <c r="B515" s="2">
        <v>2020</v>
      </c>
      <c r="C515" s="2" t="s">
        <v>554</v>
      </c>
      <c r="D515" s="2" t="s">
        <v>307</v>
      </c>
      <c r="E515" s="2">
        <v>11.422700000000001</v>
      </c>
      <c r="F515" s="2">
        <v>16.3386</v>
      </c>
      <c r="G515" s="2">
        <v>11.191800000000001</v>
      </c>
      <c r="H515" s="2">
        <v>1.3724000000000001</v>
      </c>
      <c r="I515" s="2">
        <v>0.57999999999999996</v>
      </c>
      <c r="J515">
        <f>0.240811239359454*(100)</f>
        <v>24.081123935945399</v>
      </c>
      <c r="K515">
        <f>0.257209072836628*(100)</f>
        <v>25.720907283662804</v>
      </c>
      <c r="L515" s="2">
        <v>4.6669999999999998</v>
      </c>
      <c r="M515" s="2">
        <v>3.0495000000000001</v>
      </c>
      <c r="N515" s="2">
        <v>2.9249000000000001</v>
      </c>
      <c r="O515" s="2">
        <v>1.026</v>
      </c>
      <c r="P515" s="2">
        <v>230.63159999999999</v>
      </c>
      <c r="Q515" s="2">
        <v>2.4584999999999999</v>
      </c>
      <c r="R515" s="2">
        <v>-48.188009170840999</v>
      </c>
      <c r="S515" s="2">
        <v>22.753038904191101</v>
      </c>
      <c r="T515" s="2">
        <v>1.4986636026529601</v>
      </c>
      <c r="U515" s="2">
        <v>40.884300000000003</v>
      </c>
      <c r="V515" s="2">
        <v>20.0160073037509</v>
      </c>
      <c r="W515" s="2">
        <v>1.6692692169197101</v>
      </c>
      <c r="X515" s="2">
        <v>88.5583815724179</v>
      </c>
      <c r="Y515" s="2">
        <v>11.2984837221052</v>
      </c>
      <c r="Z515" s="4">
        <v>2.2999999999999998</v>
      </c>
      <c r="AA515" s="4">
        <v>10.100000000000001</v>
      </c>
      <c r="AB515" s="2">
        <v>2.5</v>
      </c>
      <c r="AC515" s="2">
        <v>16.100000000000001</v>
      </c>
      <c r="AD515" s="2">
        <v>-0.90000000000000568</v>
      </c>
      <c r="AE515" s="2">
        <v>0</v>
      </c>
    </row>
    <row r="516" spans="1:31" x14ac:dyDescent="0.25">
      <c r="A516" s="2" t="s">
        <v>553</v>
      </c>
      <c r="B516" s="2">
        <v>2021</v>
      </c>
      <c r="C516" s="2" t="s">
        <v>554</v>
      </c>
      <c r="D516" s="2" t="s">
        <v>307</v>
      </c>
      <c r="E516" s="2">
        <v>-13.472300000000001</v>
      </c>
      <c r="F516" s="2">
        <v>-34.266599999999997</v>
      </c>
      <c r="G516" s="2">
        <v>-19.955200000000001</v>
      </c>
      <c r="H516" s="2">
        <v>1.8080000000000001</v>
      </c>
      <c r="I516" s="2">
        <v>1.0488</v>
      </c>
      <c r="J516">
        <f>0.58721370393256*(100)</f>
        <v>58.721370393256002</v>
      </c>
      <c r="K516">
        <f>0.0123496220817443*(100)</f>
        <v>1.23496220817443</v>
      </c>
      <c r="L516" s="2">
        <v>4.9767000000000001</v>
      </c>
      <c r="M516" s="2">
        <v>2.2155999999999998</v>
      </c>
      <c r="N516" s="2">
        <v>2.0329000000000002</v>
      </c>
      <c r="O516" s="2">
        <v>0.7329</v>
      </c>
      <c r="P516" s="2">
        <v>172.16730000000001</v>
      </c>
      <c r="Q516" s="2">
        <v>-13.365</v>
      </c>
      <c r="R516" s="2">
        <v>-281.021490397771</v>
      </c>
      <c r="S516" s="2">
        <v>20.233812432281901</v>
      </c>
      <c r="T516" s="2">
        <v>-29.134927878259401</v>
      </c>
      <c r="U516" s="2">
        <v>64.097800000000007</v>
      </c>
      <c r="V516" s="2">
        <v>43.759989947548696</v>
      </c>
      <c r="W516" s="2">
        <v>0.98149817877308698</v>
      </c>
      <c r="X516" s="2">
        <v>95.871371092619398</v>
      </c>
      <c r="Y516" s="2">
        <v>1.1795431174067301</v>
      </c>
      <c r="Z516" s="4">
        <v>8.4</v>
      </c>
      <c r="AA516" s="4">
        <v>9</v>
      </c>
      <c r="AB516" s="2">
        <v>0.9</v>
      </c>
      <c r="AC516" s="2">
        <v>20.9</v>
      </c>
      <c r="AD516" s="2">
        <v>11</v>
      </c>
      <c r="AE516" s="2">
        <v>0</v>
      </c>
    </row>
    <row r="517" spans="1:31" x14ac:dyDescent="0.25">
      <c r="A517" s="2" t="s">
        <v>555</v>
      </c>
      <c r="B517" s="2">
        <v>2017</v>
      </c>
      <c r="C517" s="2" t="s">
        <v>556</v>
      </c>
      <c r="D517" s="2" t="s">
        <v>307</v>
      </c>
      <c r="E517" s="2">
        <v>4.8712999999999997</v>
      </c>
      <c r="F517" s="2">
        <v>10.2623</v>
      </c>
      <c r="G517" s="2">
        <v>3.9260000000000002</v>
      </c>
      <c r="H517" s="2">
        <v>1.1886000000000001</v>
      </c>
      <c r="I517" s="2">
        <v>0.75439999999999996</v>
      </c>
      <c r="J517">
        <f>0.509911118814268*(100)</f>
        <v>50.991111881426797</v>
      </c>
      <c r="K517">
        <f>0.00709909464035191*(100)</f>
        <v>0.70990946403519095</v>
      </c>
      <c r="L517" s="2">
        <v>4.4326999999999996</v>
      </c>
      <c r="M517" s="2">
        <v>1.7721</v>
      </c>
      <c r="N517" s="2">
        <v>7.6115000000000004</v>
      </c>
      <c r="O517" s="2">
        <v>1.1776</v>
      </c>
      <c r="P517" s="2">
        <v>28.6249</v>
      </c>
      <c r="Q517" s="2">
        <v>12.714399999999999</v>
      </c>
      <c r="R517" s="2">
        <v>518.87660322108297</v>
      </c>
      <c r="S517" s="2">
        <v>14.088893310887</v>
      </c>
      <c r="T517" s="2">
        <v>23.945234971497399</v>
      </c>
      <c r="U517" s="2">
        <v>58.174799999999998</v>
      </c>
      <c r="V517" s="2">
        <v>0.80604778704342506</v>
      </c>
      <c r="W517" s="2">
        <v>2.8286678845864102</v>
      </c>
      <c r="X517" s="2">
        <v>120.863787838608</v>
      </c>
      <c r="Y517" s="2">
        <v>0.37378583345171201</v>
      </c>
      <c r="Z517" s="4">
        <v>6.9</v>
      </c>
      <c r="AA517" s="4">
        <v>8.2000000000000011</v>
      </c>
      <c r="AB517" s="2">
        <v>1.6</v>
      </c>
      <c r="AC517" s="2">
        <v>16.3</v>
      </c>
      <c r="AD517" s="2">
        <v>7.7999999999999972</v>
      </c>
      <c r="AE517" s="2">
        <v>0</v>
      </c>
    </row>
    <row r="518" spans="1:31" x14ac:dyDescent="0.25">
      <c r="A518" s="2" t="s">
        <v>555</v>
      </c>
      <c r="B518" s="2">
        <v>2018</v>
      </c>
      <c r="C518" s="2" t="s">
        <v>556</v>
      </c>
      <c r="D518" s="2" t="s">
        <v>307</v>
      </c>
      <c r="E518" s="2">
        <v>4.2171000000000003</v>
      </c>
      <c r="F518" s="2">
        <v>9.0625999999999998</v>
      </c>
      <c r="G518" s="2">
        <v>4.0289000000000001</v>
      </c>
      <c r="H518" s="2">
        <v>1.1908000000000001</v>
      </c>
      <c r="I518" s="2">
        <v>0.83289999999999997</v>
      </c>
      <c r="J518">
        <f>0.637436645901834*(100)</f>
        <v>63.7436645901834</v>
      </c>
      <c r="K518">
        <f>0.0211370746306409*(100)</f>
        <v>2.11370746306409</v>
      </c>
      <c r="L518" s="2">
        <v>4.2210000000000001</v>
      </c>
      <c r="M518" s="2">
        <v>1.5438000000000001</v>
      </c>
      <c r="N518" s="2">
        <v>8.3383000000000003</v>
      </c>
      <c r="O518" s="2">
        <v>1.0924</v>
      </c>
      <c r="P518" s="2">
        <v>33.382399999999997</v>
      </c>
      <c r="Q518" s="2">
        <v>10.8698</v>
      </c>
      <c r="R518" s="2">
        <v>4.4151410982427102</v>
      </c>
      <c r="S518" s="2">
        <v>24.158662723943799</v>
      </c>
      <c r="T518" s="2">
        <v>9.7727196427349607</v>
      </c>
      <c r="U518" s="2">
        <v>62.969000000000001</v>
      </c>
      <c r="V518" s="2">
        <v>1.8053463089278501</v>
      </c>
      <c r="W518" s="2">
        <v>3.1531210900463802</v>
      </c>
      <c r="X518" s="2">
        <v>117.76972845385801</v>
      </c>
      <c r="Y518" s="2">
        <v>1.3496794623727402</v>
      </c>
      <c r="Z518" s="4">
        <v>6.6000000000000005</v>
      </c>
      <c r="AA518" s="4">
        <v>8.1</v>
      </c>
      <c r="AB518" s="2">
        <v>2.1</v>
      </c>
      <c r="AC518" s="2">
        <v>12.5</v>
      </c>
      <c r="AD518" s="2">
        <v>6.7000000000000028</v>
      </c>
      <c r="AE518" s="2">
        <v>0</v>
      </c>
    </row>
    <row r="519" spans="1:31" x14ac:dyDescent="0.25">
      <c r="A519" s="2" t="s">
        <v>555</v>
      </c>
      <c r="B519" s="2">
        <v>2019</v>
      </c>
      <c r="C519" s="2" t="s">
        <v>556</v>
      </c>
      <c r="D519" s="2" t="s">
        <v>307</v>
      </c>
      <c r="E519" s="2">
        <v>3.9847999999999999</v>
      </c>
      <c r="F519" s="2">
        <v>8.7216000000000005</v>
      </c>
      <c r="G519" s="2">
        <v>4.1398999999999999</v>
      </c>
      <c r="H519" s="2">
        <v>1.1758999999999999</v>
      </c>
      <c r="I519" s="2">
        <v>0.82569999999999999</v>
      </c>
      <c r="J519">
        <f>0.659779375061625*(100)</f>
        <v>65.977937506162505</v>
      </c>
      <c r="K519">
        <f>0.132356573543923*(100)</f>
        <v>13.2356573543923</v>
      </c>
      <c r="L519" s="2">
        <v>4.2233000000000001</v>
      </c>
      <c r="M519" s="2">
        <v>1.4262999999999999</v>
      </c>
      <c r="N519" s="2">
        <v>7.7022000000000004</v>
      </c>
      <c r="O519" s="2">
        <v>1.0041</v>
      </c>
      <c r="P519" s="2">
        <v>30.131599999999999</v>
      </c>
      <c r="Q519" s="2">
        <v>2.2145999999999999</v>
      </c>
      <c r="R519" s="2">
        <v>0.84641123521372397</v>
      </c>
      <c r="S519" s="2">
        <v>0.74627277523028901</v>
      </c>
      <c r="T519" s="2">
        <v>9.4292508586631598</v>
      </c>
      <c r="U519" s="2">
        <v>59.882300000000001</v>
      </c>
      <c r="V519" s="2">
        <v>2.0791180992420699</v>
      </c>
      <c r="W519" s="2">
        <v>2.80185736040674</v>
      </c>
      <c r="X519" s="2">
        <v>115.60309908282301</v>
      </c>
      <c r="Y519" s="2">
        <v>7.9231053237659195</v>
      </c>
      <c r="Z519" s="4">
        <v>6</v>
      </c>
      <c r="AA519" s="4">
        <v>8.6999999999999993</v>
      </c>
      <c r="AB519" s="2">
        <v>2.9</v>
      </c>
      <c r="AC519" s="2">
        <v>15.6</v>
      </c>
      <c r="AD519" s="2">
        <v>5.5</v>
      </c>
      <c r="AE519" s="2">
        <v>0</v>
      </c>
    </row>
    <row r="520" spans="1:31" x14ac:dyDescent="0.25">
      <c r="A520" s="2" t="s">
        <v>555</v>
      </c>
      <c r="B520" s="2">
        <v>2020</v>
      </c>
      <c r="C520" s="2" t="s">
        <v>556</v>
      </c>
      <c r="D520" s="2" t="s">
        <v>307</v>
      </c>
      <c r="E520" s="2">
        <v>4.7051999999999996</v>
      </c>
      <c r="F520" s="2">
        <v>8.0911000000000008</v>
      </c>
      <c r="G520" s="2">
        <v>4.5754999999999999</v>
      </c>
      <c r="H520" s="2">
        <v>1.3992</v>
      </c>
      <c r="I520" s="2">
        <v>0.93030000000000002</v>
      </c>
      <c r="J520">
        <f>0.674806287794949*(100)</f>
        <v>67.480628779494907</v>
      </c>
      <c r="K520">
        <f>0.0130741448426225*(100)</f>
        <v>1.3074144842622502</v>
      </c>
      <c r="L520" s="2">
        <v>4.5732999999999997</v>
      </c>
      <c r="M520" s="2">
        <v>1.6524000000000001</v>
      </c>
      <c r="N520" s="2">
        <v>7.5526</v>
      </c>
      <c r="O520" s="2">
        <v>1.1143000000000001</v>
      </c>
      <c r="P520" s="2">
        <v>29.263300000000001</v>
      </c>
      <c r="Q520" s="2">
        <v>14.1675</v>
      </c>
      <c r="R520" s="2">
        <v>17.995048561767899</v>
      </c>
      <c r="S520" s="2">
        <v>4.9754569771274202</v>
      </c>
      <c r="T520" s="2">
        <v>28.911503852008501</v>
      </c>
      <c r="U520" s="2">
        <v>51.1693</v>
      </c>
      <c r="V520" s="2">
        <v>3.3426121861560096</v>
      </c>
      <c r="W520" s="2">
        <v>3.2193128376943401</v>
      </c>
      <c r="X520" s="2">
        <v>114.86430784938099</v>
      </c>
      <c r="Y520" s="2">
        <v>0.61495918191294996</v>
      </c>
      <c r="Z520" s="4">
        <v>2.2999999999999998</v>
      </c>
      <c r="AA520" s="4">
        <v>10.100000000000001</v>
      </c>
      <c r="AB520" s="2">
        <v>2.5</v>
      </c>
      <c r="AC520" s="2">
        <v>16.100000000000001</v>
      </c>
      <c r="AD520" s="2">
        <v>-0.90000000000000568</v>
      </c>
      <c r="AE520" s="2">
        <v>0</v>
      </c>
    </row>
    <row r="521" spans="1:31" x14ac:dyDescent="0.25">
      <c r="A521" s="2" t="s">
        <v>555</v>
      </c>
      <c r="B521" s="2">
        <v>2021</v>
      </c>
      <c r="C521" s="2" t="s">
        <v>556</v>
      </c>
      <c r="D521" s="2" t="s">
        <v>307</v>
      </c>
      <c r="E521" s="2">
        <v>3.2513000000000001</v>
      </c>
      <c r="F521" s="2">
        <v>4.8540000000000001</v>
      </c>
      <c r="G521" s="2">
        <v>2.8420999999999998</v>
      </c>
      <c r="H521" s="2">
        <v>1.2137</v>
      </c>
      <c r="I521" s="2">
        <v>0.75839999999999996</v>
      </c>
      <c r="J521">
        <f>0.541888449633014*(100)</f>
        <v>54.188844963301399</v>
      </c>
      <c r="K521">
        <f>0.00624553621048612*(100)</f>
        <v>0.62455362104861201</v>
      </c>
      <c r="L521" s="2">
        <v>4.7704000000000004</v>
      </c>
      <c r="M521" s="2">
        <v>1.8472999999999999</v>
      </c>
      <c r="N521" s="2">
        <v>7.6204000000000001</v>
      </c>
      <c r="O521" s="2">
        <v>1.1709000000000001</v>
      </c>
      <c r="P521" s="2">
        <v>28.3901</v>
      </c>
      <c r="Q521" s="2">
        <v>16.051100000000002</v>
      </c>
      <c r="R521" s="2">
        <v>-31.6248058780027</v>
      </c>
      <c r="S521" s="2">
        <v>15.6675045070715</v>
      </c>
      <c r="T521" s="2">
        <v>3.7916012239386299</v>
      </c>
      <c r="U521" s="2">
        <v>56.039299999999997</v>
      </c>
      <c r="V521" s="2">
        <v>6.3399464386809408</v>
      </c>
      <c r="W521" s="2">
        <v>2.8298152189783998</v>
      </c>
      <c r="X521" s="2">
        <v>107.69038414922201</v>
      </c>
      <c r="Y521" s="2">
        <v>0.32063895704050799</v>
      </c>
      <c r="Z521" s="4">
        <v>8.4</v>
      </c>
      <c r="AA521" s="4">
        <v>9</v>
      </c>
      <c r="AB521" s="2">
        <v>0.9</v>
      </c>
      <c r="AC521" s="2">
        <v>20.9</v>
      </c>
      <c r="AD521" s="2">
        <v>11</v>
      </c>
      <c r="AE521" s="2">
        <v>0</v>
      </c>
    </row>
    <row r="522" spans="1:31" x14ac:dyDescent="0.25">
      <c r="A522" s="2" t="s">
        <v>548</v>
      </c>
      <c r="B522" s="2">
        <v>2015</v>
      </c>
      <c r="C522" s="2" t="s">
        <v>549</v>
      </c>
      <c r="D522" s="2" t="s">
        <v>550</v>
      </c>
      <c r="E522" s="2">
        <v>14.4657</v>
      </c>
      <c r="F522" s="2">
        <v>14.7377</v>
      </c>
      <c r="G522" s="2">
        <v>28.0227</v>
      </c>
      <c r="H522" s="2">
        <v>3.4544000000000001</v>
      </c>
      <c r="I522" s="2">
        <v>2.4003999999999999</v>
      </c>
      <c r="J522">
        <f>2.14030996137625*(100)</f>
        <v>214.03099613762498</v>
      </c>
      <c r="K522">
        <f>0.0541943421535253*(100)</f>
        <v>5.4194342153525303</v>
      </c>
      <c r="L522" s="2">
        <v>1.228</v>
      </c>
      <c r="M522" s="2">
        <v>0.71530000000000005</v>
      </c>
      <c r="N522" s="2">
        <v>6.2813999999999997</v>
      </c>
      <c r="O522" s="2">
        <v>0.52370000000000005</v>
      </c>
      <c r="P522" s="2">
        <v>815.04830000000004</v>
      </c>
      <c r="Q522" s="2">
        <v>27.3931</v>
      </c>
      <c r="R522" s="2">
        <v>58.874866283586599</v>
      </c>
      <c r="S522" s="2">
        <v>8.2414960946273902E-2</v>
      </c>
      <c r="T522" s="2">
        <v>5.7968585440850804</v>
      </c>
      <c r="U522" s="2">
        <v>21.388200000000001</v>
      </c>
      <c r="V522" s="2">
        <v>0.80322010475686201</v>
      </c>
      <c r="W522" s="2">
        <v>9.3310167731121396</v>
      </c>
      <c r="X522" s="2">
        <v>91.422700271411699</v>
      </c>
      <c r="Y522" s="2">
        <v>2.2143182439855398</v>
      </c>
      <c r="Z522" s="4">
        <v>6.9099999999999993</v>
      </c>
      <c r="AA522" s="4">
        <v>13.3</v>
      </c>
      <c r="AB522" s="2">
        <v>1.4</v>
      </c>
      <c r="AC522" s="2">
        <v>17.600000000000001</v>
      </c>
      <c r="AD522" s="2">
        <v>6.7000000000000028</v>
      </c>
      <c r="AE522" s="2">
        <v>0</v>
      </c>
    </row>
    <row r="523" spans="1:31" x14ac:dyDescent="0.25">
      <c r="A523" s="2" t="s">
        <v>548</v>
      </c>
      <c r="B523" s="2">
        <v>2016</v>
      </c>
      <c r="C523" s="2" t="s">
        <v>549</v>
      </c>
      <c r="D523" s="2" t="s">
        <v>550</v>
      </c>
      <c r="E523" s="2">
        <v>18.3871</v>
      </c>
      <c r="F523" s="2">
        <v>18.095199999999998</v>
      </c>
      <c r="G523" s="2">
        <v>30.587399999999999</v>
      </c>
      <c r="H523" s="2">
        <v>3.9315000000000002</v>
      </c>
      <c r="I523" s="2">
        <v>2.9214000000000002</v>
      </c>
      <c r="J523">
        <f>2.72700901932783*(100)</f>
        <v>272.70090193278298</v>
      </c>
      <c r="K523">
        <f>1.02968823471435*(100)</f>
        <v>102.96882347143499</v>
      </c>
      <c r="L523" s="2">
        <v>1.1666000000000001</v>
      </c>
      <c r="M523" s="2">
        <v>0.87139999999999995</v>
      </c>
      <c r="N523" s="2">
        <v>7.2545999999999999</v>
      </c>
      <c r="O523" s="2">
        <v>0.61839999999999995</v>
      </c>
      <c r="P523" s="2">
        <v>1029.9527</v>
      </c>
      <c r="Q523" s="2">
        <v>16.877199999999998</v>
      </c>
      <c r="R523" s="2">
        <v>25.758187696291898</v>
      </c>
      <c r="S523" s="2">
        <v>3.5566799108697902</v>
      </c>
      <c r="T523" s="2">
        <v>7.3769925529343103</v>
      </c>
      <c r="U523" s="2">
        <v>18.644100000000002</v>
      </c>
      <c r="V523" s="2">
        <v>0.62904071814560003</v>
      </c>
      <c r="W523" s="2">
        <v>9.4373518118562796</v>
      </c>
      <c r="X523" s="2">
        <v>95.075854846577798</v>
      </c>
      <c r="Y523" s="2">
        <v>31.612348364554201</v>
      </c>
      <c r="Z523" s="4">
        <v>6.7</v>
      </c>
      <c r="AA523" s="4">
        <v>11.3</v>
      </c>
      <c r="AB523" s="2">
        <v>2</v>
      </c>
      <c r="AC523" s="2">
        <v>15.9</v>
      </c>
      <c r="AD523" s="2">
        <v>7.7000000000000028</v>
      </c>
      <c r="AE523" s="2">
        <v>0</v>
      </c>
    </row>
    <row r="524" spans="1:31" x14ac:dyDescent="0.25">
      <c r="A524" s="2" t="s">
        <v>548</v>
      </c>
      <c r="B524" s="2">
        <v>2017</v>
      </c>
      <c r="C524" s="2" t="s">
        <v>549</v>
      </c>
      <c r="D524" s="2" t="s">
        <v>550</v>
      </c>
      <c r="E524" s="2">
        <v>19.876799999999999</v>
      </c>
      <c r="F524" s="2">
        <v>19.524799999999999</v>
      </c>
      <c r="G524" s="2">
        <v>32.979799999999997</v>
      </c>
      <c r="H524" s="2">
        <v>3.2671999999999999</v>
      </c>
      <c r="I524" s="2">
        <v>2.6234000000000002</v>
      </c>
      <c r="J524">
        <f>2.50558096787572*(100)</f>
        <v>250.55809678757203</v>
      </c>
      <c r="K524">
        <f>0.831255628366017*(100)</f>
        <v>83.125562836601702</v>
      </c>
      <c r="L524" s="2">
        <v>1.101</v>
      </c>
      <c r="M524" s="2">
        <v>0.8679</v>
      </c>
      <c r="N524" s="2">
        <v>9.0050000000000008</v>
      </c>
      <c r="O524" s="2">
        <v>0.62190000000000001</v>
      </c>
      <c r="P524" s="2">
        <v>1745.9312</v>
      </c>
      <c r="Q524" s="2">
        <v>16.615500000000001</v>
      </c>
      <c r="R524" s="2">
        <v>31.472040383117999</v>
      </c>
      <c r="S524" s="2">
        <v>41.460666662135701</v>
      </c>
      <c r="T524" s="2">
        <v>37.799322437230501</v>
      </c>
      <c r="U524" s="2">
        <v>22.490500000000001</v>
      </c>
      <c r="V524" s="2">
        <v>0.38440328324873302</v>
      </c>
      <c r="W524" s="2">
        <v>13.552230334568399</v>
      </c>
      <c r="X524" s="2">
        <v>119.49476571947599</v>
      </c>
      <c r="Y524" s="2">
        <v>35.531068233565598</v>
      </c>
      <c r="Z524" s="4">
        <v>6.9</v>
      </c>
      <c r="AA524" s="4">
        <v>8.2000000000000011</v>
      </c>
      <c r="AB524" s="2">
        <v>1.6</v>
      </c>
      <c r="AC524" s="2">
        <v>16.3</v>
      </c>
      <c r="AD524" s="2">
        <v>7.7999999999999972</v>
      </c>
      <c r="AE524" s="2">
        <v>0</v>
      </c>
    </row>
    <row r="525" spans="1:31" x14ac:dyDescent="0.25">
      <c r="A525" s="2" t="s">
        <v>548</v>
      </c>
      <c r="B525" s="2">
        <v>2018</v>
      </c>
      <c r="C525" s="2" t="s">
        <v>549</v>
      </c>
      <c r="D525" s="2" t="s">
        <v>550</v>
      </c>
      <c r="E525" s="2">
        <v>20.975000000000001</v>
      </c>
      <c r="F525" s="2">
        <v>21.693000000000001</v>
      </c>
      <c r="G525" s="2">
        <v>35.823900000000002</v>
      </c>
      <c r="H525" s="2">
        <v>2.8611</v>
      </c>
      <c r="I525" s="2">
        <v>2.2646000000000002</v>
      </c>
      <c r="J525">
        <f>2.17075968145722*(100)</f>
        <v>217.07596814572199</v>
      </c>
      <c r="K525">
        <f>0.784188644649804*(100)</f>
        <v>78.418864464980402</v>
      </c>
      <c r="L525" s="2">
        <v>0.97119999999999995</v>
      </c>
      <c r="M525" s="2">
        <v>0.87729999999999997</v>
      </c>
      <c r="N525" s="2">
        <v>12.0946</v>
      </c>
      <c r="O525" s="2">
        <v>0.61639999999999995</v>
      </c>
      <c r="P525" s="2">
        <v>1423.5142000000001</v>
      </c>
      <c r="Q525" s="2">
        <v>26.378900000000002</v>
      </c>
      <c r="R525" s="2">
        <v>34.9128795048344</v>
      </c>
      <c r="S525" s="2">
        <v>14.4219628467813</v>
      </c>
      <c r="T525" s="2">
        <v>11.8197197119388</v>
      </c>
      <c r="U525" s="2">
        <v>24.245699999999999</v>
      </c>
      <c r="V525" s="2">
        <v>0.28858103132659702</v>
      </c>
      <c r="W525" s="2">
        <v>16.6308272721121</v>
      </c>
      <c r="X525" s="2">
        <v>113.58029159543</v>
      </c>
      <c r="Y525" s="2">
        <v>32.920434220722399</v>
      </c>
      <c r="Z525" s="4">
        <v>6.6000000000000005</v>
      </c>
      <c r="AA525" s="4">
        <v>8.1</v>
      </c>
      <c r="AB525" s="2">
        <v>2.1</v>
      </c>
      <c r="AC525" s="2">
        <v>12.5</v>
      </c>
      <c r="AD525" s="2">
        <v>6.7000000000000028</v>
      </c>
      <c r="AE525" s="2">
        <v>0</v>
      </c>
    </row>
    <row r="526" spans="1:31" x14ac:dyDescent="0.25">
      <c r="A526" s="2" t="s">
        <v>548</v>
      </c>
      <c r="B526" s="2">
        <v>2019</v>
      </c>
      <c r="C526" s="2" t="s">
        <v>549</v>
      </c>
      <c r="D526" s="2" t="s">
        <v>550</v>
      </c>
      <c r="E526" s="2">
        <v>22.896699999999999</v>
      </c>
      <c r="F526" s="2">
        <v>25.525400000000001</v>
      </c>
      <c r="G526" s="2">
        <v>38.688200000000002</v>
      </c>
      <c r="H526" s="2">
        <v>2.4036</v>
      </c>
      <c r="I526" s="2">
        <v>1.8672</v>
      </c>
      <c r="J526">
        <f>1.43709343024804*(100)</f>
        <v>143.70934302480401</v>
      </c>
      <c r="K526">
        <f>0.516977697512586*(100)</f>
        <v>51.697769751258605</v>
      </c>
      <c r="L526" s="2">
        <v>0.89219999999999999</v>
      </c>
      <c r="M526" s="2">
        <v>0.99450000000000005</v>
      </c>
      <c r="N526" s="2">
        <v>12.425599999999999</v>
      </c>
      <c r="O526" s="2">
        <v>0.61399999999999999</v>
      </c>
      <c r="P526" s="2">
        <v>1105.0112999999999</v>
      </c>
      <c r="Q526" s="2">
        <v>20.886700000000001</v>
      </c>
      <c r="R526" s="2">
        <v>32.239869292282599</v>
      </c>
      <c r="S526" s="2">
        <v>27.9365589481868</v>
      </c>
      <c r="T526" s="2">
        <v>14.395647172482599</v>
      </c>
      <c r="U526" s="2">
        <v>32.383299999999998</v>
      </c>
      <c r="V526" s="2">
        <v>8.9148059703934095</v>
      </c>
      <c r="W526" s="2">
        <v>12.8745648264868</v>
      </c>
      <c r="X526" s="2">
        <v>116.85686900024</v>
      </c>
      <c r="Y526" s="2">
        <v>30.610351666995602</v>
      </c>
      <c r="Z526" s="4">
        <v>6</v>
      </c>
      <c r="AA526" s="4">
        <v>8.6999999999999993</v>
      </c>
      <c r="AB526" s="2">
        <v>2.9</v>
      </c>
      <c r="AC526" s="2">
        <v>15.6</v>
      </c>
      <c r="AD526" s="2">
        <v>5.5</v>
      </c>
      <c r="AE526" s="2">
        <v>0</v>
      </c>
    </row>
    <row r="527" spans="1:31" x14ac:dyDescent="0.25">
      <c r="A527" s="2" t="s">
        <v>557</v>
      </c>
      <c r="B527" s="2">
        <v>2014</v>
      </c>
      <c r="C527" s="2" t="s">
        <v>558</v>
      </c>
      <c r="D527" s="2" t="s">
        <v>346</v>
      </c>
      <c r="E527" s="2">
        <v>9.0556000000000001</v>
      </c>
      <c r="F527" s="2">
        <v>14.335599999999999</v>
      </c>
      <c r="G527" s="2">
        <v>2.4335</v>
      </c>
      <c r="H527" s="2">
        <v>1.0353000000000001</v>
      </c>
      <c r="I527" s="2">
        <v>0.67200000000000004</v>
      </c>
      <c r="J527">
        <f>0.489678363358257*(100)</f>
        <v>48.967836335825702</v>
      </c>
      <c r="K527">
        <f>0.153411882734871*(100)</f>
        <v>15.3411882734871</v>
      </c>
      <c r="L527" s="2">
        <v>12.7661</v>
      </c>
      <c r="M527" s="2">
        <v>5.2286000000000001</v>
      </c>
      <c r="N527" s="2">
        <v>7.9367999999999999</v>
      </c>
      <c r="O527" s="2">
        <v>2.6762000000000001</v>
      </c>
      <c r="P527" s="2">
        <v>42.536200000000001</v>
      </c>
      <c r="Q527" s="2">
        <v>1.4393</v>
      </c>
      <c r="R527" s="2">
        <v>14.597273249955901</v>
      </c>
      <c r="S527" s="2">
        <v>14.208667095266</v>
      </c>
      <c r="T527" s="2">
        <v>2.85309216928019</v>
      </c>
      <c r="U527" s="2">
        <v>61.151000000000003</v>
      </c>
      <c r="V527" s="2">
        <v>12.232551870022998</v>
      </c>
      <c r="W527" s="2">
        <v>1.21165123170075</v>
      </c>
      <c r="X527" s="2">
        <v>101.204378024696</v>
      </c>
      <c r="Y527" s="2">
        <v>3.7620838291245198</v>
      </c>
      <c r="Z527" s="4">
        <v>7.3</v>
      </c>
      <c r="AA527" s="4">
        <v>12.2</v>
      </c>
      <c r="AB527" s="2">
        <v>2</v>
      </c>
      <c r="AC527" s="2">
        <v>16.899999999999999</v>
      </c>
      <c r="AD527" s="2">
        <v>6.7000000000000028</v>
      </c>
      <c r="AE527" s="2">
        <v>0</v>
      </c>
    </row>
    <row r="528" spans="1:31" x14ac:dyDescent="0.25">
      <c r="A528" s="2" t="s">
        <v>557</v>
      </c>
      <c r="B528" s="2">
        <v>2015</v>
      </c>
      <c r="C528" s="2" t="s">
        <v>558</v>
      </c>
      <c r="D528" s="2" t="s">
        <v>346</v>
      </c>
      <c r="E528" s="2">
        <v>8.5184999999999995</v>
      </c>
      <c r="F528" s="2">
        <v>13.7136</v>
      </c>
      <c r="G528" s="2">
        <v>2.7191999999999998</v>
      </c>
      <c r="H528" s="2">
        <v>0.91420000000000001</v>
      </c>
      <c r="I528" s="2">
        <v>0.60209999999999997</v>
      </c>
      <c r="J528">
        <f>0.402576102081631*(100)</f>
        <v>40.257610208163101</v>
      </c>
      <c r="K528">
        <f>0.290116074616544*(100)</f>
        <v>29.0116074616544</v>
      </c>
      <c r="L528" s="2">
        <v>12.573700000000001</v>
      </c>
      <c r="M528" s="2">
        <v>5.0334000000000003</v>
      </c>
      <c r="N528" s="2">
        <v>6.7061999999999999</v>
      </c>
      <c r="O528" s="2">
        <v>2.2951000000000001</v>
      </c>
      <c r="P528" s="2">
        <v>35.297199999999997</v>
      </c>
      <c r="Q528" s="2">
        <v>-8.6206999999999994</v>
      </c>
      <c r="R528" s="2">
        <v>1.2773048199277099</v>
      </c>
      <c r="S528" s="2">
        <v>-1.44920497649076</v>
      </c>
      <c r="T528" s="2">
        <v>7.3258100960860899</v>
      </c>
      <c r="U528" s="2">
        <v>57.605400000000003</v>
      </c>
      <c r="V528" s="2">
        <v>13.334187102696099</v>
      </c>
      <c r="W528" s="2">
        <v>1.16419663157098</v>
      </c>
      <c r="X528" s="2">
        <v>102.132888705377</v>
      </c>
      <c r="Y528" s="2">
        <v>7.22860625507073</v>
      </c>
      <c r="Z528" s="4">
        <v>6.9099999999999993</v>
      </c>
      <c r="AA528" s="4">
        <v>13.3</v>
      </c>
      <c r="AB528" s="2">
        <v>1.4</v>
      </c>
      <c r="AC528" s="2">
        <v>17.600000000000001</v>
      </c>
      <c r="AD528" s="2">
        <v>5.7000000000000028</v>
      </c>
      <c r="AE528" s="2">
        <v>0</v>
      </c>
    </row>
    <row r="529" spans="1:31" x14ac:dyDescent="0.25">
      <c r="A529" s="2" t="s">
        <v>559</v>
      </c>
      <c r="B529" s="2">
        <v>2018</v>
      </c>
      <c r="C529" s="2" t="s">
        <v>560</v>
      </c>
      <c r="D529" s="2" t="s">
        <v>346</v>
      </c>
      <c r="E529" s="2">
        <v>1.2794000000000001</v>
      </c>
      <c r="F529" s="2">
        <v>0.32500000000000001</v>
      </c>
      <c r="G529" s="2">
        <v>3.6089000000000002</v>
      </c>
      <c r="H529" s="2">
        <v>0.89249999999999996</v>
      </c>
      <c r="I529" s="2">
        <v>0.77059999999999995</v>
      </c>
      <c r="J529">
        <f>0.527932332919901*(100)</f>
        <v>52.793233291990106</v>
      </c>
      <c r="K529">
        <f>0.101335271179951*(100)</f>
        <v>10.133527117995101</v>
      </c>
      <c r="L529" s="2">
        <v>5.6806000000000001</v>
      </c>
      <c r="M529" s="2">
        <v>0.8619</v>
      </c>
      <c r="N529" s="2">
        <v>0.64870000000000005</v>
      </c>
      <c r="O529" s="2">
        <v>0.15970000000000001</v>
      </c>
      <c r="P529" s="2">
        <v>7.508</v>
      </c>
      <c r="Q529" s="2">
        <v>45.484000000000002</v>
      </c>
      <c r="R529" s="2">
        <v>-95.551796199999998</v>
      </c>
      <c r="S529" s="2">
        <v>16.957081841401202</v>
      </c>
      <c r="T529" s="2">
        <v>-3.58938364650519</v>
      </c>
      <c r="U529" s="2">
        <v>47.306699999999999</v>
      </c>
      <c r="V529" s="2">
        <v>25.595288246750801</v>
      </c>
      <c r="W529" s="2">
        <v>1.85824608536781</v>
      </c>
      <c r="X529" s="2">
        <v>96.488822197443497</v>
      </c>
      <c r="Y529" s="2">
        <v>32.368046420916599</v>
      </c>
      <c r="Z529" s="4">
        <v>6.6000000000000005</v>
      </c>
      <c r="AA529" s="4">
        <v>8.1</v>
      </c>
      <c r="AB529" s="2">
        <v>2.1</v>
      </c>
      <c r="AC529" s="2">
        <v>12.5</v>
      </c>
      <c r="AD529" s="2">
        <v>6.0999999999999943</v>
      </c>
      <c r="AE529" s="2">
        <v>0</v>
      </c>
    </row>
    <row r="530" spans="1:31" x14ac:dyDescent="0.25">
      <c r="A530" s="2" t="s">
        <v>559</v>
      </c>
      <c r="B530" s="2">
        <v>2019</v>
      </c>
      <c r="C530" s="2" t="s">
        <v>560</v>
      </c>
      <c r="D530" s="2" t="s">
        <v>346</v>
      </c>
      <c r="E530" s="2">
        <v>4.3900000000000002E-2</v>
      </c>
      <c r="F530" s="2">
        <v>-2.1263000000000001</v>
      </c>
      <c r="G530" s="2">
        <v>-4.8760000000000003</v>
      </c>
      <c r="H530" s="2">
        <v>0.73950000000000005</v>
      </c>
      <c r="I530" s="2">
        <v>0.54320000000000002</v>
      </c>
      <c r="J530">
        <f>0.331199523944178*(100)</f>
        <v>33.119952394417801</v>
      </c>
      <c r="K530">
        <f>0.185161413058547*(100)</f>
        <v>18.516141305854699</v>
      </c>
      <c r="L530" s="2">
        <v>4.1109</v>
      </c>
      <c r="M530" s="2">
        <v>1.0017</v>
      </c>
      <c r="N530" s="2">
        <v>0.59109999999999996</v>
      </c>
      <c r="O530" s="2">
        <v>0.17780000000000001</v>
      </c>
      <c r="P530" s="2">
        <v>6.3624999999999998</v>
      </c>
      <c r="Q530" s="2">
        <v>47.398400000000002</v>
      </c>
      <c r="R530" s="2">
        <v>-1146.0778142619399</v>
      </c>
      <c r="S530" s="2">
        <v>46.034087228746699</v>
      </c>
      <c r="T530" s="2">
        <v>49.826020438409998</v>
      </c>
      <c r="U530" s="2">
        <v>48.064700000000002</v>
      </c>
      <c r="V530" s="2">
        <v>25.560822240567298</v>
      </c>
      <c r="W530" s="2">
        <v>1.6611820956652099</v>
      </c>
      <c r="X530" s="2">
        <v>95.645577167304694</v>
      </c>
      <c r="Y530" s="2">
        <v>59.410121573562101</v>
      </c>
      <c r="Z530" s="4">
        <v>6</v>
      </c>
      <c r="AA530" s="4">
        <v>8.6999999999999993</v>
      </c>
      <c r="AB530" s="2">
        <v>2.9</v>
      </c>
      <c r="AC530" s="2">
        <v>15.6</v>
      </c>
      <c r="AD530" s="2">
        <v>4.7999999999999972</v>
      </c>
      <c r="AE530" s="2">
        <v>0</v>
      </c>
    </row>
    <row r="531" spans="1:31" x14ac:dyDescent="0.25">
      <c r="A531" s="2" t="s">
        <v>561</v>
      </c>
      <c r="B531" s="2">
        <v>2015</v>
      </c>
      <c r="C531" s="2" t="s">
        <v>562</v>
      </c>
      <c r="D531" s="2" t="s">
        <v>301</v>
      </c>
      <c r="E531" s="2">
        <v>3.5028999999999999</v>
      </c>
      <c r="F531" s="2">
        <v>5.1848999999999998</v>
      </c>
      <c r="G531" s="2">
        <v>0.1804</v>
      </c>
      <c r="H531" s="2">
        <v>1.8317000000000001</v>
      </c>
      <c r="I531" s="2">
        <v>1.6052</v>
      </c>
      <c r="J531">
        <f>1.22999012365562*(100)</f>
        <v>122.99901236556201</v>
      </c>
      <c r="K531">
        <f>0.532086816233897*(100)</f>
        <v>53.208681623389694</v>
      </c>
      <c r="L531" s="2">
        <v>6.0869999999999997</v>
      </c>
      <c r="M531" s="2">
        <v>1.2870999999999999</v>
      </c>
      <c r="N531" s="2">
        <v>1.4363999999999999</v>
      </c>
      <c r="O531" s="2">
        <v>0.56430000000000002</v>
      </c>
      <c r="P531" s="2">
        <v>4.7362000000000002</v>
      </c>
      <c r="Q531" s="2">
        <v>13.0228</v>
      </c>
      <c r="R531" s="2">
        <v>-19.122375012938701</v>
      </c>
      <c r="S531" s="2">
        <v>37.828224763587301</v>
      </c>
      <c r="T531" s="2">
        <v>62.610710501877698</v>
      </c>
      <c r="U531" s="2">
        <v>38.746499999999997</v>
      </c>
      <c r="V531" s="2">
        <v>10.4272835790002</v>
      </c>
      <c r="W531" s="2">
        <v>1.9353145909348499</v>
      </c>
      <c r="X531" s="2">
        <v>118.706768532076</v>
      </c>
      <c r="Y531" s="2">
        <v>42.3464090834171</v>
      </c>
      <c r="Z531" s="4">
        <v>6.9099999999999993</v>
      </c>
      <c r="AA531" s="4">
        <v>13.3</v>
      </c>
      <c r="AB531" s="2">
        <v>1.4</v>
      </c>
      <c r="AC531" s="2">
        <v>17.600000000000001</v>
      </c>
      <c r="AD531" s="2">
        <v>5.7000000000000028</v>
      </c>
      <c r="AE531" s="2">
        <v>0</v>
      </c>
    </row>
    <row r="532" spans="1:31" x14ac:dyDescent="0.25">
      <c r="A532" s="2" t="s">
        <v>561</v>
      </c>
      <c r="B532" s="2">
        <v>2016</v>
      </c>
      <c r="C532" s="2" t="s">
        <v>562</v>
      </c>
      <c r="D532" s="2" t="s">
        <v>301</v>
      </c>
      <c r="E532" s="2">
        <v>3.3199000000000001</v>
      </c>
      <c r="F532" s="2">
        <v>4.2149999999999999</v>
      </c>
      <c r="G532" s="2">
        <v>3.3129</v>
      </c>
      <c r="H532" s="2">
        <v>1.7372000000000001</v>
      </c>
      <c r="I532" s="2">
        <v>1.5368999999999999</v>
      </c>
      <c r="J532">
        <f>1.073764532886*(100)</f>
        <v>107.37645328859999</v>
      </c>
      <c r="K532">
        <f>0.123808123704006*(100)</f>
        <v>12.3808123704006</v>
      </c>
      <c r="L532" s="2">
        <v>6.9417999999999997</v>
      </c>
      <c r="M532" s="2">
        <v>1.0421</v>
      </c>
      <c r="N532" s="2">
        <v>1.6375</v>
      </c>
      <c r="O532" s="2">
        <v>0.49580000000000002</v>
      </c>
      <c r="P532" s="2">
        <v>5.3470000000000004</v>
      </c>
      <c r="Q532" s="2">
        <v>1.5966</v>
      </c>
      <c r="R532" s="2">
        <v>2.4486825778905601</v>
      </c>
      <c r="S532" s="2">
        <v>0.23415230100630099</v>
      </c>
      <c r="T532" s="2">
        <v>3.8542607514031202</v>
      </c>
      <c r="U532" s="2">
        <v>36.534199999999998</v>
      </c>
      <c r="V532" s="2">
        <v>11.6086848008148</v>
      </c>
      <c r="W532" s="2">
        <v>2.1950643277503299</v>
      </c>
      <c r="X532" s="2">
        <v>97.047471782831991</v>
      </c>
      <c r="Y532" s="2">
        <v>9.1331771839551195</v>
      </c>
      <c r="Z532" s="4">
        <v>6.7</v>
      </c>
      <c r="AA532" s="4">
        <v>11.3</v>
      </c>
      <c r="AB532" s="2">
        <v>2</v>
      </c>
      <c r="AC532" s="2">
        <v>15.9</v>
      </c>
      <c r="AD532" s="2">
        <v>5.7000000000000028</v>
      </c>
      <c r="AE532" s="2">
        <v>0</v>
      </c>
    </row>
    <row r="533" spans="1:31" x14ac:dyDescent="0.25">
      <c r="A533" s="2" t="s">
        <v>561</v>
      </c>
      <c r="B533" s="2">
        <v>2017</v>
      </c>
      <c r="C533" s="2" t="s">
        <v>562</v>
      </c>
      <c r="D533" s="2" t="s">
        <v>301</v>
      </c>
      <c r="E533" s="2">
        <v>3.9283999999999999</v>
      </c>
      <c r="F533" s="2">
        <v>5.718</v>
      </c>
      <c r="G533" s="2">
        <v>6.3118999999999996</v>
      </c>
      <c r="H533" s="2">
        <v>1.1040000000000001</v>
      </c>
      <c r="I533" s="2">
        <v>0.94689999999999996</v>
      </c>
      <c r="J533">
        <f>0.486835742997748*(100)</f>
        <v>48.683574299774804</v>
      </c>
      <c r="K533">
        <f>0.126582639644997*(100)</f>
        <v>12.658263964499699</v>
      </c>
      <c r="L533" s="2">
        <v>8.2615999999999996</v>
      </c>
      <c r="M533" s="2">
        <v>1.3573</v>
      </c>
      <c r="N533" s="2">
        <v>2.1741000000000001</v>
      </c>
      <c r="O533" s="2">
        <v>0.54600000000000004</v>
      </c>
      <c r="P533" s="2">
        <v>5.2907999999999999</v>
      </c>
      <c r="Q533" s="2">
        <v>30.485600000000002</v>
      </c>
      <c r="R533" s="2">
        <v>41.819461739456003</v>
      </c>
      <c r="S533" s="2">
        <v>36.776606763108198</v>
      </c>
      <c r="T533" s="2">
        <v>5.2027017683814796</v>
      </c>
      <c r="U533" s="2">
        <v>51.184800000000003</v>
      </c>
      <c r="V533" s="2">
        <v>16.789377418239201</v>
      </c>
      <c r="W533" s="2">
        <v>2.1858268878861802</v>
      </c>
      <c r="X533" s="2">
        <v>94.285684113165303</v>
      </c>
      <c r="Y533" s="2">
        <v>13.7106391783958</v>
      </c>
      <c r="Z533" s="4">
        <v>6.9</v>
      </c>
      <c r="AA533" s="4">
        <v>8.2000000000000011</v>
      </c>
      <c r="AB533" s="2">
        <v>1.6</v>
      </c>
      <c r="AC533" s="2">
        <v>16.3</v>
      </c>
      <c r="AD533" s="2">
        <v>6.2000000000000028</v>
      </c>
      <c r="AE533" s="2">
        <v>0</v>
      </c>
    </row>
    <row r="534" spans="1:31" x14ac:dyDescent="0.25">
      <c r="A534" s="2" t="s">
        <v>561</v>
      </c>
      <c r="B534" s="2">
        <v>2018</v>
      </c>
      <c r="C534" s="2" t="s">
        <v>562</v>
      </c>
      <c r="D534" s="2" t="s">
        <v>301</v>
      </c>
      <c r="E534" s="2">
        <v>3.5729000000000002</v>
      </c>
      <c r="F534" s="2">
        <v>4.5728999999999997</v>
      </c>
      <c r="G534" s="2">
        <v>3.4018999999999999</v>
      </c>
      <c r="H534" s="2">
        <v>0.76619999999999999</v>
      </c>
      <c r="I534" s="2">
        <v>0.60160000000000002</v>
      </c>
      <c r="J534">
        <f>0.213697747723739*(100)</f>
        <v>21.369774772373901</v>
      </c>
      <c r="K534">
        <f>0.104759924430959*(100)</f>
        <v>10.475992443095899</v>
      </c>
      <c r="L534" s="2">
        <v>10.372299999999999</v>
      </c>
      <c r="M534" s="2">
        <v>2.2412000000000001</v>
      </c>
      <c r="N534" s="2">
        <v>1.6119000000000001</v>
      </c>
      <c r="O534" s="2">
        <v>0.64470000000000005</v>
      </c>
      <c r="P534" s="2">
        <v>6.2183999999999999</v>
      </c>
      <c r="Q534" s="2">
        <v>21.302</v>
      </c>
      <c r="R534" s="2">
        <v>-35.8832068046557</v>
      </c>
      <c r="S534" s="2">
        <v>9.6543786425836107</v>
      </c>
      <c r="T534" s="2">
        <v>44.733553644318398</v>
      </c>
      <c r="U534" s="2">
        <v>56.685499999999998</v>
      </c>
      <c r="V534" s="2">
        <v>25.0805211669364</v>
      </c>
      <c r="W534" s="2">
        <v>0.88905676044177295</v>
      </c>
      <c r="X534" s="2">
        <v>105.91186181899499</v>
      </c>
      <c r="Y534" s="2">
        <v>12.331464998393599</v>
      </c>
      <c r="Z534" s="4">
        <v>6.6000000000000005</v>
      </c>
      <c r="AA534" s="4">
        <v>8.1</v>
      </c>
      <c r="AB534" s="2">
        <v>2.1</v>
      </c>
      <c r="AC534" s="2">
        <v>12.5</v>
      </c>
      <c r="AD534" s="2">
        <v>6.0999999999999943</v>
      </c>
      <c r="AE534" s="2">
        <v>0</v>
      </c>
    </row>
    <row r="535" spans="1:31" x14ac:dyDescent="0.25">
      <c r="A535" s="2" t="s">
        <v>561</v>
      </c>
      <c r="B535" s="2">
        <v>2019</v>
      </c>
      <c r="C535" s="2" t="s">
        <v>562</v>
      </c>
      <c r="D535" s="2" t="s">
        <v>301</v>
      </c>
      <c r="E535" s="2">
        <v>2.7090999999999998</v>
      </c>
      <c r="F535" s="2">
        <v>3.1467999999999998</v>
      </c>
      <c r="G535" s="2">
        <v>3.3140000000000001</v>
      </c>
      <c r="H535" s="2">
        <v>0.70540000000000003</v>
      </c>
      <c r="I535" s="2">
        <v>0.54179999999999995</v>
      </c>
      <c r="J535">
        <f>0.157738685860826*(100)</f>
        <v>15.773868586082601</v>
      </c>
      <c r="K535">
        <f>0.122875474061794*(100)</f>
        <v>12.287547406179399</v>
      </c>
      <c r="L535" s="2">
        <v>7.7915999999999999</v>
      </c>
      <c r="M535" s="2">
        <v>2.093</v>
      </c>
      <c r="N535" s="2">
        <v>1.0533999999999999</v>
      </c>
      <c r="O535" s="2">
        <v>0.48259999999999997</v>
      </c>
      <c r="P535" s="2">
        <v>5.1319999999999997</v>
      </c>
      <c r="Q535" s="2">
        <v>4.5608000000000004</v>
      </c>
      <c r="R535" s="2">
        <v>-15.7046083767938</v>
      </c>
      <c r="S535" s="2">
        <v>9.0178044812849301</v>
      </c>
      <c r="T535" s="2">
        <v>2.7014078743209602</v>
      </c>
      <c r="U535" s="2">
        <v>59.195099999999996</v>
      </c>
      <c r="V535" s="2">
        <v>28.013458768045901</v>
      </c>
      <c r="W535" s="2">
        <v>0.94552586753864099</v>
      </c>
      <c r="X535" s="2">
        <v>111.965268555514</v>
      </c>
      <c r="Y535" s="2">
        <v>15.721106681188902</v>
      </c>
      <c r="Z535" s="4">
        <v>6</v>
      </c>
      <c r="AA535" s="4">
        <v>8.6999999999999993</v>
      </c>
      <c r="AB535" s="2">
        <v>2.9</v>
      </c>
      <c r="AC535" s="2">
        <v>15.6</v>
      </c>
      <c r="AD535" s="2">
        <v>4.7999999999999972</v>
      </c>
      <c r="AE535" s="2">
        <v>0</v>
      </c>
    </row>
    <row r="536" spans="1:31" x14ac:dyDescent="0.25">
      <c r="A536" s="2" t="s">
        <v>561</v>
      </c>
      <c r="B536" s="2">
        <v>2020</v>
      </c>
      <c r="C536" s="2" t="s">
        <v>562</v>
      </c>
      <c r="D536" s="2" t="s">
        <v>301</v>
      </c>
      <c r="E536" s="2">
        <v>3.4373999999999998</v>
      </c>
      <c r="F536" s="2">
        <v>4.8925999999999998</v>
      </c>
      <c r="G536" s="2">
        <v>5.5263</v>
      </c>
      <c r="H536" s="2">
        <v>0.85029999999999994</v>
      </c>
      <c r="I536" s="2">
        <v>0.64990000000000003</v>
      </c>
      <c r="J536">
        <f>0.262691814056635*(100)</f>
        <v>26.269181405663499</v>
      </c>
      <c r="K536">
        <f>0.166965856199877*(100)</f>
        <v>16.696585619987701</v>
      </c>
      <c r="L536" s="2">
        <v>6.92</v>
      </c>
      <c r="M536" s="2">
        <v>2.0078999999999998</v>
      </c>
      <c r="N536" s="2">
        <v>1.0640000000000001</v>
      </c>
      <c r="O536" s="2">
        <v>0.42059999999999997</v>
      </c>
      <c r="P536" s="2">
        <v>5.3394000000000004</v>
      </c>
      <c r="Q536" s="2">
        <v>-3.5579999999999998</v>
      </c>
      <c r="R536" s="2">
        <v>77.789207203298901</v>
      </c>
      <c r="S536" s="2">
        <v>12.3860520252362</v>
      </c>
      <c r="T536" s="2">
        <v>25.690104498961102</v>
      </c>
      <c r="U536" s="2">
        <v>54.364699999999999</v>
      </c>
      <c r="V536" s="2">
        <v>30.828404561123403</v>
      </c>
      <c r="W536" s="2">
        <v>1.25702054665329</v>
      </c>
      <c r="X536" s="2">
        <v>112.461043992333</v>
      </c>
      <c r="Y536" s="2">
        <v>22.840398402360602</v>
      </c>
      <c r="Z536" s="4">
        <v>2.2999999999999998</v>
      </c>
      <c r="AA536" s="4">
        <v>10.100000000000001</v>
      </c>
      <c r="AB536" s="2">
        <v>2.5</v>
      </c>
      <c r="AC536" s="2">
        <v>16.100000000000001</v>
      </c>
      <c r="AD536" s="2">
        <v>2.4000000000000057</v>
      </c>
      <c r="AE536" s="2">
        <v>0</v>
      </c>
    </row>
    <row r="537" spans="1:31" x14ac:dyDescent="0.25">
      <c r="A537" s="2" t="s">
        <v>561</v>
      </c>
      <c r="B537" s="2">
        <v>2021</v>
      </c>
      <c r="C537" s="2" t="s">
        <v>562</v>
      </c>
      <c r="D537" s="2" t="s">
        <v>301</v>
      </c>
      <c r="E537" s="2">
        <v>2.9112</v>
      </c>
      <c r="F537" s="2">
        <v>4.5073999999999996</v>
      </c>
      <c r="G537" s="2">
        <v>5.0979000000000001</v>
      </c>
      <c r="H537" s="2">
        <v>0.82330000000000003</v>
      </c>
      <c r="I537" s="2">
        <v>0.64739999999999998</v>
      </c>
      <c r="J537">
        <f>0.192092041849286*(100)</f>
        <v>19.209204184928598</v>
      </c>
      <c r="K537">
        <f>0.110909334060078*(100)</f>
        <v>11.0909334060078</v>
      </c>
      <c r="L537" s="2">
        <v>7.2571000000000003</v>
      </c>
      <c r="M537" s="2">
        <v>1.9883999999999999</v>
      </c>
      <c r="N537" s="2">
        <v>1.2482</v>
      </c>
      <c r="O537" s="2">
        <v>0.41339999999999999</v>
      </c>
      <c r="P537" s="2">
        <v>5.3841999999999999</v>
      </c>
      <c r="Q537" s="2">
        <v>8.8651999999999997</v>
      </c>
      <c r="R537" s="2">
        <v>4.6073016405324898</v>
      </c>
      <c r="S537" s="2">
        <v>9.3457537853224295</v>
      </c>
      <c r="T537" s="2">
        <v>3.8854421533423502</v>
      </c>
      <c r="U537" s="2">
        <v>56.643500000000003</v>
      </c>
      <c r="V537" s="2">
        <v>30.5255648706861</v>
      </c>
      <c r="W537" s="2">
        <v>1.4352736401350401</v>
      </c>
      <c r="X537" s="2">
        <v>103.32071961290099</v>
      </c>
      <c r="Y537" s="2">
        <v>15.875346847473901</v>
      </c>
      <c r="Z537" s="4">
        <v>8.4</v>
      </c>
      <c r="AA537" s="4">
        <v>9</v>
      </c>
      <c r="AB537" s="2">
        <v>0.9</v>
      </c>
      <c r="AC537" s="2">
        <v>20.9</v>
      </c>
      <c r="AD537" s="2">
        <v>10.400000000000006</v>
      </c>
      <c r="AE537" s="2">
        <v>0</v>
      </c>
    </row>
    <row r="538" spans="1:31" x14ac:dyDescent="0.25">
      <c r="A538" s="2" t="s">
        <v>563</v>
      </c>
      <c r="B538" s="2">
        <v>2014</v>
      </c>
      <c r="C538" s="2" t="s">
        <v>564</v>
      </c>
      <c r="D538" s="2" t="s">
        <v>301</v>
      </c>
      <c r="E538" s="2">
        <v>6.7747000000000002</v>
      </c>
      <c r="F538" s="2">
        <v>19.6721</v>
      </c>
      <c r="G538" s="2">
        <v>2.0861999999999998</v>
      </c>
      <c r="H538" s="2">
        <v>1.1564000000000001</v>
      </c>
      <c r="I538" s="2">
        <v>0.96</v>
      </c>
      <c r="J538">
        <f>0.473082228823957*(100)</f>
        <v>47.308222882395704</v>
      </c>
      <c r="K538">
        <f>0.0819832910890267*(100)</f>
        <v>8.1983291089026711</v>
      </c>
      <c r="L538" s="2">
        <v>7.7089999999999996</v>
      </c>
      <c r="M538" s="2">
        <v>1.9591000000000001</v>
      </c>
      <c r="N538" s="2">
        <v>4.9885000000000002</v>
      </c>
      <c r="O538" s="2">
        <v>1.1851</v>
      </c>
      <c r="P538" s="2">
        <v>8.5704999999999991</v>
      </c>
      <c r="Q538" s="2">
        <v>18.446100000000001</v>
      </c>
      <c r="R538" s="2">
        <v>46.7307914302027</v>
      </c>
      <c r="S538" s="2">
        <v>18.9499593862176</v>
      </c>
      <c r="T538" s="2">
        <v>28.4157482088909</v>
      </c>
      <c r="U538" s="2">
        <v>71.079499999999996</v>
      </c>
      <c r="V538" s="2">
        <v>19.423683089461001</v>
      </c>
      <c r="W538" s="2">
        <v>1.32636684250662</v>
      </c>
      <c r="X538" s="2">
        <v>106.29550372703601</v>
      </c>
      <c r="Y538" s="2">
        <v>5.3571335068979202</v>
      </c>
      <c r="Z538" s="4">
        <v>7.3</v>
      </c>
      <c r="AA538" s="4">
        <v>12.2</v>
      </c>
      <c r="AB538" s="2">
        <v>2</v>
      </c>
      <c r="AC538" s="2">
        <v>16.899999999999999</v>
      </c>
      <c r="AD538" s="2">
        <v>6.7000000000000028</v>
      </c>
      <c r="AE538" s="2">
        <v>0</v>
      </c>
    </row>
    <row r="539" spans="1:31" x14ac:dyDescent="0.25">
      <c r="A539" s="2" t="s">
        <v>563</v>
      </c>
      <c r="B539" s="2">
        <v>2015</v>
      </c>
      <c r="C539" s="2" t="s">
        <v>564</v>
      </c>
      <c r="D539" s="2" t="s">
        <v>301</v>
      </c>
      <c r="E539" s="2">
        <v>4.6239999999999997</v>
      </c>
      <c r="F539" s="2">
        <v>12.107200000000001</v>
      </c>
      <c r="G539" s="2">
        <v>1.2783</v>
      </c>
      <c r="H539" s="2">
        <v>0.99590000000000001</v>
      </c>
      <c r="I539" s="2">
        <v>0.8286</v>
      </c>
      <c r="J539">
        <f>0.360527405082721*(100)</f>
        <v>36.052740508272102</v>
      </c>
      <c r="K539">
        <f>0.0997509220188821*(100)</f>
        <v>9.9750922018882093</v>
      </c>
      <c r="L539" s="2">
        <v>9.4606999999999992</v>
      </c>
      <c r="M539" s="2">
        <v>1.9202999999999999</v>
      </c>
      <c r="N539" s="2">
        <v>4.5309999999999997</v>
      </c>
      <c r="O539" s="2">
        <v>1.0249999999999999</v>
      </c>
      <c r="P539" s="2">
        <v>7.8582000000000001</v>
      </c>
      <c r="Q539" s="2">
        <v>3.5821999999999998</v>
      </c>
      <c r="R539" s="2">
        <v>-23.689644997184999</v>
      </c>
      <c r="S539" s="2">
        <v>20.325762213862301</v>
      </c>
      <c r="T539" s="2">
        <v>33.063870545739199</v>
      </c>
      <c r="U539" s="2">
        <v>66.328599999999994</v>
      </c>
      <c r="V539" s="2">
        <v>18.0329338991112</v>
      </c>
      <c r="W539" s="2">
        <v>1.4449440491535599</v>
      </c>
      <c r="X539" s="2">
        <v>107.67532009768399</v>
      </c>
      <c r="Y539" s="2">
        <v>7.0702922395427397</v>
      </c>
      <c r="Z539" s="4">
        <v>6.9099999999999993</v>
      </c>
      <c r="AA539" s="4">
        <v>13.3</v>
      </c>
      <c r="AB539" s="2">
        <v>1.4</v>
      </c>
      <c r="AC539" s="2">
        <v>17.600000000000001</v>
      </c>
      <c r="AD539" s="2">
        <v>5.7000000000000028</v>
      </c>
      <c r="AE539" s="2">
        <v>0</v>
      </c>
    </row>
    <row r="540" spans="1:31" x14ac:dyDescent="0.25">
      <c r="A540" s="2" t="s">
        <v>565</v>
      </c>
      <c r="B540" s="2">
        <v>2014</v>
      </c>
      <c r="C540" s="2" t="s">
        <v>566</v>
      </c>
      <c r="D540" s="2" t="s">
        <v>301</v>
      </c>
      <c r="E540" s="2">
        <v>9.3926999999999996</v>
      </c>
      <c r="F540" s="2">
        <v>11.145099999999999</v>
      </c>
      <c r="G540" s="2">
        <v>4.8798000000000004</v>
      </c>
      <c r="H540" s="2">
        <v>1.1918</v>
      </c>
      <c r="I540" s="2">
        <v>0.89249999999999996</v>
      </c>
      <c r="J540">
        <f>0.281673901221438*(100)</f>
        <v>28.1673901221438</v>
      </c>
      <c r="K540">
        <f>-0.122861865634397*(100)</f>
        <v>-12.286186563439699</v>
      </c>
      <c r="L540" s="2">
        <v>10.9152</v>
      </c>
      <c r="M540" s="2">
        <v>3.1884000000000001</v>
      </c>
      <c r="N540" s="2">
        <v>2.8109999999999999</v>
      </c>
      <c r="O540" s="2">
        <v>1.3149</v>
      </c>
      <c r="P540" s="2">
        <v>10.2478</v>
      </c>
      <c r="Q540" s="2">
        <v>162.74289999999999</v>
      </c>
      <c r="R540" s="2">
        <v>2.4831571492167299</v>
      </c>
      <c r="S540" s="2">
        <v>253.92537559167201</v>
      </c>
      <c r="T540" s="2">
        <v>311.774610310985</v>
      </c>
      <c r="U540" s="2">
        <v>43.3</v>
      </c>
      <c r="V540" s="2">
        <v>3.7823212051453501</v>
      </c>
      <c r="W540" s="2">
        <v>1.39127296222633</v>
      </c>
      <c r="X540" s="2">
        <v>82.033800695529095</v>
      </c>
      <c r="Y540" s="2">
        <v>-5.5931934168317001</v>
      </c>
      <c r="Z540" s="4">
        <v>7.3</v>
      </c>
      <c r="AA540" s="4">
        <v>12.2</v>
      </c>
      <c r="AB540" s="2">
        <v>2</v>
      </c>
      <c r="AC540" s="2">
        <v>16.899999999999999</v>
      </c>
      <c r="AD540" s="2">
        <v>6.7000000000000028</v>
      </c>
      <c r="AE540" s="2">
        <v>0</v>
      </c>
    </row>
    <row r="541" spans="1:31" x14ac:dyDescent="0.25">
      <c r="A541" s="2" t="s">
        <v>565</v>
      </c>
      <c r="B541" s="2">
        <v>2017</v>
      </c>
      <c r="C541" s="2" t="s">
        <v>566</v>
      </c>
      <c r="D541" s="2" t="s">
        <v>301</v>
      </c>
      <c r="E541" s="2">
        <v>7.85</v>
      </c>
      <c r="F541" s="2">
        <v>12.391500000000001</v>
      </c>
      <c r="G541" s="2">
        <v>8.3033999999999999</v>
      </c>
      <c r="H541" s="2">
        <v>1.4581</v>
      </c>
      <c r="I541" s="2">
        <v>1.1567000000000001</v>
      </c>
      <c r="J541">
        <f>0.549105483384401*(100)</f>
        <v>54.910548338440101</v>
      </c>
      <c r="K541">
        <f>0.0454329557725786*(100)</f>
        <v>4.5432955772578598</v>
      </c>
      <c r="L541" s="2">
        <v>4.5145999999999997</v>
      </c>
      <c r="M541" s="2">
        <v>1.2174</v>
      </c>
      <c r="N541" s="2">
        <v>5.8673999999999999</v>
      </c>
      <c r="O541" s="2">
        <v>0.7903</v>
      </c>
      <c r="P541" s="2">
        <v>4.1345000000000001</v>
      </c>
      <c r="Q541" s="2">
        <v>27.543600000000001</v>
      </c>
      <c r="R541" s="2">
        <v>33.538351422587397</v>
      </c>
      <c r="S541" s="2">
        <v>24.995076346145101</v>
      </c>
      <c r="T541" s="2">
        <v>11.715317770368699</v>
      </c>
      <c r="U541" s="2">
        <v>52.671500000000002</v>
      </c>
      <c r="V541" s="2">
        <v>9.5283805774320989</v>
      </c>
      <c r="W541" s="2">
        <v>3.3465092860528398</v>
      </c>
      <c r="X541" s="2">
        <v>85.1672012337647</v>
      </c>
      <c r="Y541" s="2">
        <v>3.3643433914714</v>
      </c>
      <c r="Z541" s="4">
        <v>6.9</v>
      </c>
      <c r="AA541" s="4">
        <v>8.2000000000000011</v>
      </c>
      <c r="AB541" s="2">
        <v>1.6</v>
      </c>
      <c r="AC541" s="2">
        <v>16.3</v>
      </c>
      <c r="AD541" s="2">
        <v>6.2000000000000028</v>
      </c>
      <c r="AE541" s="2">
        <v>0</v>
      </c>
    </row>
    <row r="542" spans="1:31" x14ac:dyDescent="0.25">
      <c r="A542" s="2" t="s">
        <v>567</v>
      </c>
      <c r="B542" s="2">
        <v>2014</v>
      </c>
      <c r="C542" s="2" t="s">
        <v>568</v>
      </c>
      <c r="D542" s="2" t="s">
        <v>301</v>
      </c>
      <c r="E542" s="2">
        <v>4.2457000000000003</v>
      </c>
      <c r="F542" s="2">
        <v>4.0404</v>
      </c>
      <c r="G542" s="2">
        <v>5.5628000000000002</v>
      </c>
      <c r="H542" s="2">
        <v>2.0501999999999998</v>
      </c>
      <c r="I542" s="2">
        <v>1.7051000000000001</v>
      </c>
      <c r="J542">
        <f>0.643912672715653*(100)</f>
        <v>64.391267271565297</v>
      </c>
      <c r="K542">
        <f>-0.225600071623445*(100)</f>
        <v>-22.560007162344501</v>
      </c>
      <c r="L542" s="2">
        <v>2.6400999999999999</v>
      </c>
      <c r="M542" s="2">
        <v>0.72760000000000002</v>
      </c>
      <c r="N542" s="2">
        <v>2.6467999999999998</v>
      </c>
      <c r="O542" s="2">
        <v>0.4763</v>
      </c>
      <c r="P542" s="2">
        <v>4.0068999999999999</v>
      </c>
      <c r="Q542" s="2">
        <v>-21.714300000000001</v>
      </c>
      <c r="R542" s="2">
        <v>375.425222818522</v>
      </c>
      <c r="S542" s="2">
        <v>-14.0675975237919</v>
      </c>
      <c r="T542" s="2">
        <v>3.8311812256040398</v>
      </c>
      <c r="U542" s="2">
        <v>41.915700000000001</v>
      </c>
      <c r="V542" s="2">
        <v>5.7224755151374405</v>
      </c>
      <c r="W542" s="2">
        <v>4.2529157058473599</v>
      </c>
      <c r="X542" s="2">
        <v>88.947955048763902</v>
      </c>
      <c r="Y542" s="2">
        <v>-18.680736026694401</v>
      </c>
      <c r="Z542" s="4">
        <v>7.3</v>
      </c>
      <c r="AA542" s="4">
        <v>12.2</v>
      </c>
      <c r="AB542" s="2">
        <v>2</v>
      </c>
      <c r="AC542" s="2">
        <v>16.899999999999999</v>
      </c>
      <c r="AD542" s="2">
        <v>6.7000000000000028</v>
      </c>
      <c r="AE542" s="2">
        <v>0</v>
      </c>
    </row>
    <row r="543" spans="1:31" x14ac:dyDescent="0.25">
      <c r="A543" s="2" t="s">
        <v>567</v>
      </c>
      <c r="B543" s="2">
        <v>2015</v>
      </c>
      <c r="C543" s="2" t="s">
        <v>568</v>
      </c>
      <c r="D543" s="2" t="s">
        <v>301</v>
      </c>
      <c r="E543" s="2">
        <v>3.5886</v>
      </c>
      <c r="F543" s="2">
        <v>3.3584999999999998</v>
      </c>
      <c r="G543" s="2">
        <v>2.7</v>
      </c>
      <c r="H543" s="2">
        <v>1.7858000000000001</v>
      </c>
      <c r="I543" s="2">
        <v>1.2302999999999999</v>
      </c>
      <c r="J543">
        <f>0.178088048844708*(100)</f>
        <v>17.808804884470799</v>
      </c>
      <c r="K543">
        <f>-0.206808954665673*(100)</f>
        <v>-20.6808954665673</v>
      </c>
      <c r="L543" s="2">
        <v>5.9462000000000002</v>
      </c>
      <c r="M543" s="2">
        <v>1.7289000000000001</v>
      </c>
      <c r="N543" s="2">
        <v>13.9786</v>
      </c>
      <c r="O543" s="2">
        <v>1.0170999999999999</v>
      </c>
      <c r="P543" s="2">
        <v>4.5575000000000001</v>
      </c>
      <c r="Q543" s="2">
        <v>261.2901</v>
      </c>
      <c r="R543" s="2">
        <v>54.129095080130803</v>
      </c>
      <c r="S543" s="2">
        <v>159.244965335816</v>
      </c>
      <c r="T543" s="2">
        <v>212.72179783416999</v>
      </c>
      <c r="U543" s="2">
        <v>30.717700000000001</v>
      </c>
      <c r="V543" s="2">
        <v>1.0943451212816999</v>
      </c>
      <c r="W543" s="2">
        <v>14.388859232215999</v>
      </c>
      <c r="X543" s="2">
        <v>104.27985588519</v>
      </c>
      <c r="Y543" s="2">
        <v>-9.0141721870387208</v>
      </c>
      <c r="Z543" s="4">
        <v>6.9099999999999993</v>
      </c>
      <c r="AA543" s="4">
        <v>13.3</v>
      </c>
      <c r="AB543" s="2">
        <v>1.4</v>
      </c>
      <c r="AC543" s="2">
        <v>17.600000000000001</v>
      </c>
      <c r="AD543" s="2">
        <v>5.7000000000000028</v>
      </c>
      <c r="AE543" s="2">
        <v>0</v>
      </c>
    </row>
    <row r="544" spans="1:31" x14ac:dyDescent="0.25">
      <c r="A544" s="2" t="s">
        <v>567</v>
      </c>
      <c r="B544" s="2">
        <v>2016</v>
      </c>
      <c r="C544" s="2" t="s">
        <v>568</v>
      </c>
      <c r="D544" s="2" t="s">
        <v>301</v>
      </c>
      <c r="E544" s="2">
        <v>8.6744000000000003</v>
      </c>
      <c r="F544" s="2">
        <v>11.2851</v>
      </c>
      <c r="G544" s="2">
        <v>5.6745999999999999</v>
      </c>
      <c r="H544" s="2">
        <v>1.5335000000000001</v>
      </c>
      <c r="I544" s="2">
        <v>1.1117999999999999</v>
      </c>
      <c r="J544">
        <f>0.345553009977278*(100)</f>
        <v>34.555300997727798</v>
      </c>
      <c r="K544">
        <f>0.0161906233558041*(100)</f>
        <v>1.6190623355804099</v>
      </c>
      <c r="L544" s="2">
        <v>6.8159999999999998</v>
      </c>
      <c r="M544" s="2">
        <v>2.1734</v>
      </c>
      <c r="N544" s="2">
        <v>66.569900000000004</v>
      </c>
      <c r="O544" s="2">
        <v>1.3774</v>
      </c>
      <c r="P544" s="2">
        <v>4.78</v>
      </c>
      <c r="Q544" s="2">
        <v>138.3579</v>
      </c>
      <c r="R544" s="2">
        <v>462.55296626846399</v>
      </c>
      <c r="S544" s="2">
        <v>43.891799640193803</v>
      </c>
      <c r="T544" s="2">
        <v>10.3256691167455</v>
      </c>
      <c r="U544" s="2">
        <v>46.1008</v>
      </c>
      <c r="V544" s="2">
        <v>2.2119239000173003E-2</v>
      </c>
      <c r="W544" s="2">
        <v>334.97441129003403</v>
      </c>
      <c r="X544" s="2">
        <v>96.825324291029901</v>
      </c>
      <c r="Y544" s="2">
        <v>0.63939239213487808</v>
      </c>
      <c r="Z544" s="4">
        <v>6.7</v>
      </c>
      <c r="AA544" s="4">
        <v>11.3</v>
      </c>
      <c r="AB544" s="2">
        <v>2</v>
      </c>
      <c r="AC544" s="2">
        <v>15.9</v>
      </c>
      <c r="AD544" s="2">
        <v>5.7000000000000028</v>
      </c>
      <c r="AE544" s="2">
        <v>0</v>
      </c>
    </row>
    <row r="545" spans="1:31" x14ac:dyDescent="0.25">
      <c r="A545" s="2" t="s">
        <v>569</v>
      </c>
      <c r="B545" s="2">
        <v>2015</v>
      </c>
      <c r="C545" s="2" t="s">
        <v>570</v>
      </c>
      <c r="D545" s="2" t="s">
        <v>301</v>
      </c>
      <c r="E545" s="2">
        <v>8.1715</v>
      </c>
      <c r="F545" s="2">
        <v>12.0063</v>
      </c>
      <c r="G545" s="2">
        <v>7.9283000000000001</v>
      </c>
      <c r="H545" s="2">
        <v>1.5321</v>
      </c>
      <c r="I545" s="2">
        <v>1.2041999999999999</v>
      </c>
      <c r="J545">
        <f>0.395481927342802*(100)</f>
        <v>39.5481927342802</v>
      </c>
      <c r="K545">
        <f>0.278652004574131*(100)</f>
        <v>27.865200457413096</v>
      </c>
      <c r="L545" s="2">
        <v>5.0277000000000003</v>
      </c>
      <c r="M545" s="2">
        <v>1.5165999999999999</v>
      </c>
      <c r="N545" s="2">
        <v>2.6318000000000001</v>
      </c>
      <c r="O545" s="2">
        <v>0.88619999999999999</v>
      </c>
      <c r="P545" s="2">
        <v>2.9636</v>
      </c>
      <c r="Q545" s="2">
        <v>2.5905</v>
      </c>
      <c r="R545" s="2">
        <v>5.8476475918385002</v>
      </c>
      <c r="S545" s="2">
        <v>6.5641384420247899</v>
      </c>
      <c r="T545" s="2">
        <v>6.5988257744030197</v>
      </c>
      <c r="U545" s="2">
        <v>45.763399999999997</v>
      </c>
      <c r="V545" s="2">
        <v>8.0544791624341698</v>
      </c>
      <c r="W545" s="2">
        <v>1.5568840252056999</v>
      </c>
      <c r="X545" s="2">
        <v>107.437236767504</v>
      </c>
      <c r="Y545" s="2">
        <v>14.846391913482501</v>
      </c>
      <c r="Z545" s="4">
        <v>6.9099999999999993</v>
      </c>
      <c r="AA545" s="4">
        <v>13.3</v>
      </c>
      <c r="AB545" s="2">
        <v>1.4</v>
      </c>
      <c r="AC545" s="2">
        <v>17.600000000000001</v>
      </c>
      <c r="AD545" s="2">
        <v>5.7000000000000028</v>
      </c>
      <c r="AE545" s="2">
        <v>0</v>
      </c>
    </row>
    <row r="546" spans="1:31" x14ac:dyDescent="0.25">
      <c r="A546" s="2" t="s">
        <v>569</v>
      </c>
      <c r="B546" s="2">
        <v>2016</v>
      </c>
      <c r="C546" s="2" t="s">
        <v>570</v>
      </c>
      <c r="D546" s="2" t="s">
        <v>301</v>
      </c>
      <c r="E546" s="2">
        <v>10.4666</v>
      </c>
      <c r="F546" s="2">
        <v>15.387499999999999</v>
      </c>
      <c r="G546" s="2">
        <v>10.1411</v>
      </c>
      <c r="H546" s="2">
        <v>1.4439</v>
      </c>
      <c r="I546" s="2">
        <v>1.1345000000000001</v>
      </c>
      <c r="J546">
        <f>0.301033142578931*(100)</f>
        <v>30.1033142578931</v>
      </c>
      <c r="K546">
        <f>0.276083432481617*(100)</f>
        <v>27.608343248161699</v>
      </c>
      <c r="L546" s="2">
        <v>6.0731000000000002</v>
      </c>
      <c r="M546" s="2">
        <v>1.6369</v>
      </c>
      <c r="N546" s="2">
        <v>2.5329999999999999</v>
      </c>
      <c r="O546" s="2">
        <v>0.9284</v>
      </c>
      <c r="P546" s="2">
        <v>3.0472000000000001</v>
      </c>
      <c r="Q546" s="2">
        <v>12.1952</v>
      </c>
      <c r="R546" s="2">
        <v>37.564791205254799</v>
      </c>
      <c r="S546" s="2">
        <v>7.6046315912725699</v>
      </c>
      <c r="T546" s="2">
        <v>7.8974709315010001</v>
      </c>
      <c r="U546" s="2">
        <v>44.359900000000003</v>
      </c>
      <c r="V546" s="2">
        <v>5.7618258132035098</v>
      </c>
      <c r="W546" s="2">
        <v>1.4512641299681801</v>
      </c>
      <c r="X546" s="2">
        <v>101.29483642190699</v>
      </c>
      <c r="Y546" s="2">
        <v>13.675011878698301</v>
      </c>
      <c r="Z546" s="4">
        <v>6.7</v>
      </c>
      <c r="AA546" s="4">
        <v>11.3</v>
      </c>
      <c r="AB546" s="2">
        <v>2</v>
      </c>
      <c r="AC546" s="2">
        <v>15.9</v>
      </c>
      <c r="AD546" s="2">
        <v>5.7000000000000028</v>
      </c>
      <c r="AE546" s="2">
        <v>0</v>
      </c>
    </row>
    <row r="547" spans="1:31" x14ac:dyDescent="0.25">
      <c r="A547" s="2" t="s">
        <v>571</v>
      </c>
      <c r="B547" s="2">
        <v>2020</v>
      </c>
      <c r="C547" s="2" t="s">
        <v>572</v>
      </c>
      <c r="D547" s="2" t="s">
        <v>316</v>
      </c>
      <c r="E547" s="2">
        <v>4.1410999999999998</v>
      </c>
      <c r="F547" s="2">
        <v>6.0964999999999998</v>
      </c>
      <c r="G547" s="2">
        <v>7.0625999999999998</v>
      </c>
      <c r="H547" s="2">
        <v>2.1594000000000002</v>
      </c>
      <c r="I547" s="2">
        <v>1.6253</v>
      </c>
      <c r="J547">
        <f>0.596507298385106*(100)</f>
        <v>59.6507298385106</v>
      </c>
      <c r="K547">
        <f>0.0217719935628223*(100)</f>
        <v>2.1771993562822298</v>
      </c>
      <c r="L547" s="2">
        <v>3.1255999999999999</v>
      </c>
      <c r="M547" s="2">
        <v>0.95040000000000002</v>
      </c>
      <c r="N547" s="2">
        <v>2.2387000000000001</v>
      </c>
      <c r="O547" s="2">
        <v>0.55489999999999995</v>
      </c>
      <c r="P547" s="2">
        <v>2.383</v>
      </c>
      <c r="Q547" s="2">
        <v>5.8226000000000004</v>
      </c>
      <c r="R547" s="2">
        <v>-30.611958863340298</v>
      </c>
      <c r="S547" s="2">
        <v>15.096638768729401</v>
      </c>
      <c r="T547" s="2">
        <v>2.9501930916647598</v>
      </c>
      <c r="U547" s="2">
        <v>40.806199999999997</v>
      </c>
      <c r="V547" s="2">
        <v>13.204954433267199</v>
      </c>
      <c r="W547" s="2">
        <v>2.5406512191081601</v>
      </c>
      <c r="X547" s="2">
        <v>87.218979293573796</v>
      </c>
      <c r="Y547" s="2">
        <v>1.71338165555317</v>
      </c>
      <c r="Z547" s="4">
        <v>2.2999999999999998</v>
      </c>
      <c r="AA547" s="4">
        <v>10.100000000000001</v>
      </c>
      <c r="AB547" s="2">
        <v>2.5</v>
      </c>
      <c r="AC547" s="2">
        <v>16.100000000000001</v>
      </c>
      <c r="AD547" s="2">
        <v>2.4000000000000057</v>
      </c>
      <c r="AE547" s="2">
        <v>0</v>
      </c>
    </row>
    <row r="548" spans="1:31" x14ac:dyDescent="0.25">
      <c r="A548" s="2" t="s">
        <v>571</v>
      </c>
      <c r="B548" s="2">
        <v>2021</v>
      </c>
      <c r="C548" s="2" t="s">
        <v>572</v>
      </c>
      <c r="D548" s="2" t="s">
        <v>316</v>
      </c>
      <c r="E548" s="2">
        <v>4.6567999999999996</v>
      </c>
      <c r="F548" s="2">
        <v>7.5255000000000001</v>
      </c>
      <c r="G548" s="2">
        <v>7.5327000000000002</v>
      </c>
      <c r="H548" s="2">
        <v>1.8763000000000001</v>
      </c>
      <c r="I548" s="2">
        <v>1.4553</v>
      </c>
      <c r="J548">
        <f>0.719188500220273*(100)</f>
        <v>71.9188500220273</v>
      </c>
      <c r="K548">
        <f>0.0592272492705844*(100)</f>
        <v>5.9227249270584394</v>
      </c>
      <c r="L548" s="2">
        <v>3.0051999999999999</v>
      </c>
      <c r="M548" s="2">
        <v>0.87629999999999997</v>
      </c>
      <c r="N548" s="2">
        <v>2.5573000000000001</v>
      </c>
      <c r="O548" s="2">
        <v>0.53979999999999995</v>
      </c>
      <c r="P548" s="2">
        <v>2.4028</v>
      </c>
      <c r="Q548" s="2">
        <v>15.988899999999999</v>
      </c>
      <c r="R548" s="2">
        <v>32.428475158026401</v>
      </c>
      <c r="S548" s="2">
        <v>22.850300805260201</v>
      </c>
      <c r="T548" s="2">
        <v>8.1183634868770298</v>
      </c>
      <c r="U548" s="2">
        <v>45.658299999999997</v>
      </c>
      <c r="V548" s="2">
        <v>11.965360841361299</v>
      </c>
      <c r="W548" s="2">
        <v>2.8124263710649702</v>
      </c>
      <c r="X548" s="2">
        <v>92.329358172374995</v>
      </c>
      <c r="Y548" s="2">
        <v>5.52370561339945</v>
      </c>
      <c r="Z548" s="4">
        <v>8.4</v>
      </c>
      <c r="AA548" s="4">
        <v>9</v>
      </c>
      <c r="AB548" s="2">
        <v>0.9</v>
      </c>
      <c r="AC548" s="2">
        <v>20.9</v>
      </c>
      <c r="AD548" s="2">
        <v>10.400000000000006</v>
      </c>
      <c r="AE548" s="2">
        <v>0</v>
      </c>
    </row>
    <row r="549" spans="1:31" x14ac:dyDescent="0.25">
      <c r="A549" s="2" t="s">
        <v>573</v>
      </c>
      <c r="B549" s="2">
        <v>2018</v>
      </c>
      <c r="C549" s="2" t="s">
        <v>574</v>
      </c>
      <c r="D549" s="2" t="s">
        <v>575</v>
      </c>
      <c r="E549" s="2">
        <v>10.4039</v>
      </c>
      <c r="F549" s="2">
        <v>11.077500000000001</v>
      </c>
      <c r="G549" s="2">
        <v>29.860600000000002</v>
      </c>
      <c r="H549" s="2">
        <v>3.4213</v>
      </c>
      <c r="I549" s="2">
        <v>3.2063000000000001</v>
      </c>
      <c r="J549">
        <f>1.27624879172585*(100)</f>
        <v>127.624879172585</v>
      </c>
      <c r="K549">
        <f>0.238407818930191*(100)</f>
        <v>23.840781893019098</v>
      </c>
      <c r="L549" s="2">
        <v>5.3388999999999998</v>
      </c>
      <c r="M549" s="2">
        <v>0.62990000000000002</v>
      </c>
      <c r="N549" s="2">
        <v>8.0395000000000003</v>
      </c>
      <c r="O549" s="2">
        <v>0.3548</v>
      </c>
      <c r="P549" s="2">
        <v>1.3898999999999999</v>
      </c>
      <c r="Q549" s="2">
        <v>32.870899999999999</v>
      </c>
      <c r="R549" s="2">
        <v>20.732388164606899</v>
      </c>
      <c r="S549" s="2">
        <v>18.647610816845201</v>
      </c>
      <c r="T549" s="2">
        <v>12.9178246810879</v>
      </c>
      <c r="U549" s="2">
        <v>16.4344</v>
      </c>
      <c r="V549" s="2">
        <v>0.72070288522698001</v>
      </c>
      <c r="W549" s="2">
        <v>18.035070518220099</v>
      </c>
      <c r="X549" s="2">
        <v>82.871117249932198</v>
      </c>
      <c r="Y549" s="2">
        <v>11.9853687349478</v>
      </c>
      <c r="Z549" s="4">
        <v>6.6000000000000005</v>
      </c>
      <c r="AA549" s="4">
        <v>8.1</v>
      </c>
      <c r="AB549" s="2">
        <v>2.1</v>
      </c>
      <c r="AC549" s="2">
        <v>12.5</v>
      </c>
      <c r="AD549" s="2">
        <v>6.0999999999999943</v>
      </c>
      <c r="AE549" s="2">
        <v>0</v>
      </c>
    </row>
    <row r="550" spans="1:31" x14ac:dyDescent="0.25">
      <c r="A550" s="2" t="s">
        <v>573</v>
      </c>
      <c r="B550" s="2">
        <v>2019</v>
      </c>
      <c r="C550" s="2" t="s">
        <v>574</v>
      </c>
      <c r="D550" s="2" t="s">
        <v>575</v>
      </c>
      <c r="E550" s="2">
        <v>8.6613000000000007</v>
      </c>
      <c r="F550" s="2">
        <v>9.5901999999999994</v>
      </c>
      <c r="G550" s="2">
        <v>24.964300000000001</v>
      </c>
      <c r="H550" s="2">
        <v>4.0214999999999996</v>
      </c>
      <c r="I550" s="2">
        <v>3.6061000000000001</v>
      </c>
      <c r="J550">
        <f>1.21172925074109*(100)</f>
        <v>121.17292507410899</v>
      </c>
      <c r="K550">
        <f>0.330420357527461*(100)</f>
        <v>33.042035752746102</v>
      </c>
      <c r="L550" s="2">
        <v>3.8119999999999998</v>
      </c>
      <c r="M550" s="2">
        <v>0.64939999999999998</v>
      </c>
      <c r="N550" s="2">
        <v>7.3985000000000003</v>
      </c>
      <c r="O550" s="2">
        <v>0.33579999999999999</v>
      </c>
      <c r="P550" s="2">
        <v>1.2131000000000001</v>
      </c>
      <c r="Q550" s="2">
        <v>7.4828000000000001</v>
      </c>
      <c r="R550" s="2">
        <v>-5.0616709597738003</v>
      </c>
      <c r="S550" s="2">
        <v>9.76448316911444</v>
      </c>
      <c r="T550" s="2">
        <v>11.583624412777001</v>
      </c>
      <c r="U550" s="2">
        <v>15.279500000000001</v>
      </c>
      <c r="V550" s="2">
        <v>2.88864989233408</v>
      </c>
      <c r="W550" s="2">
        <v>19.0299934121267</v>
      </c>
      <c r="X550" s="2">
        <v>93.632769455926407</v>
      </c>
      <c r="Y550" s="2">
        <v>15.735487587952299</v>
      </c>
      <c r="Z550" s="4">
        <v>6</v>
      </c>
      <c r="AA550" s="4">
        <v>8.6999999999999993</v>
      </c>
      <c r="AB550" s="2">
        <v>2.9</v>
      </c>
      <c r="AC550" s="2">
        <v>15.6</v>
      </c>
      <c r="AD550" s="2">
        <v>4.7999999999999972</v>
      </c>
      <c r="AE550" s="2">
        <v>0</v>
      </c>
    </row>
    <row r="551" spans="1:31" x14ac:dyDescent="0.25">
      <c r="A551" s="2" t="s">
        <v>576</v>
      </c>
      <c r="B551" s="2">
        <v>2014</v>
      </c>
      <c r="C551" s="2" t="s">
        <v>577</v>
      </c>
      <c r="D551" s="2" t="s">
        <v>300</v>
      </c>
      <c r="E551" s="2">
        <v>8.0168999999999997</v>
      </c>
      <c r="F551" s="2">
        <v>15.760999999999999</v>
      </c>
      <c r="G551" s="2">
        <v>10.364800000000001</v>
      </c>
      <c r="H551" s="2">
        <v>1.3346</v>
      </c>
      <c r="I551" s="2">
        <v>0.30170000000000002</v>
      </c>
      <c r="J551">
        <f>0.0874522083224354*(100)</f>
        <v>8.7452208322435396</v>
      </c>
      <c r="K551">
        <f>-0.19424711520964*(100)</f>
        <v>-19.424711520963999</v>
      </c>
      <c r="L551" s="2">
        <v>0.76390000000000002</v>
      </c>
      <c r="M551" s="2">
        <v>0.78790000000000004</v>
      </c>
      <c r="N551" s="2">
        <v>13.375400000000001</v>
      </c>
      <c r="O551" s="2">
        <v>0.58040000000000003</v>
      </c>
      <c r="P551" s="2">
        <v>6.8895</v>
      </c>
      <c r="Q551" s="2">
        <v>89.841499999999996</v>
      </c>
      <c r="R551" s="2">
        <v>56.895164600660401</v>
      </c>
      <c r="S551" s="2">
        <v>48.8308547522224</v>
      </c>
      <c r="T551" s="2">
        <v>14.1334408913518</v>
      </c>
      <c r="U551" s="2">
        <v>66.211200000000005</v>
      </c>
      <c r="V551" s="2">
        <v>8.8652930938646701</v>
      </c>
      <c r="W551" s="2">
        <v>7.5472525704984497</v>
      </c>
      <c r="X551" s="2">
        <v>35.728283390399604</v>
      </c>
      <c r="Y551" s="2">
        <v>-26.5063421020437</v>
      </c>
      <c r="Z551" s="4">
        <v>7.3</v>
      </c>
      <c r="AA551" s="4">
        <v>12.2</v>
      </c>
      <c r="AB551" s="2">
        <v>2</v>
      </c>
      <c r="AC551" s="2">
        <v>16.899999999999999</v>
      </c>
      <c r="AD551" s="2">
        <v>6.7000000000000028</v>
      </c>
      <c r="AE551" s="2">
        <v>0</v>
      </c>
    </row>
    <row r="552" spans="1:31" x14ac:dyDescent="0.25">
      <c r="A552" s="2" t="s">
        <v>576</v>
      </c>
      <c r="B552" s="2">
        <v>2015</v>
      </c>
      <c r="C552" s="2" t="s">
        <v>577</v>
      </c>
      <c r="D552" s="2" t="s">
        <v>300</v>
      </c>
      <c r="E552" s="2">
        <v>5.6397000000000004</v>
      </c>
      <c r="F552" s="2">
        <v>7.3098000000000001</v>
      </c>
      <c r="G552" s="2">
        <v>11.6365</v>
      </c>
      <c r="H552" s="2">
        <v>2.0316000000000001</v>
      </c>
      <c r="I552" s="2">
        <v>0.54010000000000002</v>
      </c>
      <c r="J552">
        <f>0.222529648492306*(100)</f>
        <v>22.252964849230601</v>
      </c>
      <c r="K552">
        <f>-0.204798409846534*(100)</f>
        <v>-20.4798409846534</v>
      </c>
      <c r="L552" s="2">
        <v>0.4637</v>
      </c>
      <c r="M552" s="2">
        <v>0.52349999999999997</v>
      </c>
      <c r="N552" s="2">
        <v>10.982799999999999</v>
      </c>
      <c r="O552" s="2">
        <v>0.40799999999999997</v>
      </c>
      <c r="P552" s="2">
        <v>4.8136000000000001</v>
      </c>
      <c r="Q552" s="2">
        <v>2.8963000000000001</v>
      </c>
      <c r="R552" s="2">
        <v>-4.52016232438885</v>
      </c>
      <c r="S552" s="2">
        <v>42.960332539627899</v>
      </c>
      <c r="T552" s="2">
        <v>151.73638350108499</v>
      </c>
      <c r="U552" s="2">
        <v>43.751800000000003</v>
      </c>
      <c r="V552" s="2">
        <v>4.8988099431460501</v>
      </c>
      <c r="W552" s="2">
        <v>17.6763420716469</v>
      </c>
      <c r="X552" s="2">
        <v>53.159135556580196</v>
      </c>
      <c r="Y552" s="2">
        <v>-25.843686918498797</v>
      </c>
      <c r="Z552" s="4">
        <v>6.9099999999999993</v>
      </c>
      <c r="AA552" s="4">
        <v>13.3</v>
      </c>
      <c r="AB552" s="2">
        <v>1.4</v>
      </c>
      <c r="AC552" s="2">
        <v>17.600000000000001</v>
      </c>
      <c r="AD552" s="2">
        <v>5.7000000000000028</v>
      </c>
      <c r="AE552" s="2">
        <v>0</v>
      </c>
    </row>
    <row r="553" spans="1:31" x14ac:dyDescent="0.25">
      <c r="A553" s="2" t="s">
        <v>576</v>
      </c>
      <c r="B553" s="2">
        <v>2016</v>
      </c>
      <c r="C553" s="2" t="s">
        <v>577</v>
      </c>
      <c r="D553" s="2" t="s">
        <v>300</v>
      </c>
      <c r="E553" s="2">
        <v>4.5801999999999996</v>
      </c>
      <c r="F553" s="2">
        <v>5.6494</v>
      </c>
      <c r="G553" s="2">
        <v>8.7021999999999995</v>
      </c>
      <c r="H553" s="2">
        <v>1.8511</v>
      </c>
      <c r="I553" s="2">
        <v>0.61329999999999996</v>
      </c>
      <c r="J553">
        <f>0.222873437266167*(100)</f>
        <v>22.287343726616701</v>
      </c>
      <c r="K553">
        <f>-0.115551104064443*(100)</f>
        <v>-11.5551104064443</v>
      </c>
      <c r="L553" s="2">
        <v>0.51549999999999996</v>
      </c>
      <c r="M553" s="2">
        <v>0.49630000000000002</v>
      </c>
      <c r="N553" s="2">
        <v>15.6928</v>
      </c>
      <c r="O553" s="2">
        <v>0.40439999999999998</v>
      </c>
      <c r="P553" s="2">
        <v>3.4982000000000002</v>
      </c>
      <c r="Q553" s="2">
        <v>40.369199999999999</v>
      </c>
      <c r="R553" s="2">
        <v>31.795108220690999</v>
      </c>
      <c r="S553" s="2">
        <v>40.0494130168222</v>
      </c>
      <c r="T553" s="2">
        <v>4.2303413293535304</v>
      </c>
      <c r="U553" s="2">
        <v>56.253900000000002</v>
      </c>
      <c r="V553" s="2">
        <v>11.2416954544177</v>
      </c>
      <c r="W553" s="2">
        <v>20.424558627582801</v>
      </c>
      <c r="X553" s="2">
        <v>51.690557857602606</v>
      </c>
      <c r="Y553" s="2">
        <v>-18.693969291241199</v>
      </c>
      <c r="Z553" s="4">
        <v>6.7</v>
      </c>
      <c r="AA553" s="4">
        <v>11.3</v>
      </c>
      <c r="AB553" s="2">
        <v>2</v>
      </c>
      <c r="AC553" s="2">
        <v>15.9</v>
      </c>
      <c r="AD553" s="2">
        <v>5.7000000000000028</v>
      </c>
      <c r="AE553" s="2">
        <v>0</v>
      </c>
    </row>
    <row r="554" spans="1:31" x14ac:dyDescent="0.25">
      <c r="A554" s="2" t="s">
        <v>576</v>
      </c>
      <c r="B554" s="2">
        <v>2017</v>
      </c>
      <c r="C554" s="2" t="s">
        <v>577</v>
      </c>
      <c r="D554" s="2" t="s">
        <v>300</v>
      </c>
      <c r="E554" s="2">
        <v>5.3994999999999997</v>
      </c>
      <c r="F554" s="2">
        <v>7.6538000000000004</v>
      </c>
      <c r="G554" s="2">
        <v>10.3225</v>
      </c>
      <c r="H554" s="2">
        <v>1.7405999999999999</v>
      </c>
      <c r="I554" s="2">
        <v>0.67710000000000004</v>
      </c>
      <c r="J554">
        <f>0.249560401670898*(100)</f>
        <v>24.9560401670898</v>
      </c>
      <c r="K554">
        <f>-0.0802896136040095*(100)</f>
        <v>-8.0289613604009507</v>
      </c>
      <c r="L554" s="2">
        <v>0.55600000000000005</v>
      </c>
      <c r="M554" s="2">
        <v>0.49540000000000001</v>
      </c>
      <c r="N554" s="2">
        <v>12.316000000000001</v>
      </c>
      <c r="O554" s="2">
        <v>0.38579999999999998</v>
      </c>
      <c r="P554" s="2">
        <v>2.7936000000000001</v>
      </c>
      <c r="Q554" s="2">
        <v>33.504100000000001</v>
      </c>
      <c r="R554" s="2">
        <v>41.016050414484504</v>
      </c>
      <c r="S554" s="2">
        <v>39.851870566448802</v>
      </c>
      <c r="T554" s="2">
        <v>6.1575046747132296</v>
      </c>
      <c r="U554" s="2">
        <v>64.092600000000004</v>
      </c>
      <c r="V554" s="2">
        <v>21.580552586686199</v>
      </c>
      <c r="W554" s="2">
        <v>9.3479551015462903</v>
      </c>
      <c r="X554" s="2">
        <v>57.859987460882998</v>
      </c>
      <c r="Y554" s="2">
        <v>-15.5537110005694</v>
      </c>
      <c r="Z554" s="4">
        <v>6.9</v>
      </c>
      <c r="AA554" s="4">
        <v>8.2000000000000011</v>
      </c>
      <c r="AB554" s="2">
        <v>1.6</v>
      </c>
      <c r="AC554" s="2">
        <v>16.3</v>
      </c>
      <c r="AD554" s="2">
        <v>6.2000000000000028</v>
      </c>
      <c r="AE554" s="2">
        <v>0</v>
      </c>
    </row>
    <row r="555" spans="1:31" x14ac:dyDescent="0.25">
      <c r="A555" s="2" t="s">
        <v>576</v>
      </c>
      <c r="B555" s="2">
        <v>2018</v>
      </c>
      <c r="C555" s="2" t="s">
        <v>577</v>
      </c>
      <c r="D555" s="2" t="s">
        <v>300</v>
      </c>
      <c r="E555" s="2">
        <v>5.6877000000000004</v>
      </c>
      <c r="F555" s="2">
        <v>10.560499999999999</v>
      </c>
      <c r="G555" s="2">
        <v>13.811299999999999</v>
      </c>
      <c r="H555" s="2">
        <v>1.7292000000000001</v>
      </c>
      <c r="I555" s="2">
        <v>0.92830000000000001</v>
      </c>
      <c r="J555">
        <f>0.271087927880655*(100)</f>
        <v>27.1087927880655</v>
      </c>
      <c r="K555">
        <f>-0.0523069999785034*(100)</f>
        <v>-5.2306999978503406</v>
      </c>
      <c r="L555" s="2">
        <v>0.45739999999999997</v>
      </c>
      <c r="M555" s="2">
        <v>0.3957</v>
      </c>
      <c r="N555" s="2">
        <v>8.4123999999999999</v>
      </c>
      <c r="O555" s="2">
        <v>0.29330000000000001</v>
      </c>
      <c r="P555" s="2">
        <v>1.4673</v>
      </c>
      <c r="Q555" s="2">
        <v>-1.7738</v>
      </c>
      <c r="R555" s="2">
        <v>29.423155402211201</v>
      </c>
      <c r="S555" s="2">
        <v>21.8905320140261</v>
      </c>
      <c r="T555" s="2">
        <v>11.6310833975115</v>
      </c>
      <c r="U555" s="2">
        <v>65.569999999999993</v>
      </c>
      <c r="V555" s="2">
        <v>22.639515294857198</v>
      </c>
      <c r="W555" s="2">
        <v>10.765718685405</v>
      </c>
      <c r="X555" s="2">
        <v>76.1939874509996</v>
      </c>
      <c r="Y555" s="2">
        <v>-12.889960536332101</v>
      </c>
      <c r="Z555" s="4">
        <v>6.6000000000000005</v>
      </c>
      <c r="AA555" s="4">
        <v>8.1</v>
      </c>
      <c r="AB555" s="2">
        <v>2.1</v>
      </c>
      <c r="AC555" s="2">
        <v>12.5</v>
      </c>
      <c r="AD555" s="2">
        <v>6.0999999999999943</v>
      </c>
      <c r="AE555" s="2">
        <v>0</v>
      </c>
    </row>
    <row r="556" spans="1:31" x14ac:dyDescent="0.25">
      <c r="A556" s="2" t="s">
        <v>576</v>
      </c>
      <c r="B556" s="2">
        <v>2019</v>
      </c>
      <c r="C556" s="2" t="s">
        <v>577</v>
      </c>
      <c r="D556" s="2" t="s">
        <v>300</v>
      </c>
      <c r="E556" s="2">
        <v>6.1784999999999997</v>
      </c>
      <c r="F556" s="2">
        <v>12.134499999999999</v>
      </c>
      <c r="G556" s="2">
        <v>14.0898</v>
      </c>
      <c r="H556" s="2">
        <v>1.3737999999999999</v>
      </c>
      <c r="I556" s="2">
        <v>0.68559999999999999</v>
      </c>
      <c r="J556">
        <f>0.0983179194833763*(100)</f>
        <v>9.8317919483376297</v>
      </c>
      <c r="K556">
        <f>0.0256294491661666*(100)</f>
        <v>2.5629449166166598</v>
      </c>
      <c r="L556" s="2">
        <v>0.57389999999999997</v>
      </c>
      <c r="M556" s="2">
        <v>0.43190000000000001</v>
      </c>
      <c r="N556" s="2">
        <v>9.7655999999999992</v>
      </c>
      <c r="O556" s="2">
        <v>0.31180000000000002</v>
      </c>
      <c r="P556" s="2">
        <v>1.2229000000000001</v>
      </c>
      <c r="Q556" s="2">
        <v>26.8245</v>
      </c>
      <c r="R556" s="2">
        <v>16.800358542573299</v>
      </c>
      <c r="S556" s="2">
        <v>16.157175492953101</v>
      </c>
      <c r="T556" s="2">
        <v>9.4558964823370903</v>
      </c>
      <c r="U556" s="2">
        <v>69.7864</v>
      </c>
      <c r="V556" s="2">
        <v>18.518468297839199</v>
      </c>
      <c r="W556" s="2">
        <v>9.4783109088707196</v>
      </c>
      <c r="X556" s="2">
        <v>63.303835649562799</v>
      </c>
      <c r="Y556" s="2">
        <v>6.1657878326602997</v>
      </c>
      <c r="Z556" s="4">
        <v>6</v>
      </c>
      <c r="AA556" s="4">
        <v>8.6999999999999993</v>
      </c>
      <c r="AB556" s="2">
        <v>2.9</v>
      </c>
      <c r="AC556" s="2">
        <v>15.6</v>
      </c>
      <c r="AD556" s="2">
        <v>4.7999999999999972</v>
      </c>
      <c r="AE556" s="2">
        <v>0</v>
      </c>
    </row>
    <row r="557" spans="1:31" x14ac:dyDescent="0.25">
      <c r="A557" s="2" t="s">
        <v>576</v>
      </c>
      <c r="B557" s="2">
        <v>2020</v>
      </c>
      <c r="C557" s="2" t="s">
        <v>577</v>
      </c>
      <c r="D557" s="2" t="s">
        <v>300</v>
      </c>
      <c r="E557" s="2">
        <v>7.33</v>
      </c>
      <c r="F557" s="2">
        <v>18.8797</v>
      </c>
      <c r="G557" s="2">
        <v>29.2074</v>
      </c>
      <c r="H557" s="2">
        <v>1.3024</v>
      </c>
      <c r="I557" s="2">
        <v>1.2636000000000001</v>
      </c>
      <c r="J557">
        <f>0.143033190402105*(100)</f>
        <v>14.3033190402105</v>
      </c>
      <c r="K557">
        <f>0.0128900708804818*(100)</f>
        <v>1.2890070880481801</v>
      </c>
      <c r="L557" s="2">
        <v>0.28899999999999998</v>
      </c>
      <c r="M557" s="2">
        <v>0.28660000000000002</v>
      </c>
      <c r="N557" s="2">
        <v>7.0271999999999997</v>
      </c>
      <c r="O557" s="2">
        <v>0.19839999999999999</v>
      </c>
      <c r="P557" s="2">
        <v>0.92090000000000005</v>
      </c>
      <c r="Q557" s="2">
        <v>-25.144300000000001</v>
      </c>
      <c r="R557" s="2">
        <v>66.823875161414605</v>
      </c>
      <c r="S557" s="2">
        <v>19.162185841693201</v>
      </c>
      <c r="T557" s="2">
        <v>19.597414592327599</v>
      </c>
      <c r="U557" s="2">
        <v>69.656400000000005</v>
      </c>
      <c r="V557" s="2">
        <v>17.2818043079021</v>
      </c>
      <c r="W557" s="2">
        <v>12.0502812320274</v>
      </c>
      <c r="X557" s="2">
        <v>116.98749202648899</v>
      </c>
      <c r="Y557" s="2">
        <v>4.9207932423112499</v>
      </c>
      <c r="Z557" s="4">
        <v>2.2999999999999998</v>
      </c>
      <c r="AA557" s="4">
        <v>10.100000000000001</v>
      </c>
      <c r="AB557" s="2">
        <v>2.5</v>
      </c>
      <c r="AC557" s="2">
        <v>16.100000000000001</v>
      </c>
      <c r="AD557" s="2">
        <v>2.4000000000000057</v>
      </c>
      <c r="AE557" s="2">
        <v>0</v>
      </c>
    </row>
    <row r="558" spans="1:31" x14ac:dyDescent="0.25">
      <c r="A558" s="2" t="s">
        <v>576</v>
      </c>
      <c r="B558" s="2">
        <v>2021</v>
      </c>
      <c r="C558" s="2" t="s">
        <v>577</v>
      </c>
      <c r="D558" s="2" t="s">
        <v>300</v>
      </c>
      <c r="E558" s="2">
        <v>0.73270000000000002</v>
      </c>
      <c r="F558" s="2">
        <v>-4.2396000000000003</v>
      </c>
      <c r="G558" s="2">
        <v>-7.3247</v>
      </c>
      <c r="H558" s="2">
        <v>1.1504000000000001</v>
      </c>
      <c r="I558" s="2">
        <v>1.0949</v>
      </c>
      <c r="J558">
        <f>0.0401190444346857*(100)</f>
        <v>4.0119044434685698</v>
      </c>
      <c r="K558">
        <f>-0.0101410888737168*(100)</f>
        <v>-1.0141088873716799</v>
      </c>
      <c r="L558" s="2">
        <v>0.20960000000000001</v>
      </c>
      <c r="M558" s="2">
        <v>0.20860000000000001</v>
      </c>
      <c r="N558" s="2">
        <v>5.3760000000000003</v>
      </c>
      <c r="O558" s="2">
        <v>0.13569999999999999</v>
      </c>
      <c r="P558" s="2">
        <v>0.7792</v>
      </c>
      <c r="Q558" s="2">
        <v>-22.030799999999999</v>
      </c>
      <c r="R558" s="2">
        <v>-124.94839005688399</v>
      </c>
      <c r="S558" s="2">
        <v>-6.8370722691396804</v>
      </c>
      <c r="T558" s="2">
        <v>9.9304606427383693</v>
      </c>
      <c r="U558" s="2">
        <v>68.44</v>
      </c>
      <c r="V558" s="2">
        <v>14.8182691060153</v>
      </c>
      <c r="W558" s="2">
        <v>12.4683118514057</v>
      </c>
      <c r="X558" s="2">
        <v>128.22116694891099</v>
      </c>
      <c r="Y558" s="2">
        <v>-4.94426400836862</v>
      </c>
      <c r="Z558" s="4">
        <v>8.4</v>
      </c>
      <c r="AA558" s="4">
        <v>9</v>
      </c>
      <c r="AB558" s="2">
        <v>0.9</v>
      </c>
      <c r="AC558" s="2">
        <v>20.9</v>
      </c>
      <c r="AD558" s="2">
        <v>10.400000000000006</v>
      </c>
      <c r="AE558" s="2">
        <v>0</v>
      </c>
    </row>
    <row r="559" spans="1:31" x14ac:dyDescent="0.25">
      <c r="A559" s="2" t="s">
        <v>578</v>
      </c>
      <c r="B559" s="2">
        <v>2015</v>
      </c>
      <c r="C559" s="2" t="s">
        <v>579</v>
      </c>
      <c r="D559" s="2" t="s">
        <v>580</v>
      </c>
      <c r="E559" s="2">
        <v>10.2956</v>
      </c>
      <c r="F559" s="2">
        <v>14.115600000000001</v>
      </c>
      <c r="G559" s="2">
        <v>26.150099999999998</v>
      </c>
      <c r="H559" s="2">
        <v>0.7611</v>
      </c>
      <c r="I559" s="2">
        <v>0.61029999999999995</v>
      </c>
      <c r="J559">
        <f>0.408872487557753*(100)</f>
        <v>40.887248755775303</v>
      </c>
      <c r="K559">
        <f>0.092460685908366*(100)</f>
        <v>9.2460685908366003</v>
      </c>
      <c r="L559" s="2">
        <v>3.8778999999999999</v>
      </c>
      <c r="M559" s="2">
        <v>1.4843</v>
      </c>
      <c r="N559" s="2">
        <v>2.6869999999999998</v>
      </c>
      <c r="O559" s="2">
        <v>0.34289999999999998</v>
      </c>
      <c r="P559" s="2">
        <v>7.7821999999999996</v>
      </c>
      <c r="Q559" s="2">
        <v>4.7236000000000002</v>
      </c>
      <c r="R559" s="2">
        <v>21.1331626481354</v>
      </c>
      <c r="S559" s="2">
        <v>8.1090842731790609</v>
      </c>
      <c r="T559" s="2">
        <v>9.0358919685165198</v>
      </c>
      <c r="U559" s="2">
        <v>45.8934</v>
      </c>
      <c r="V559" s="2">
        <v>17.283798597660898</v>
      </c>
      <c r="W559" s="2">
        <v>4.3296889135881997</v>
      </c>
      <c r="X559" s="2">
        <v>114.54615901673</v>
      </c>
      <c r="Y559" s="2">
        <v>12.8564772335766</v>
      </c>
      <c r="Z559" s="4">
        <v>6.9099999999999993</v>
      </c>
      <c r="AA559" s="4">
        <v>13.3</v>
      </c>
      <c r="AB559" s="2">
        <v>1.4</v>
      </c>
      <c r="AC559" s="2">
        <v>17.600000000000001</v>
      </c>
      <c r="AD559" s="2">
        <v>9.7000000000000028</v>
      </c>
      <c r="AE559" s="2">
        <v>0</v>
      </c>
    </row>
    <row r="560" spans="1:31" x14ac:dyDescent="0.25">
      <c r="A560" s="2" t="s">
        <v>578</v>
      </c>
      <c r="B560" s="2">
        <v>2016</v>
      </c>
      <c r="C560" s="2" t="s">
        <v>579</v>
      </c>
      <c r="D560" s="2" t="s">
        <v>580</v>
      </c>
      <c r="E560" s="2">
        <v>9.7081</v>
      </c>
      <c r="F560" s="2">
        <v>13.9</v>
      </c>
      <c r="G560" s="2">
        <v>23.2378</v>
      </c>
      <c r="H560" s="2">
        <v>1.0649</v>
      </c>
      <c r="I560" s="2">
        <v>0.89959999999999996</v>
      </c>
      <c r="J560">
        <f>0.639990209255481*(100)</f>
        <v>63.999020925548102</v>
      </c>
      <c r="K560">
        <f>0.113948625435887*(100)</f>
        <v>11.394862543588701</v>
      </c>
      <c r="L560" s="2">
        <v>4.0477999999999996</v>
      </c>
      <c r="M560" s="2">
        <v>1.5326</v>
      </c>
      <c r="N560" s="2">
        <v>2.9550999999999998</v>
      </c>
      <c r="O560" s="2">
        <v>0.3569</v>
      </c>
      <c r="P560" s="2">
        <v>7.9048999999999996</v>
      </c>
      <c r="Q560" s="2">
        <v>16.0246</v>
      </c>
      <c r="R560" s="2">
        <v>12.216035230917599</v>
      </c>
      <c r="S560" s="2">
        <v>14.570183409018799</v>
      </c>
      <c r="T560" s="2">
        <v>22.047850729912401</v>
      </c>
      <c r="U560" s="2">
        <v>42.308399999999999</v>
      </c>
      <c r="V560" s="2">
        <v>19.237553250310597</v>
      </c>
      <c r="W560" s="2">
        <v>4.90144287141226</v>
      </c>
      <c r="X560" s="2">
        <v>115.12549881995599</v>
      </c>
      <c r="Y560" s="2">
        <v>14.423849196943101</v>
      </c>
      <c r="Z560" s="4">
        <v>6.7</v>
      </c>
      <c r="AA560" s="4">
        <v>11.3</v>
      </c>
      <c r="AB560" s="2">
        <v>2</v>
      </c>
      <c r="AC560" s="2">
        <v>15.9</v>
      </c>
      <c r="AD560" s="2">
        <v>9.7999999999999972</v>
      </c>
      <c r="AE560" s="2">
        <v>0</v>
      </c>
    </row>
    <row r="561" spans="1:31" x14ac:dyDescent="0.25">
      <c r="A561" s="2" t="s">
        <v>578</v>
      </c>
      <c r="B561" s="2">
        <v>2018</v>
      </c>
      <c r="C561" s="2" t="s">
        <v>579</v>
      </c>
      <c r="D561" s="2" t="s">
        <v>580</v>
      </c>
      <c r="E561" s="2">
        <v>6.5853000000000002</v>
      </c>
      <c r="F561" s="2">
        <v>10.1602</v>
      </c>
      <c r="G561" s="2">
        <v>14.188499999999999</v>
      </c>
      <c r="H561" s="2">
        <v>1.0044</v>
      </c>
      <c r="I561" s="2">
        <v>0.82099999999999995</v>
      </c>
      <c r="J561">
        <f>0.550969166490386*(100)</f>
        <v>55.096916649038597</v>
      </c>
      <c r="K561">
        <f>0.0798217838611549*(100)</f>
        <v>7.9821783861154909</v>
      </c>
      <c r="L561" s="2">
        <v>3.4333999999999998</v>
      </c>
      <c r="M561" s="2">
        <v>1.5075000000000001</v>
      </c>
      <c r="N561" s="2">
        <v>3.6539000000000001</v>
      </c>
      <c r="O561" s="2">
        <v>0.37609999999999999</v>
      </c>
      <c r="P561" s="2">
        <v>7.2530000000000001</v>
      </c>
      <c r="Q561" s="2">
        <v>34.595399999999998</v>
      </c>
      <c r="R561" s="2">
        <v>-15.7694832885464</v>
      </c>
      <c r="S561" s="2">
        <v>13.845752645651199</v>
      </c>
      <c r="T561" s="2">
        <v>10.466625269974299</v>
      </c>
      <c r="U561" s="2">
        <v>52.385399999999997</v>
      </c>
      <c r="V561" s="2">
        <v>27.002686229689399</v>
      </c>
      <c r="W561" s="2">
        <v>4.73452438836381</v>
      </c>
      <c r="X561" s="2">
        <v>109.00605388868601</v>
      </c>
      <c r="Y561" s="2">
        <v>11.839122773617399</v>
      </c>
      <c r="Z561" s="4">
        <v>6.6000000000000005</v>
      </c>
      <c r="AA561" s="4">
        <v>8.1</v>
      </c>
      <c r="AB561" s="2">
        <v>2.1</v>
      </c>
      <c r="AC561" s="2">
        <v>12.5</v>
      </c>
      <c r="AD561" s="2">
        <v>11.099999999999994</v>
      </c>
      <c r="AE561" s="2">
        <v>0</v>
      </c>
    </row>
    <row r="562" spans="1:31" x14ac:dyDescent="0.25">
      <c r="A562" s="2" t="s">
        <v>578</v>
      </c>
      <c r="B562" s="2">
        <v>2019</v>
      </c>
      <c r="C562" s="2" t="s">
        <v>579</v>
      </c>
      <c r="D562" s="2" t="s">
        <v>580</v>
      </c>
      <c r="E562" s="2">
        <v>7.3822000000000001</v>
      </c>
      <c r="F562" s="2">
        <v>11.0969</v>
      </c>
      <c r="G562" s="2">
        <v>15.719900000000001</v>
      </c>
      <c r="H562" s="2">
        <v>1.1702999999999999</v>
      </c>
      <c r="I562" s="2">
        <v>0.94430000000000003</v>
      </c>
      <c r="J562">
        <f>0.586794710388233*(100)</f>
        <v>58.679471038823309</v>
      </c>
      <c r="K562">
        <f>0.087291746759052*(100)</f>
        <v>8.7291746759052007</v>
      </c>
      <c r="L562" s="2">
        <v>3.1941000000000002</v>
      </c>
      <c r="M562" s="2">
        <v>1.4885999999999999</v>
      </c>
      <c r="N562" s="2">
        <v>3.9445000000000001</v>
      </c>
      <c r="O562" s="2">
        <v>0.38979999999999998</v>
      </c>
      <c r="P562" s="2">
        <v>7.1540999999999997</v>
      </c>
      <c r="Q562" s="2">
        <v>14.8718</v>
      </c>
      <c r="R562" s="2">
        <v>23.962496390485999</v>
      </c>
      <c r="S562" s="2">
        <v>7.8925256243576296</v>
      </c>
      <c r="T562" s="2">
        <v>13.976576145373301</v>
      </c>
      <c r="U562" s="2">
        <v>48.496600000000001</v>
      </c>
      <c r="V562" s="2">
        <v>25.612621984222301</v>
      </c>
      <c r="W562" s="2">
        <v>5.2827792486552498</v>
      </c>
      <c r="X562" s="2">
        <v>105.077290136066</v>
      </c>
      <c r="Y562" s="2">
        <v>11.2730308247429</v>
      </c>
      <c r="Z562" s="4">
        <v>6</v>
      </c>
      <c r="AA562" s="4">
        <v>8.6999999999999993</v>
      </c>
      <c r="AB562" s="2">
        <v>2.9</v>
      </c>
      <c r="AC562" s="2">
        <v>15.6</v>
      </c>
      <c r="AD562" s="2">
        <v>9.7000000000000028</v>
      </c>
      <c r="AE562" s="2">
        <v>0</v>
      </c>
    </row>
    <row r="563" spans="1:31" x14ac:dyDescent="0.25">
      <c r="A563" s="2" t="s">
        <v>578</v>
      </c>
      <c r="B563" s="2">
        <v>2020</v>
      </c>
      <c r="C563" s="2" t="s">
        <v>579</v>
      </c>
      <c r="D563" s="2" t="s">
        <v>580</v>
      </c>
      <c r="E563" s="2">
        <v>6.7070999999999996</v>
      </c>
      <c r="F563" s="2">
        <v>10.6348</v>
      </c>
      <c r="G563" s="2">
        <v>15.5777</v>
      </c>
      <c r="H563" s="2">
        <v>1.0085</v>
      </c>
      <c r="I563" s="2">
        <v>0.80100000000000005</v>
      </c>
      <c r="J563">
        <f>0.489471080108016*(100)</f>
        <v>48.9471080108016</v>
      </c>
      <c r="K563">
        <f>0.068425891712194*(100)</f>
        <v>6.8425891712193998</v>
      </c>
      <c r="L563" s="2">
        <v>2.9508000000000001</v>
      </c>
      <c r="M563" s="2">
        <v>1.3325</v>
      </c>
      <c r="N563" s="2">
        <v>3.899</v>
      </c>
      <c r="O563" s="2">
        <v>0.37930000000000003</v>
      </c>
      <c r="P563" s="2">
        <v>6.7859999999999996</v>
      </c>
      <c r="Q563" s="2">
        <v>6.2488000000000001</v>
      </c>
      <c r="R563" s="2">
        <v>5.2479597807874496</v>
      </c>
      <c r="S563" s="2">
        <v>9.9400936148945096</v>
      </c>
      <c r="T563" s="2">
        <v>16.0168605336384</v>
      </c>
      <c r="U563" s="2">
        <v>45.051400000000001</v>
      </c>
      <c r="V563" s="2">
        <v>15.3407985717248</v>
      </c>
      <c r="W563" s="2">
        <v>5.6452214351331298</v>
      </c>
      <c r="X563" s="2">
        <v>105.46409285572</v>
      </c>
      <c r="Y563" s="2">
        <v>8.5121443719962393</v>
      </c>
      <c r="Z563" s="4">
        <v>2.2999999999999998</v>
      </c>
      <c r="AA563" s="4">
        <v>10.100000000000001</v>
      </c>
      <c r="AB563" s="2">
        <v>2.5</v>
      </c>
      <c r="AC563" s="2">
        <v>16.100000000000001</v>
      </c>
      <c r="AD563" s="2">
        <v>-0.90000000000000568</v>
      </c>
      <c r="AE563" s="2">
        <v>0</v>
      </c>
    </row>
    <row r="564" spans="1:31" x14ac:dyDescent="0.25">
      <c r="A564" s="2" t="s">
        <v>578</v>
      </c>
      <c r="B564" s="2">
        <v>2021</v>
      </c>
      <c r="C564" s="2" t="s">
        <v>579</v>
      </c>
      <c r="D564" s="2" t="s">
        <v>580</v>
      </c>
      <c r="E564" s="2">
        <v>7.5067000000000004</v>
      </c>
      <c r="F564" s="2">
        <v>12.4306</v>
      </c>
      <c r="G564" s="2">
        <v>16.187000000000001</v>
      </c>
      <c r="H564" s="2">
        <v>1.038</v>
      </c>
      <c r="I564" s="2">
        <v>0.85129999999999995</v>
      </c>
      <c r="J564">
        <f>0.496945773441866*(100)</f>
        <v>49.694577344186605</v>
      </c>
      <c r="K564">
        <f>0.0879096820210358*(100)</f>
        <v>8.7909682021035795</v>
      </c>
      <c r="L564" s="2">
        <v>3.8041</v>
      </c>
      <c r="M564" s="2">
        <v>1.4053</v>
      </c>
      <c r="N564" s="2">
        <v>4.5742000000000003</v>
      </c>
      <c r="O564" s="2">
        <v>0.44080000000000003</v>
      </c>
      <c r="P564" s="2">
        <v>7.3636999999999997</v>
      </c>
      <c r="Q564" s="2">
        <v>28.825900000000001</v>
      </c>
      <c r="R564" s="2">
        <v>26.5853725320802</v>
      </c>
      <c r="S564" s="2">
        <v>11.480749638608501</v>
      </c>
      <c r="T564" s="2">
        <v>5.9369762320480604</v>
      </c>
      <c r="U564" s="2">
        <v>48.147100000000002</v>
      </c>
      <c r="V564" s="2">
        <v>16.740454566787299</v>
      </c>
      <c r="W564" s="2">
        <v>5.4175742604378998</v>
      </c>
      <c r="X564" s="2">
        <v>98.422111943338194</v>
      </c>
      <c r="Y564" s="2">
        <v>10.123671920666901</v>
      </c>
      <c r="Z564" s="4">
        <v>8.4</v>
      </c>
      <c r="AA564" s="4">
        <v>9</v>
      </c>
      <c r="AB564" s="2">
        <v>0.9</v>
      </c>
      <c r="AC564" s="2">
        <v>20.9</v>
      </c>
      <c r="AD564" s="2">
        <v>9.0999999999999943</v>
      </c>
      <c r="AE564" s="2">
        <v>0</v>
      </c>
    </row>
    <row r="565" spans="1:31" x14ac:dyDescent="0.25">
      <c r="A565" s="2" t="s">
        <v>581</v>
      </c>
      <c r="B565" s="2">
        <v>2015</v>
      </c>
      <c r="C565" s="2" t="s">
        <v>582</v>
      </c>
      <c r="D565" s="2" t="s">
        <v>302</v>
      </c>
      <c r="E565" s="2">
        <v>12.796099999999999</v>
      </c>
      <c r="F565" s="2">
        <v>14.048500000000001</v>
      </c>
      <c r="G565" s="2">
        <v>17.297499999999999</v>
      </c>
      <c r="H565" s="2">
        <v>3.1907000000000001</v>
      </c>
      <c r="I565" s="2">
        <v>2.8462999999999998</v>
      </c>
      <c r="J565">
        <f>1.26415497111814*(100)</f>
        <v>126.41549711181399</v>
      </c>
      <c r="K565">
        <f>0.102306476141891*(100)</f>
        <v>10.230647614189101</v>
      </c>
      <c r="L565" s="2">
        <v>1.6176999999999999</v>
      </c>
      <c r="M565" s="2">
        <v>1.1915</v>
      </c>
      <c r="N565" s="2">
        <v>4.0332999999999997</v>
      </c>
      <c r="O565" s="2">
        <v>0.70369999999999999</v>
      </c>
      <c r="P565" s="2">
        <v>2.4679000000000002</v>
      </c>
      <c r="Q565" s="2">
        <v>16.867100000000001</v>
      </c>
      <c r="R565" s="2">
        <v>19.445791815223899</v>
      </c>
      <c r="S565" s="2">
        <v>112.67513260737699</v>
      </c>
      <c r="T565" s="2">
        <v>140.430425675945</v>
      </c>
      <c r="U565" s="2">
        <v>18.272500000000001</v>
      </c>
      <c r="V565" s="2">
        <v>0.64962806064228906</v>
      </c>
      <c r="W565" s="2">
        <v>5.4904029186642598</v>
      </c>
      <c r="X565" s="2">
        <v>85.685895147511701</v>
      </c>
      <c r="Y565" s="2">
        <v>3.6137657806278902</v>
      </c>
      <c r="Z565" s="4">
        <v>6.9099999999999993</v>
      </c>
      <c r="AA565" s="4">
        <v>13.3</v>
      </c>
      <c r="AB565" s="2">
        <v>1.4</v>
      </c>
      <c r="AC565" s="2">
        <v>17.600000000000001</v>
      </c>
      <c r="AD565" s="2">
        <v>9.7000000000000028</v>
      </c>
      <c r="AE565" s="2">
        <v>0</v>
      </c>
    </row>
    <row r="566" spans="1:31" x14ac:dyDescent="0.25">
      <c r="A566" s="2" t="s">
        <v>581</v>
      </c>
      <c r="B566" s="2">
        <v>2016</v>
      </c>
      <c r="C566" s="2" t="s">
        <v>582</v>
      </c>
      <c r="D566" s="2" t="s">
        <v>302</v>
      </c>
      <c r="E566" s="2">
        <v>11.397399999999999</v>
      </c>
      <c r="F566" s="2">
        <v>11.7608</v>
      </c>
      <c r="G566" s="2">
        <v>18.961500000000001</v>
      </c>
      <c r="H566" s="2">
        <v>3.2414999999999998</v>
      </c>
      <c r="I566" s="2">
        <v>2.903</v>
      </c>
      <c r="J566">
        <f>1.26885741948931*(100)</f>
        <v>126.88574194893101</v>
      </c>
      <c r="K566">
        <f>0.360579622846008*(100)</f>
        <v>36.057962284600798</v>
      </c>
      <c r="L566" s="2">
        <v>2.3778999999999999</v>
      </c>
      <c r="M566" s="2">
        <v>1.0258</v>
      </c>
      <c r="N566" s="2">
        <v>3.7862</v>
      </c>
      <c r="O566" s="2">
        <v>0.56230000000000002</v>
      </c>
      <c r="P566" s="2">
        <v>2.1743000000000001</v>
      </c>
      <c r="Q566" s="2">
        <v>15.535399999999999</v>
      </c>
      <c r="R566" s="2">
        <v>23.281085260704099</v>
      </c>
      <c r="S566" s="2">
        <v>12.4948248776714</v>
      </c>
      <c r="T566" s="2">
        <v>12.5296383425594</v>
      </c>
      <c r="U566" s="2">
        <v>17.066500000000001</v>
      </c>
      <c r="V566" s="2">
        <v>0.54159630766413003</v>
      </c>
      <c r="W566" s="2">
        <v>5.5953880699959404</v>
      </c>
      <c r="X566" s="2">
        <v>99.359180998428599</v>
      </c>
      <c r="Y566" s="2">
        <v>11.5871880477553</v>
      </c>
      <c r="Z566" s="4">
        <v>6.7</v>
      </c>
      <c r="AA566" s="4">
        <v>11.3</v>
      </c>
      <c r="AB566" s="2">
        <v>2</v>
      </c>
      <c r="AC566" s="2">
        <v>15.9</v>
      </c>
      <c r="AD566" s="2">
        <v>9.7999999999999972</v>
      </c>
      <c r="AE566" s="2">
        <v>0</v>
      </c>
    </row>
    <row r="567" spans="1:31" x14ac:dyDescent="0.25">
      <c r="A567" s="2" t="s">
        <v>581</v>
      </c>
      <c r="B567" s="2">
        <v>2020</v>
      </c>
      <c r="C567" s="2" t="s">
        <v>582</v>
      </c>
      <c r="D567" s="2" t="s">
        <v>302</v>
      </c>
      <c r="E567" s="2">
        <v>7.5617999999999999</v>
      </c>
      <c r="F567" s="2">
        <v>8.2027999999999999</v>
      </c>
      <c r="G567" s="2">
        <v>10.0817</v>
      </c>
      <c r="H567" s="2">
        <v>2.4419</v>
      </c>
      <c r="I567" s="2">
        <v>1.8362000000000001</v>
      </c>
      <c r="J567">
        <f>0.481319589758521*(100)</f>
        <v>48.1319589758521</v>
      </c>
      <c r="K567">
        <f>0.0705448240746336*(100)</f>
        <v>7.0544824074633601</v>
      </c>
      <c r="L567" s="2">
        <v>2.4418000000000002</v>
      </c>
      <c r="M567" s="2">
        <v>1.2924</v>
      </c>
      <c r="N567" s="2">
        <v>2.8919999999999999</v>
      </c>
      <c r="O567" s="2">
        <v>0.69740000000000002</v>
      </c>
      <c r="P567" s="2">
        <v>2.7593999999999999</v>
      </c>
      <c r="Q567" s="2">
        <v>30.135000000000002</v>
      </c>
      <c r="R567" s="2">
        <v>37.030647006555199</v>
      </c>
      <c r="S567" s="2">
        <v>20.804291352457501</v>
      </c>
      <c r="T567" s="2">
        <v>6.0082740517312301</v>
      </c>
      <c r="U567" s="2">
        <v>27.3857</v>
      </c>
      <c r="V567" s="2">
        <v>4.3984286543506999</v>
      </c>
      <c r="W567" s="2">
        <v>2.9663539061467499</v>
      </c>
      <c r="X567" s="2">
        <v>95.154274312602311</v>
      </c>
      <c r="Y567" s="2">
        <v>3.0311096726775202</v>
      </c>
      <c r="Z567" s="4">
        <v>2.2999999999999998</v>
      </c>
      <c r="AA567" s="4">
        <v>10.100000000000001</v>
      </c>
      <c r="AB567" s="2">
        <v>2.5</v>
      </c>
      <c r="AC567" s="2">
        <v>16.100000000000001</v>
      </c>
      <c r="AD567" s="2">
        <v>-0.90000000000000568</v>
      </c>
      <c r="AE567" s="2">
        <v>0</v>
      </c>
    </row>
    <row r="568" spans="1:31" x14ac:dyDescent="0.25">
      <c r="A568" s="2" t="s">
        <v>581</v>
      </c>
      <c r="B568" s="2">
        <v>2021</v>
      </c>
      <c r="C568" s="2" t="s">
        <v>582</v>
      </c>
      <c r="D568" s="2" t="s">
        <v>302</v>
      </c>
      <c r="E568" s="2">
        <v>8.1966999999999999</v>
      </c>
      <c r="F568" s="2">
        <v>9.1844000000000001</v>
      </c>
      <c r="G568" s="2">
        <v>11.409700000000001</v>
      </c>
      <c r="H568" s="2">
        <v>3.3068</v>
      </c>
      <c r="I568" s="2">
        <v>2.673</v>
      </c>
      <c r="J568">
        <f>0.640224670563033*(100)</f>
        <v>64.022467056303299</v>
      </c>
      <c r="K568">
        <f>0.107142889018374*(100)</f>
        <v>10.714288901837401</v>
      </c>
      <c r="L568" s="2">
        <v>2.371</v>
      </c>
      <c r="M568" s="2">
        <v>1.2253000000000001</v>
      </c>
      <c r="N568" s="2">
        <v>3.0428000000000002</v>
      </c>
      <c r="O568" s="2">
        <v>0.70409999999999995</v>
      </c>
      <c r="P568" s="2">
        <v>2.4843000000000002</v>
      </c>
      <c r="Q568" s="2">
        <v>18.086300000000001</v>
      </c>
      <c r="R568" s="2">
        <v>19.863468794653201</v>
      </c>
      <c r="S568" s="2">
        <v>14.024797192170499</v>
      </c>
      <c r="T568" s="2">
        <v>8.0450147358296498</v>
      </c>
      <c r="U568" s="2">
        <v>31.488099999999999</v>
      </c>
      <c r="V568" s="2">
        <v>13.755697159055599</v>
      </c>
      <c r="W568" s="2">
        <v>3.1187281850005002</v>
      </c>
      <c r="X568" s="2">
        <v>95.179336781313694</v>
      </c>
      <c r="Y568" s="2">
        <v>5.1052411910737794</v>
      </c>
      <c r="Z568" s="4">
        <v>8.4</v>
      </c>
      <c r="AA568" s="4">
        <v>9</v>
      </c>
      <c r="AB568" s="2">
        <v>0.9</v>
      </c>
      <c r="AC568" s="2">
        <v>20.9</v>
      </c>
      <c r="AD568" s="2">
        <v>9.0999999999999943</v>
      </c>
      <c r="AE568" s="2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F0D9-83F9-4B70-AAD7-F1FF0C025546}">
  <dimension ref="A1:AE379"/>
  <sheetViews>
    <sheetView topLeftCell="A166" zoomScale="70" zoomScaleNormal="70" workbookViewId="0">
      <selection activeCell="AF1" sqref="AF1:AF1048576"/>
    </sheetView>
  </sheetViews>
  <sheetFormatPr defaultRowHeight="14.4" x14ac:dyDescent="0.25"/>
  <sheetData>
    <row r="1" spans="1:31" x14ac:dyDescent="0.25">
      <c r="A1" s="1" t="s">
        <v>0</v>
      </c>
      <c r="B1" s="1" t="s">
        <v>601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596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7" t="s">
        <v>592</v>
      </c>
      <c r="W1" s="7" t="s">
        <v>593</v>
      </c>
      <c r="X1" s="1" t="s">
        <v>594</v>
      </c>
      <c r="Y1" s="1" t="s">
        <v>595</v>
      </c>
      <c r="Z1" s="3" t="s">
        <v>583</v>
      </c>
      <c r="AA1" s="1" t="s">
        <v>584</v>
      </c>
      <c r="AB1" s="1" t="s">
        <v>585</v>
      </c>
      <c r="AC1" s="1" t="s">
        <v>587</v>
      </c>
      <c r="AD1" s="1" t="s">
        <v>586</v>
      </c>
      <c r="AE1" s="1" t="s">
        <v>19</v>
      </c>
    </row>
    <row r="2" spans="1:31" x14ac:dyDescent="0.25">
      <c r="A2" s="2" t="s">
        <v>348</v>
      </c>
      <c r="B2" s="2">
        <v>2015</v>
      </c>
      <c r="C2" s="2" t="s">
        <v>600</v>
      </c>
      <c r="D2" s="2" t="s">
        <v>325</v>
      </c>
      <c r="E2" s="2">
        <v>4.3121999999999998</v>
      </c>
      <c r="F2" s="2">
        <v>4.1965000000000003</v>
      </c>
      <c r="G2" s="2">
        <v>2.4428000000000001</v>
      </c>
      <c r="H2" s="2">
        <v>0.3029</v>
      </c>
      <c r="I2" s="2">
        <v>0.1711</v>
      </c>
      <c r="J2">
        <v>8.9826862742435605</v>
      </c>
      <c r="K2">
        <v>12.102872773750301</v>
      </c>
      <c r="L2" s="2">
        <v>7.36</v>
      </c>
      <c r="M2" s="2">
        <v>3.9525999999999999</v>
      </c>
      <c r="N2" s="2">
        <v>0.89449999999999996</v>
      </c>
      <c r="O2" s="2">
        <v>0.60960000000000003</v>
      </c>
      <c r="P2" s="2">
        <v>240.1319</v>
      </c>
      <c r="Q2" s="2">
        <v>-1.2990999999999999</v>
      </c>
      <c r="R2" s="2">
        <v>-19.8724609667129</v>
      </c>
      <c r="S2" s="2">
        <v>12.611770162823699</v>
      </c>
      <c r="T2" s="2">
        <v>30.752609218366999</v>
      </c>
      <c r="U2" s="2">
        <v>64.397499999999994</v>
      </c>
      <c r="V2" s="2">
        <v>14.040031130548201</v>
      </c>
      <c r="W2" s="5">
        <v>0.53376262553462805</v>
      </c>
      <c r="X2" s="2">
        <v>95.925014965582903</v>
      </c>
      <c r="Y2" s="2">
        <v>13.544186603455898</v>
      </c>
      <c r="Z2" s="4">
        <v>6.9099999999999993</v>
      </c>
      <c r="AA2" s="4">
        <v>13.3</v>
      </c>
      <c r="AB2" s="2">
        <v>1.4</v>
      </c>
      <c r="AC2" s="2">
        <v>17.600000000000001</v>
      </c>
      <c r="AD2" s="2">
        <v>5.7000000000000028</v>
      </c>
      <c r="AE2" s="2">
        <v>0</v>
      </c>
    </row>
    <row r="3" spans="1:31" x14ac:dyDescent="0.25">
      <c r="A3" s="2" t="s">
        <v>348</v>
      </c>
      <c r="B3" s="2">
        <v>2020</v>
      </c>
      <c r="C3" s="2" t="s">
        <v>349</v>
      </c>
      <c r="D3" s="2" t="s">
        <v>325</v>
      </c>
      <c r="E3" s="2">
        <v>5.2008000000000001</v>
      </c>
      <c r="F3" s="2">
        <v>6.4813999999999998</v>
      </c>
      <c r="G3" s="2">
        <v>6.1798999999999999</v>
      </c>
      <c r="H3" s="2">
        <v>0.26350000000000001</v>
      </c>
      <c r="I3" s="2">
        <v>0.12870000000000001</v>
      </c>
      <c r="J3">
        <v>2.5931799077620101</v>
      </c>
      <c r="K3">
        <v>17.215053828907902</v>
      </c>
      <c r="L3" s="2">
        <v>9.6760000000000002</v>
      </c>
      <c r="M3" s="2">
        <v>5.1767000000000003</v>
      </c>
      <c r="N3" s="2">
        <v>0.82420000000000004</v>
      </c>
      <c r="O3" s="2">
        <v>0.56669999999999998</v>
      </c>
      <c r="P3" s="2">
        <v>249.7448</v>
      </c>
      <c r="Q3" s="2">
        <v>-3.5249000000000001</v>
      </c>
      <c r="R3" s="2">
        <v>-52.221764982465899</v>
      </c>
      <c r="S3" s="2">
        <v>3.0507073386919501</v>
      </c>
      <c r="T3" s="2">
        <v>25.8322016653389</v>
      </c>
      <c r="U3" s="2">
        <v>54.866100000000003</v>
      </c>
      <c r="V3" s="2">
        <v>10.845354874605</v>
      </c>
      <c r="W3" s="2">
        <v>0.66863741013117906</v>
      </c>
      <c r="X3" s="2">
        <v>113.418480433718</v>
      </c>
      <c r="Y3" s="2">
        <v>17.1128759439787</v>
      </c>
      <c r="Z3" s="4">
        <v>2.2999999999999998</v>
      </c>
      <c r="AA3" s="4">
        <v>10.100000000000001</v>
      </c>
      <c r="AB3" s="2">
        <v>2.5</v>
      </c>
      <c r="AC3" s="2">
        <v>16.100000000000001</v>
      </c>
      <c r="AD3" s="2">
        <v>2.4000000000000057</v>
      </c>
      <c r="AE3" s="2">
        <v>0</v>
      </c>
    </row>
    <row r="4" spans="1:31" x14ac:dyDescent="0.25">
      <c r="A4" s="2" t="s">
        <v>350</v>
      </c>
      <c r="B4" s="2">
        <v>2014</v>
      </c>
      <c r="C4" s="2" t="s">
        <v>351</v>
      </c>
      <c r="D4" s="2" t="s">
        <v>297</v>
      </c>
      <c r="E4" s="2">
        <v>7.2491000000000003</v>
      </c>
      <c r="F4" s="2">
        <v>11.8727</v>
      </c>
      <c r="G4" s="2">
        <v>8.5444999999999993</v>
      </c>
      <c r="H4" s="2">
        <v>0.92110000000000003</v>
      </c>
      <c r="I4" s="2">
        <v>0.87219999999999998</v>
      </c>
      <c r="J4">
        <v>17.598829224357601</v>
      </c>
      <c r="K4">
        <v>-10.8119193303353</v>
      </c>
      <c r="L4" s="2">
        <v>14.8468</v>
      </c>
      <c r="M4" s="2">
        <v>1.0555000000000001</v>
      </c>
      <c r="N4" s="2">
        <v>4.1989999999999998</v>
      </c>
      <c r="O4" s="2">
        <v>0.56340000000000001</v>
      </c>
      <c r="P4" s="2">
        <v>2.1168</v>
      </c>
      <c r="Q4" s="2">
        <v>14.453900000000001</v>
      </c>
      <c r="R4" s="2">
        <v>4.1665482962131701</v>
      </c>
      <c r="S4" s="2">
        <v>27.716894910151701</v>
      </c>
      <c r="T4" s="2">
        <v>9.8603733566479494</v>
      </c>
      <c r="U4" s="2">
        <v>70.850800000000007</v>
      </c>
      <c r="V4" s="2">
        <v>15.6410220774028</v>
      </c>
      <c r="W4" s="2">
        <v>2.0081406666077499</v>
      </c>
      <c r="X4" s="2">
        <v>68.458940399248206</v>
      </c>
      <c r="Y4" s="2">
        <v>-15.250498084800801</v>
      </c>
      <c r="Z4" s="4">
        <v>7.3</v>
      </c>
      <c r="AA4" s="4">
        <v>12.2</v>
      </c>
      <c r="AB4" s="2">
        <v>2</v>
      </c>
      <c r="AC4" s="2">
        <v>16.899999999999999</v>
      </c>
      <c r="AD4" s="2">
        <v>6.7000000000000028</v>
      </c>
      <c r="AE4" s="2">
        <v>0</v>
      </c>
    </row>
    <row r="5" spans="1:31" x14ac:dyDescent="0.25">
      <c r="A5" s="2" t="s">
        <v>350</v>
      </c>
      <c r="B5" s="2">
        <v>2016</v>
      </c>
      <c r="C5" s="2" t="s">
        <v>351</v>
      </c>
      <c r="D5" s="2" t="s">
        <v>297</v>
      </c>
      <c r="E5" s="2">
        <v>3.6375999999999999</v>
      </c>
      <c r="F5" s="2">
        <v>3.1067</v>
      </c>
      <c r="G5" s="2">
        <v>3.5838000000000001</v>
      </c>
      <c r="H5" s="2">
        <v>1.0227999999999999</v>
      </c>
      <c r="I5" s="2">
        <v>0.95960000000000001</v>
      </c>
      <c r="J5">
        <v>21.459438889565</v>
      </c>
      <c r="K5">
        <v>15.797666492835299</v>
      </c>
      <c r="L5" s="2">
        <v>9.6768999999999998</v>
      </c>
      <c r="M5" s="2">
        <v>0.79849999999999999</v>
      </c>
      <c r="N5" s="2">
        <v>2.8990999999999998</v>
      </c>
      <c r="O5" s="2">
        <v>0.43340000000000001</v>
      </c>
      <c r="P5" s="2">
        <v>1.5619000000000001</v>
      </c>
      <c r="Q5" s="2">
        <v>8.9047000000000001</v>
      </c>
      <c r="R5" s="2">
        <v>-11.518428900528001</v>
      </c>
      <c r="S5" s="2">
        <v>-12.0760450905045</v>
      </c>
      <c r="T5" s="2">
        <v>2.1849639354742201</v>
      </c>
      <c r="U5" s="2">
        <v>67.699700000000007</v>
      </c>
      <c r="V5" s="2">
        <v>11.542146330276699</v>
      </c>
      <c r="W5" s="2">
        <v>2.0371864665790498</v>
      </c>
      <c r="X5" s="2">
        <v>121.219151457251</v>
      </c>
      <c r="Y5" s="2">
        <v>23.093415009288503</v>
      </c>
      <c r="Z5" s="4">
        <v>6.7</v>
      </c>
      <c r="AA5" s="4">
        <v>11.3</v>
      </c>
      <c r="AB5" s="2">
        <v>2</v>
      </c>
      <c r="AC5" s="2">
        <v>15.9</v>
      </c>
      <c r="AD5" s="2">
        <v>5.7000000000000028</v>
      </c>
      <c r="AE5" s="2">
        <v>0</v>
      </c>
    </row>
    <row r="6" spans="1:31" x14ac:dyDescent="0.25">
      <c r="A6" s="2" t="s">
        <v>350</v>
      </c>
      <c r="B6" s="2">
        <v>2018</v>
      </c>
      <c r="C6" s="2" t="s">
        <v>351</v>
      </c>
      <c r="D6" s="2" t="s">
        <v>297</v>
      </c>
      <c r="E6" s="2">
        <v>5.2319000000000004</v>
      </c>
      <c r="F6" s="2">
        <v>6.6505999999999998</v>
      </c>
      <c r="G6" s="2">
        <v>5.0491999999999999</v>
      </c>
      <c r="H6" s="2">
        <v>1.3682000000000001</v>
      </c>
      <c r="I6" s="2">
        <v>1.2987</v>
      </c>
      <c r="J6">
        <v>17.332359908216798</v>
      </c>
      <c r="K6">
        <v>-5.3894216812572493</v>
      </c>
      <c r="L6" s="2">
        <v>14.228400000000001</v>
      </c>
      <c r="M6" s="2">
        <v>0.84509999999999996</v>
      </c>
      <c r="N6" s="2">
        <v>3.9704000000000002</v>
      </c>
      <c r="O6" s="2">
        <v>0.63929999999999998</v>
      </c>
      <c r="P6" s="2">
        <v>1.3532999999999999</v>
      </c>
      <c r="Q6" s="2">
        <v>12.7607</v>
      </c>
      <c r="R6" s="2">
        <v>18.993862645001801</v>
      </c>
      <c r="S6" s="2">
        <v>13.7517009259477</v>
      </c>
      <c r="T6" s="2">
        <v>13.2515159183777</v>
      </c>
      <c r="U6" s="2">
        <v>67.220299999999995</v>
      </c>
      <c r="V6" s="2">
        <v>13.1219268705633</v>
      </c>
      <c r="W6" s="2">
        <v>1.95910537897265</v>
      </c>
      <c r="X6" s="2">
        <v>83.333027456290694</v>
      </c>
      <c r="Y6" s="2">
        <v>-6.6314619871389704</v>
      </c>
      <c r="Z6" s="4">
        <v>6.6000000000000005</v>
      </c>
      <c r="AA6" s="4">
        <v>8.1</v>
      </c>
      <c r="AB6" s="2">
        <v>2.1</v>
      </c>
      <c r="AC6" s="2">
        <v>12.5</v>
      </c>
      <c r="AD6" s="2">
        <v>6.0999999999999943</v>
      </c>
      <c r="AE6" s="2">
        <v>0</v>
      </c>
    </row>
    <row r="7" spans="1:31" x14ac:dyDescent="0.25">
      <c r="A7" s="2" t="s">
        <v>350</v>
      </c>
      <c r="B7" s="2">
        <v>2020</v>
      </c>
      <c r="C7" s="2" t="s">
        <v>351</v>
      </c>
      <c r="D7" s="2" t="s">
        <v>297</v>
      </c>
      <c r="E7" s="2">
        <v>2.9956</v>
      </c>
      <c r="F7" s="2">
        <v>3.6857000000000002</v>
      </c>
      <c r="G7" s="2">
        <v>3.8786</v>
      </c>
      <c r="H7" s="2">
        <v>1.3015000000000001</v>
      </c>
      <c r="I7" s="2">
        <v>1.2670999999999999</v>
      </c>
      <c r="J7">
        <v>19.9457505002148</v>
      </c>
      <c r="K7">
        <v>4.5555781780292497</v>
      </c>
      <c r="L7" s="2">
        <v>8.4524000000000008</v>
      </c>
      <c r="M7" s="2">
        <v>0.58250000000000002</v>
      </c>
      <c r="N7" s="2">
        <v>3.1787000000000001</v>
      </c>
      <c r="O7" s="2">
        <v>0.42749999999999999</v>
      </c>
      <c r="P7" s="2">
        <v>1.0048999999999999</v>
      </c>
      <c r="Q7" s="2">
        <v>19.0715</v>
      </c>
      <c r="R7" s="2">
        <v>-17.0711904313345</v>
      </c>
      <c r="S7" s="2">
        <v>18.948020700887199</v>
      </c>
      <c r="T7" s="2">
        <v>2.7273913680939201</v>
      </c>
      <c r="U7" s="2">
        <v>71.035799999999995</v>
      </c>
      <c r="V7" s="2">
        <v>16.279817613720297</v>
      </c>
      <c r="W7" s="2">
        <v>2.33613455404676</v>
      </c>
      <c r="X7" s="2">
        <v>83.132057587790499</v>
      </c>
      <c r="Y7" s="2">
        <v>8.2255259147186699</v>
      </c>
      <c r="Z7" s="4">
        <v>2.2999999999999998</v>
      </c>
      <c r="AA7" s="4">
        <v>10.100000000000001</v>
      </c>
      <c r="AB7" s="2">
        <v>2.5</v>
      </c>
      <c r="AC7" s="2">
        <v>16.100000000000001</v>
      </c>
      <c r="AD7" s="2">
        <v>2.4000000000000057</v>
      </c>
      <c r="AE7" s="2">
        <v>0</v>
      </c>
    </row>
    <row r="8" spans="1:31" x14ac:dyDescent="0.25">
      <c r="A8" s="2" t="s">
        <v>352</v>
      </c>
      <c r="B8" s="2">
        <v>2014</v>
      </c>
      <c r="C8" s="2" t="s">
        <v>353</v>
      </c>
      <c r="D8" s="2" t="s">
        <v>297</v>
      </c>
      <c r="E8" s="2">
        <v>4.0743999999999998</v>
      </c>
      <c r="F8" s="2">
        <v>3.8700999999999999</v>
      </c>
      <c r="G8" s="2">
        <v>3.2378999999999998</v>
      </c>
      <c r="H8" s="2">
        <v>0.55359999999999998</v>
      </c>
      <c r="I8" s="2">
        <v>0.42730000000000001</v>
      </c>
      <c r="J8">
        <v>25.276763288559202</v>
      </c>
      <c r="K8">
        <v>11.967738993425501</v>
      </c>
      <c r="L8" s="2">
        <v>8.1646000000000001</v>
      </c>
      <c r="M8" s="2">
        <v>2.0865999999999998</v>
      </c>
      <c r="N8" s="2">
        <v>0.59289999999999998</v>
      </c>
      <c r="O8" s="2">
        <v>0.39410000000000001</v>
      </c>
      <c r="P8" s="2">
        <v>33.330599999999997</v>
      </c>
      <c r="Q8" s="2">
        <v>-7.3284000000000002</v>
      </c>
      <c r="R8" s="2">
        <v>191.117010264274</v>
      </c>
      <c r="S8" s="2">
        <v>24.786118361441901</v>
      </c>
      <c r="T8" s="2">
        <v>2.9531423516092099</v>
      </c>
      <c r="U8" s="2">
        <v>67.764899999999997</v>
      </c>
      <c r="V8" s="2">
        <v>34.5516615539239</v>
      </c>
      <c r="W8" s="2">
        <v>0.49921731688168602</v>
      </c>
      <c r="X8" s="2">
        <v>112.81398054599201</v>
      </c>
      <c r="Y8" s="2">
        <v>23.011508841828199</v>
      </c>
      <c r="Z8" s="4">
        <v>7.3</v>
      </c>
      <c r="AA8" s="4">
        <v>12.2</v>
      </c>
      <c r="AB8" s="2">
        <v>2</v>
      </c>
      <c r="AC8" s="2">
        <v>16.899999999999999</v>
      </c>
      <c r="AD8" s="2">
        <v>6.7000000000000028</v>
      </c>
      <c r="AE8" s="2">
        <v>0</v>
      </c>
    </row>
    <row r="9" spans="1:31" x14ac:dyDescent="0.25">
      <c r="A9" s="2" t="s">
        <v>354</v>
      </c>
      <c r="B9" s="2">
        <v>2014</v>
      </c>
      <c r="C9" s="2" t="s">
        <v>355</v>
      </c>
      <c r="D9" s="2" t="s">
        <v>297</v>
      </c>
      <c r="E9" s="2">
        <v>3.8915999999999999</v>
      </c>
      <c r="F9" s="2">
        <v>2.891</v>
      </c>
      <c r="G9" s="2">
        <v>2.0390000000000001</v>
      </c>
      <c r="H9" s="2">
        <v>0.8659</v>
      </c>
      <c r="I9" s="2">
        <v>0.76180000000000003</v>
      </c>
      <c r="J9">
        <v>43.719653172458003</v>
      </c>
      <c r="K9">
        <v>4.6652097103752102</v>
      </c>
      <c r="L9" s="2">
        <v>11.758599999999999</v>
      </c>
      <c r="M9" s="2">
        <v>1.6276999999999999</v>
      </c>
      <c r="N9" s="2">
        <v>1.8804000000000001</v>
      </c>
      <c r="O9" s="2">
        <v>0.56110000000000004</v>
      </c>
      <c r="P9" s="2">
        <v>10.182399999999999</v>
      </c>
      <c r="Q9" s="2">
        <v>-16.612400000000001</v>
      </c>
      <c r="R9" s="2">
        <v>-20.090938594769199</v>
      </c>
      <c r="S9" s="2">
        <v>-10.987802451019601</v>
      </c>
      <c r="T9" s="2">
        <v>2.6533386569803898</v>
      </c>
      <c r="U9" s="2">
        <v>50.847999999999999</v>
      </c>
      <c r="V9" s="2">
        <v>14.5297163719534</v>
      </c>
      <c r="W9" s="2">
        <v>1.5507897387357901</v>
      </c>
      <c r="X9" s="2">
        <v>81.008923561268602</v>
      </c>
      <c r="Y9" s="2">
        <v>3.9822359330757</v>
      </c>
      <c r="Z9" s="4">
        <v>7.3</v>
      </c>
      <c r="AA9" s="4">
        <v>12.2</v>
      </c>
      <c r="AB9" s="2">
        <v>2</v>
      </c>
      <c r="AC9" s="2">
        <v>16.899999999999999</v>
      </c>
      <c r="AD9" s="2">
        <v>6.7000000000000028</v>
      </c>
      <c r="AE9" s="2">
        <v>0</v>
      </c>
    </row>
    <row r="10" spans="1:31" x14ac:dyDescent="0.25">
      <c r="A10" s="2" t="s">
        <v>354</v>
      </c>
      <c r="B10" s="2">
        <v>2016</v>
      </c>
      <c r="C10" s="2" t="s">
        <v>355</v>
      </c>
      <c r="D10" s="2" t="s">
        <v>297</v>
      </c>
      <c r="E10" s="2">
        <v>3.9973000000000001</v>
      </c>
      <c r="F10" s="2">
        <v>2.7524000000000002</v>
      </c>
      <c r="G10" s="2">
        <v>3.3304</v>
      </c>
      <c r="H10" s="2">
        <v>1.0972999999999999</v>
      </c>
      <c r="I10" s="2">
        <v>1.0322</v>
      </c>
      <c r="J10">
        <v>64.7444066047143</v>
      </c>
      <c r="K10">
        <v>2.94293388840254</v>
      </c>
      <c r="L10" s="2">
        <v>15.852600000000001</v>
      </c>
      <c r="M10" s="2">
        <v>1.4656</v>
      </c>
      <c r="N10" s="2">
        <v>1.8684000000000001</v>
      </c>
      <c r="O10" s="2">
        <v>0.50190000000000001</v>
      </c>
      <c r="P10" s="2">
        <v>12.8202</v>
      </c>
      <c r="Q10" s="2">
        <v>36.7605</v>
      </c>
      <c r="R10" s="2">
        <v>157.44526785193801</v>
      </c>
      <c r="S10" s="2">
        <v>12.4007150232407</v>
      </c>
      <c r="T10" s="2">
        <v>3.8309553806666901</v>
      </c>
      <c r="U10" s="2">
        <v>55.039200000000001</v>
      </c>
      <c r="V10" s="2">
        <v>19.487903869763102</v>
      </c>
      <c r="W10" s="2">
        <v>1.8904152477126099</v>
      </c>
      <c r="X10" s="2">
        <v>76.514564694832799</v>
      </c>
      <c r="Y10" s="2">
        <v>3.4156023417597403</v>
      </c>
      <c r="Z10" s="4">
        <v>6.7</v>
      </c>
      <c r="AA10" s="4">
        <v>11.3</v>
      </c>
      <c r="AB10" s="2">
        <v>2</v>
      </c>
      <c r="AC10" s="2">
        <v>15.9</v>
      </c>
      <c r="AD10" s="2">
        <v>5.7000000000000028</v>
      </c>
      <c r="AE10" s="2">
        <v>0</v>
      </c>
    </row>
    <row r="11" spans="1:31" x14ac:dyDescent="0.25">
      <c r="A11" s="2" t="s">
        <v>354</v>
      </c>
      <c r="B11" s="2">
        <v>2018</v>
      </c>
      <c r="C11" s="2" t="s">
        <v>355</v>
      </c>
      <c r="D11" s="2" t="s">
        <v>297</v>
      </c>
      <c r="E11" s="2">
        <v>4.9406999999999996</v>
      </c>
      <c r="F11" s="2">
        <v>5.2914000000000003</v>
      </c>
      <c r="G11" s="2">
        <v>7.3747999999999996</v>
      </c>
      <c r="H11" s="2">
        <v>1.0052000000000001</v>
      </c>
      <c r="I11" s="2">
        <v>0.9667</v>
      </c>
      <c r="J11">
        <v>82.380247968417592</v>
      </c>
      <c r="K11">
        <v>18.8414975933633</v>
      </c>
      <c r="L11" s="2">
        <v>29.228000000000002</v>
      </c>
      <c r="M11" s="2">
        <v>1.3583000000000001</v>
      </c>
      <c r="N11" s="2">
        <v>1.6577</v>
      </c>
      <c r="O11" s="2">
        <v>0.52739999999999998</v>
      </c>
      <c r="P11" s="2">
        <v>22.214200000000002</v>
      </c>
      <c r="Q11" s="2">
        <v>3.4937999999999998</v>
      </c>
      <c r="R11" s="2">
        <v>52.741254210622699</v>
      </c>
      <c r="S11" s="2">
        <v>-0.22154183437311001</v>
      </c>
      <c r="T11" s="2">
        <v>-6.7144612901297904</v>
      </c>
      <c r="U11" s="2">
        <v>52.349699999999999</v>
      </c>
      <c r="V11" s="2">
        <v>16.970423981250001</v>
      </c>
      <c r="W11" s="2">
        <v>1.3124143413821501</v>
      </c>
      <c r="X11" s="2">
        <v>93.482140569374607</v>
      </c>
      <c r="Y11" s="2">
        <v>20.831931531119999</v>
      </c>
      <c r="Z11" s="4">
        <v>6.6000000000000005</v>
      </c>
      <c r="AA11" s="4">
        <v>8.1</v>
      </c>
      <c r="AB11" s="2">
        <v>2.1</v>
      </c>
      <c r="AC11" s="2">
        <v>12.5</v>
      </c>
      <c r="AD11" s="2">
        <v>6.0999999999999943</v>
      </c>
      <c r="AE11" s="2">
        <v>0</v>
      </c>
    </row>
    <row r="12" spans="1:31" x14ac:dyDescent="0.25">
      <c r="A12" s="2" t="s">
        <v>356</v>
      </c>
      <c r="B12" s="2">
        <v>2020</v>
      </c>
      <c r="C12" s="2" t="s">
        <v>357</v>
      </c>
      <c r="D12" s="2" t="s">
        <v>297</v>
      </c>
      <c r="E12" s="2">
        <v>10.9392</v>
      </c>
      <c r="F12" s="2">
        <v>22.034099999999999</v>
      </c>
      <c r="G12" s="2">
        <v>16.103000000000002</v>
      </c>
      <c r="H12" s="2">
        <v>0.5948</v>
      </c>
      <c r="I12" s="2">
        <v>0.46710000000000002</v>
      </c>
      <c r="J12">
        <v>25.792824838382998</v>
      </c>
      <c r="K12">
        <v>20.522919551498401</v>
      </c>
      <c r="L12" s="2">
        <v>6.2191999999999998</v>
      </c>
      <c r="M12" s="2">
        <v>2.2944</v>
      </c>
      <c r="N12" s="2">
        <v>1.5649</v>
      </c>
      <c r="O12" s="2">
        <v>0.63680000000000003</v>
      </c>
      <c r="P12" s="2">
        <v>13.672000000000001</v>
      </c>
      <c r="Q12" s="2">
        <v>7.8291000000000004</v>
      </c>
      <c r="R12" s="2">
        <v>-1.68407961853331</v>
      </c>
      <c r="S12" s="2">
        <v>38.081065258461201</v>
      </c>
      <c r="T12" s="2">
        <v>15.145492074708301</v>
      </c>
      <c r="U12" s="2">
        <v>61.383400000000002</v>
      </c>
      <c r="V12" s="2">
        <v>36.238675866373498</v>
      </c>
      <c r="W12" s="2">
        <v>0.87436213589817502</v>
      </c>
      <c r="X12" s="2">
        <v>134.82617827890499</v>
      </c>
      <c r="Y12" s="2">
        <v>18.201954865428601</v>
      </c>
      <c r="Z12" s="4">
        <v>2.2999999999999998</v>
      </c>
      <c r="AA12" s="4">
        <v>10.100000000000001</v>
      </c>
      <c r="AB12" s="2">
        <v>2.5</v>
      </c>
      <c r="AC12" s="2">
        <v>16.100000000000001</v>
      </c>
      <c r="AD12" s="2">
        <v>2.4000000000000057</v>
      </c>
      <c r="AE12" s="2">
        <v>0</v>
      </c>
    </row>
    <row r="13" spans="1:31" x14ac:dyDescent="0.25">
      <c r="A13" s="2" t="s">
        <v>356</v>
      </c>
      <c r="B13" s="2">
        <v>2014</v>
      </c>
      <c r="C13" s="2" t="s">
        <v>360</v>
      </c>
      <c r="D13" s="2" t="s">
        <v>297</v>
      </c>
      <c r="E13" s="2">
        <v>12.4641</v>
      </c>
      <c r="F13" s="2">
        <v>23.869</v>
      </c>
      <c r="G13" s="2">
        <v>18.766999999999999</v>
      </c>
      <c r="H13" s="2">
        <v>0.73719999999999997</v>
      </c>
      <c r="I13" s="2">
        <v>0.50980000000000003</v>
      </c>
      <c r="J13">
        <v>25.539401621828802</v>
      </c>
      <c r="K13">
        <v>14.203549192874201</v>
      </c>
      <c r="L13" s="2">
        <v>5.7893999999999997</v>
      </c>
      <c r="M13" s="2">
        <v>2.4617</v>
      </c>
      <c r="N13" s="2">
        <v>1.8580000000000001</v>
      </c>
      <c r="O13" s="2">
        <v>0.60740000000000005</v>
      </c>
      <c r="P13" s="2">
        <v>18.375399999999999</v>
      </c>
      <c r="Q13" s="2">
        <v>9.2858999999999998</v>
      </c>
      <c r="R13" s="2">
        <v>-14.558376542061</v>
      </c>
      <c r="S13" s="2">
        <v>31.866901150689699</v>
      </c>
      <c r="T13" s="2">
        <v>9.4664935236826597</v>
      </c>
      <c r="U13" s="2">
        <v>68.057199999999995</v>
      </c>
      <c r="V13" s="2">
        <v>10.830639245612399</v>
      </c>
      <c r="W13" s="2">
        <v>1.0990720973349</v>
      </c>
      <c r="X13" s="2">
        <v>117.77097757039401</v>
      </c>
      <c r="Y13" s="2">
        <v>19.185592198451701</v>
      </c>
      <c r="Z13" s="4">
        <v>7.3</v>
      </c>
      <c r="AA13" s="4">
        <v>12.2</v>
      </c>
      <c r="AB13" s="2">
        <v>2</v>
      </c>
      <c r="AC13" s="2">
        <v>16.899999999999999</v>
      </c>
      <c r="AD13" s="2">
        <v>6.7000000000000028</v>
      </c>
      <c r="AE13" s="2">
        <v>0</v>
      </c>
    </row>
    <row r="14" spans="1:31" x14ac:dyDescent="0.25">
      <c r="A14" s="2" t="s">
        <v>358</v>
      </c>
      <c r="B14" s="2">
        <v>2017</v>
      </c>
      <c r="C14" s="2" t="s">
        <v>359</v>
      </c>
      <c r="D14" s="2" t="s">
        <v>297</v>
      </c>
      <c r="E14" s="2">
        <v>12.994199999999999</v>
      </c>
      <c r="F14" s="2">
        <v>22.2636</v>
      </c>
      <c r="G14" s="2">
        <v>12.9054</v>
      </c>
      <c r="H14" s="2">
        <v>0.76370000000000005</v>
      </c>
      <c r="I14" s="2">
        <v>0.5615</v>
      </c>
      <c r="J14">
        <v>46.700186542283397</v>
      </c>
      <c r="K14">
        <v>10.953578343137101</v>
      </c>
      <c r="L14" s="2">
        <v>8.8033000000000001</v>
      </c>
      <c r="M14" s="2">
        <v>3.1985999999999999</v>
      </c>
      <c r="N14" s="2">
        <v>1.4911000000000001</v>
      </c>
      <c r="O14" s="2">
        <v>0.89580000000000004</v>
      </c>
      <c r="P14" s="2">
        <v>34.5184</v>
      </c>
      <c r="Q14" s="2">
        <v>28.1495</v>
      </c>
      <c r="R14" s="2">
        <v>151.47730181055499</v>
      </c>
      <c r="S14" s="2">
        <v>14.707770127832401</v>
      </c>
      <c r="T14" s="2">
        <v>43.848430166774399</v>
      </c>
      <c r="U14" s="2">
        <v>55.859000000000002</v>
      </c>
      <c r="V14" s="2">
        <v>23.677179111742401</v>
      </c>
      <c r="W14" s="2">
        <v>0.52331973172402402</v>
      </c>
      <c r="X14" s="2">
        <v>56.052310682381901</v>
      </c>
      <c r="Y14" s="2">
        <v>7.1764447227486592</v>
      </c>
      <c r="Z14" s="4">
        <v>6.9</v>
      </c>
      <c r="AA14" s="4">
        <v>8.2000000000000011</v>
      </c>
      <c r="AB14" s="2">
        <v>1.6</v>
      </c>
      <c r="AC14" s="2">
        <v>16.3</v>
      </c>
      <c r="AD14" s="2">
        <v>6.2000000000000028</v>
      </c>
      <c r="AE14" s="2">
        <v>0</v>
      </c>
    </row>
    <row r="15" spans="1:31" x14ac:dyDescent="0.25">
      <c r="A15" s="2" t="s">
        <v>358</v>
      </c>
      <c r="B15" s="2">
        <v>2014</v>
      </c>
      <c r="C15" s="2" t="s">
        <v>359</v>
      </c>
      <c r="D15" s="2" t="s">
        <v>297</v>
      </c>
      <c r="E15" s="2">
        <v>5.7957000000000001</v>
      </c>
      <c r="F15" s="2">
        <v>8.0985999999999994</v>
      </c>
      <c r="G15" s="2">
        <v>4.9782000000000002</v>
      </c>
      <c r="H15" s="2">
        <v>0.56599999999999995</v>
      </c>
      <c r="I15" s="2">
        <v>0.41599999999999998</v>
      </c>
      <c r="J15">
        <v>33.134092033500998</v>
      </c>
      <c r="K15">
        <v>5.2790382019883895</v>
      </c>
      <c r="L15" s="2">
        <v>7.9797000000000002</v>
      </c>
      <c r="M15" s="2">
        <v>2.5607000000000002</v>
      </c>
      <c r="N15" s="2">
        <v>1.1100000000000001</v>
      </c>
      <c r="O15" s="2">
        <v>0.65410000000000001</v>
      </c>
      <c r="P15" s="2">
        <v>31.2437</v>
      </c>
      <c r="Q15" s="2">
        <v>7.2114000000000003</v>
      </c>
      <c r="R15" s="2">
        <v>7.4913705591217798</v>
      </c>
      <c r="S15" s="2">
        <v>4.7074835411219897</v>
      </c>
      <c r="T15" s="2">
        <v>7.71781356447707</v>
      </c>
      <c r="U15" s="2">
        <v>67.127499999999998</v>
      </c>
      <c r="V15" s="2">
        <v>16.6498739424954</v>
      </c>
      <c r="W15" s="2">
        <v>0.78590046890952803</v>
      </c>
      <c r="X15" s="2">
        <v>54.732072264433896</v>
      </c>
      <c r="Y15" s="2">
        <v>7.2982663121334808</v>
      </c>
      <c r="Z15" s="4">
        <v>7.3</v>
      </c>
      <c r="AA15" s="4">
        <v>12.2</v>
      </c>
      <c r="AB15" s="2">
        <v>2</v>
      </c>
      <c r="AC15" s="2">
        <v>16.899999999999999</v>
      </c>
      <c r="AD15" s="2">
        <v>6.7000000000000028</v>
      </c>
      <c r="AE15" s="2">
        <v>0</v>
      </c>
    </row>
    <row r="16" spans="1:31" x14ac:dyDescent="0.25">
      <c r="A16" s="2" t="s">
        <v>361</v>
      </c>
      <c r="B16" s="2">
        <v>2014</v>
      </c>
      <c r="C16" s="2" t="s">
        <v>362</v>
      </c>
      <c r="D16" s="2" t="s">
        <v>337</v>
      </c>
      <c r="E16" s="2">
        <v>5.6147</v>
      </c>
      <c r="F16" s="2">
        <v>7.2519999999999998</v>
      </c>
      <c r="G16" s="2">
        <v>1.8569</v>
      </c>
      <c r="H16" s="2">
        <v>1.1877</v>
      </c>
      <c r="I16" s="2">
        <v>0.59819999999999995</v>
      </c>
      <c r="J16">
        <v>21.176775211839399</v>
      </c>
      <c r="K16">
        <v>20.617882842289902</v>
      </c>
      <c r="L16" s="2">
        <v>3.6425999999999998</v>
      </c>
      <c r="M16" s="2">
        <v>1.9475</v>
      </c>
      <c r="N16" s="2">
        <v>5.2899000000000003</v>
      </c>
      <c r="O16" s="2">
        <v>1.3536999999999999</v>
      </c>
      <c r="P16" s="2">
        <v>256.99419999999998</v>
      </c>
      <c r="Q16" s="2">
        <v>29.915099999999999</v>
      </c>
      <c r="R16" s="2">
        <v>6.8248375873343301</v>
      </c>
      <c r="S16" s="2">
        <v>-0.84595865209777898</v>
      </c>
      <c r="T16" s="2">
        <v>6.2181145274443201</v>
      </c>
      <c r="U16" s="2">
        <v>68.028300000000002</v>
      </c>
      <c r="V16" s="2">
        <v>10.108532371120701</v>
      </c>
      <c r="W16" s="2">
        <v>1.2465339110371401</v>
      </c>
      <c r="X16" s="2">
        <v>106.258549412462</v>
      </c>
      <c r="Y16" s="2">
        <v>10.2272956216548</v>
      </c>
      <c r="Z16" s="4">
        <v>7.3</v>
      </c>
      <c r="AA16" s="4">
        <v>12.2</v>
      </c>
      <c r="AB16" s="2">
        <v>2</v>
      </c>
      <c r="AC16" s="2">
        <v>16.899999999999999</v>
      </c>
      <c r="AD16" s="2">
        <v>6.7000000000000028</v>
      </c>
      <c r="AE16" s="2">
        <v>0</v>
      </c>
    </row>
    <row r="17" spans="1:31" x14ac:dyDescent="0.25">
      <c r="A17" s="2" t="s">
        <v>361</v>
      </c>
      <c r="B17" s="2">
        <v>2016</v>
      </c>
      <c r="C17" s="2" t="s">
        <v>362</v>
      </c>
      <c r="D17" s="2" t="s">
        <v>337</v>
      </c>
      <c r="E17" s="2">
        <v>3.6133999999999999</v>
      </c>
      <c r="F17" s="2">
        <v>5.4398999999999997</v>
      </c>
      <c r="G17" s="2">
        <v>2.2536999999999998</v>
      </c>
      <c r="H17" s="2">
        <v>0.98939999999999995</v>
      </c>
      <c r="I17" s="2">
        <v>0.43569999999999998</v>
      </c>
      <c r="J17">
        <v>19.777584200202899</v>
      </c>
      <c r="K17">
        <v>2.7472818931235299</v>
      </c>
      <c r="L17" s="2">
        <v>3.1995</v>
      </c>
      <c r="M17" s="2">
        <v>1.9229000000000001</v>
      </c>
      <c r="N17" s="2">
        <v>4.9541000000000004</v>
      </c>
      <c r="O17" s="2">
        <v>1.3080000000000001</v>
      </c>
      <c r="P17" s="2">
        <v>214.08260000000001</v>
      </c>
      <c r="Q17" s="2">
        <v>15.7255</v>
      </c>
      <c r="R17" s="2">
        <v>25.287921590871701</v>
      </c>
      <c r="S17" s="2">
        <v>12.695316597689001</v>
      </c>
      <c r="T17" s="2">
        <v>4.2779463326192397</v>
      </c>
      <c r="U17" s="2">
        <v>71.178299999999993</v>
      </c>
      <c r="V17" s="2">
        <v>1.5182635533214699</v>
      </c>
      <c r="W17" s="2">
        <v>1.0741879600512401</v>
      </c>
      <c r="X17" s="2">
        <v>108.21813441247099</v>
      </c>
      <c r="Y17" s="2">
        <v>1.58430060799712</v>
      </c>
      <c r="Z17" s="4">
        <v>6.7</v>
      </c>
      <c r="AA17" s="4">
        <v>11.3</v>
      </c>
      <c r="AB17" s="2">
        <v>2</v>
      </c>
      <c r="AC17" s="2">
        <v>15.9</v>
      </c>
      <c r="AD17" s="2">
        <v>5.7000000000000028</v>
      </c>
      <c r="AE17" s="2">
        <v>0</v>
      </c>
    </row>
    <row r="18" spans="1:31" x14ac:dyDescent="0.25">
      <c r="A18" s="2" t="s">
        <v>361</v>
      </c>
      <c r="B18" s="2">
        <v>2018</v>
      </c>
      <c r="C18" s="2" t="s">
        <v>362</v>
      </c>
      <c r="D18" s="2" t="s">
        <v>337</v>
      </c>
      <c r="E18" s="2">
        <v>4.7484999999999999</v>
      </c>
      <c r="F18" s="2">
        <v>9.4760000000000009</v>
      </c>
      <c r="G18" s="2">
        <v>2.3382000000000001</v>
      </c>
      <c r="H18" s="2">
        <v>0.94179999999999997</v>
      </c>
      <c r="I18" s="2">
        <v>0.42199999999999999</v>
      </c>
      <c r="J18">
        <v>21.708497242708301</v>
      </c>
      <c r="K18">
        <v>10.9602846909806</v>
      </c>
      <c r="L18" s="2">
        <v>3.8795000000000002</v>
      </c>
      <c r="M18" s="2">
        <v>2.3559999999999999</v>
      </c>
      <c r="N18" s="2">
        <v>5.3615000000000004</v>
      </c>
      <c r="O18" s="2">
        <v>1.5225</v>
      </c>
      <c r="P18" s="2">
        <v>527.60440000000006</v>
      </c>
      <c r="Q18" s="2">
        <v>7.1879999999999997</v>
      </c>
      <c r="R18" s="2">
        <v>-0.54068460413873598</v>
      </c>
      <c r="S18" s="2">
        <v>11.0595530717824</v>
      </c>
      <c r="T18" s="2">
        <v>-4.2268350446825398</v>
      </c>
      <c r="U18" s="2">
        <v>70.756900000000002</v>
      </c>
      <c r="V18" s="2">
        <v>2.05726898011405</v>
      </c>
      <c r="W18" s="2">
        <v>1.00796063297266</v>
      </c>
      <c r="X18" s="2">
        <v>110.567258242417</v>
      </c>
      <c r="Y18" s="2">
        <v>5.4576012640368896</v>
      </c>
      <c r="Z18" s="4">
        <v>6.6000000000000005</v>
      </c>
      <c r="AA18" s="4">
        <v>8.1</v>
      </c>
      <c r="AB18" s="2">
        <v>2.1</v>
      </c>
      <c r="AC18" s="2">
        <v>12.5</v>
      </c>
      <c r="AD18" s="2">
        <v>6.0999999999999943</v>
      </c>
      <c r="AE18" s="2">
        <v>0</v>
      </c>
    </row>
    <row r="19" spans="1:31" x14ac:dyDescent="0.25">
      <c r="A19" s="2" t="s">
        <v>363</v>
      </c>
      <c r="B19" s="2">
        <v>2014</v>
      </c>
      <c r="C19" s="2" t="s">
        <v>588</v>
      </c>
      <c r="D19" s="2" t="s">
        <v>337</v>
      </c>
      <c r="E19" s="2">
        <v>6.9215</v>
      </c>
      <c r="F19" s="2">
        <v>9.4080999999999992</v>
      </c>
      <c r="G19" s="2">
        <v>2.4847000000000001</v>
      </c>
      <c r="H19" s="2">
        <v>0.23130000000000001</v>
      </c>
      <c r="I19" s="2">
        <v>0.157</v>
      </c>
      <c r="J19">
        <v>6.3058795013114395</v>
      </c>
      <c r="K19">
        <v>19.517075179857901</v>
      </c>
      <c r="L19" s="2">
        <v>60.174599999999998</v>
      </c>
      <c r="M19" s="2">
        <v>22.1798</v>
      </c>
      <c r="N19" s="2">
        <v>5.8783000000000003</v>
      </c>
      <c r="O19" s="2">
        <v>2.0586000000000002</v>
      </c>
      <c r="P19" s="2">
        <v>868.32619999999997</v>
      </c>
      <c r="Q19" s="2">
        <v>-0.81369999999999998</v>
      </c>
      <c r="R19" s="2">
        <v>-23.844792356471</v>
      </c>
      <c r="S19" s="2">
        <v>3.2290181413559602</v>
      </c>
      <c r="T19" s="2">
        <v>8.1197041369444705</v>
      </c>
      <c r="U19" s="2">
        <v>56.296799999999998</v>
      </c>
      <c r="V19" s="2">
        <v>20.084599565273201</v>
      </c>
      <c r="W19" s="2">
        <v>1.2365037205934</v>
      </c>
      <c r="X19" s="2">
        <v>99.637478021435399</v>
      </c>
      <c r="Y19" s="2">
        <v>5.4222192654843502</v>
      </c>
      <c r="Z19" s="4">
        <v>7.3</v>
      </c>
      <c r="AA19" s="4">
        <v>12.2</v>
      </c>
      <c r="AB19" s="2">
        <v>2</v>
      </c>
      <c r="AC19" s="2">
        <v>16.899999999999999</v>
      </c>
      <c r="AD19" s="2">
        <v>6.7000000000000028</v>
      </c>
      <c r="AE19" s="2">
        <v>0</v>
      </c>
    </row>
    <row r="20" spans="1:31" x14ac:dyDescent="0.25">
      <c r="A20" s="2" t="s">
        <v>363</v>
      </c>
      <c r="B20" s="2">
        <v>2016</v>
      </c>
      <c r="C20" s="2" t="s">
        <v>364</v>
      </c>
      <c r="D20" s="2" t="s">
        <v>337</v>
      </c>
      <c r="E20" s="2">
        <v>7.8947000000000003</v>
      </c>
      <c r="F20" s="2">
        <v>10.2706</v>
      </c>
      <c r="G20" s="2">
        <v>3.3834</v>
      </c>
      <c r="H20" s="2">
        <v>0.42170000000000002</v>
      </c>
      <c r="I20" s="2">
        <v>0.23250000000000001</v>
      </c>
      <c r="J20">
        <v>18.0618542498887</v>
      </c>
      <c r="K20">
        <v>22.6762016090453</v>
      </c>
      <c r="L20" s="2">
        <v>45.414200000000001</v>
      </c>
      <c r="M20" s="2">
        <v>21.1648</v>
      </c>
      <c r="N20" s="2">
        <v>5.0091000000000001</v>
      </c>
      <c r="O20" s="2">
        <v>1.9672000000000001</v>
      </c>
      <c r="P20" s="2">
        <v>1705.0057999999999</v>
      </c>
      <c r="Q20" s="2">
        <v>26.038599999999999</v>
      </c>
      <c r="R20" s="2">
        <v>87.954590185813998</v>
      </c>
      <c r="S20" s="2">
        <v>13.019400461228599</v>
      </c>
      <c r="T20" s="2">
        <v>40.023113982952502</v>
      </c>
      <c r="U20" s="2">
        <v>42.360900000000001</v>
      </c>
      <c r="V20" s="2">
        <v>16.249771604275502</v>
      </c>
      <c r="W20" s="2">
        <v>1.5014976817064001</v>
      </c>
      <c r="X20" s="2">
        <v>103.150710855619</v>
      </c>
      <c r="Y20" s="2">
        <v>5.5946338480431796</v>
      </c>
      <c r="Z20" s="4">
        <v>6.7</v>
      </c>
      <c r="AA20" s="4">
        <v>11.3</v>
      </c>
      <c r="AB20" s="2">
        <v>2</v>
      </c>
      <c r="AC20" s="2">
        <v>15.9</v>
      </c>
      <c r="AD20" s="2">
        <v>5.7000000000000028</v>
      </c>
      <c r="AE20" s="2">
        <v>0</v>
      </c>
    </row>
    <row r="21" spans="1:31" x14ac:dyDescent="0.25">
      <c r="A21" s="2" t="s">
        <v>365</v>
      </c>
      <c r="B21" s="2">
        <v>2014</v>
      </c>
      <c r="C21" s="2" t="s">
        <v>366</v>
      </c>
      <c r="D21" s="2" t="s">
        <v>329</v>
      </c>
      <c r="E21" s="2">
        <v>3.5516000000000001</v>
      </c>
      <c r="F21" s="2">
        <v>1.3425</v>
      </c>
      <c r="G21" s="2">
        <v>0.19969999999999999</v>
      </c>
      <c r="H21" s="2">
        <v>0.90229999999999999</v>
      </c>
      <c r="I21" s="2">
        <v>0.30580000000000002</v>
      </c>
      <c r="J21">
        <v>14.326850937934299</v>
      </c>
      <c r="K21">
        <v>24.6997975531274</v>
      </c>
      <c r="L21" s="2">
        <v>6.9532999999999996</v>
      </c>
      <c r="M21" s="2">
        <v>4.6721000000000004</v>
      </c>
      <c r="N21" s="2">
        <v>7.9657</v>
      </c>
      <c r="O21" s="2">
        <v>2.4253</v>
      </c>
      <c r="P21" s="2">
        <v>101.7239</v>
      </c>
      <c r="Q21" s="2">
        <v>24.841799999999999</v>
      </c>
      <c r="R21" s="2">
        <v>109.09848430410101</v>
      </c>
      <c r="S21" s="2">
        <v>-6.4651129136183298</v>
      </c>
      <c r="T21" s="2">
        <v>2.1609249877724599</v>
      </c>
      <c r="U21" s="2">
        <v>72.619699999999995</v>
      </c>
      <c r="V21" s="2">
        <v>17.424962704607399</v>
      </c>
      <c r="W21" s="2">
        <v>0.85299486944520897</v>
      </c>
      <c r="X21" s="2">
        <v>113.98854200528</v>
      </c>
      <c r="Y21" s="2">
        <v>7.1486135011157703</v>
      </c>
      <c r="Z21" s="4">
        <v>7.3</v>
      </c>
      <c r="AA21" s="4">
        <v>12.2</v>
      </c>
      <c r="AB21" s="2">
        <v>2</v>
      </c>
      <c r="AC21" s="2">
        <v>16.899999999999999</v>
      </c>
      <c r="AD21" s="2">
        <v>6.7000000000000028</v>
      </c>
      <c r="AE21" s="2">
        <v>0</v>
      </c>
    </row>
    <row r="22" spans="1:31" x14ac:dyDescent="0.25">
      <c r="A22" s="2" t="s">
        <v>367</v>
      </c>
      <c r="B22" s="2">
        <v>2015</v>
      </c>
      <c r="C22" s="2" t="s">
        <v>368</v>
      </c>
      <c r="D22" s="2" t="s">
        <v>329</v>
      </c>
      <c r="E22" s="2">
        <v>1.2336</v>
      </c>
      <c r="F22" s="2">
        <v>1.3907</v>
      </c>
      <c r="G22" s="2">
        <v>0.53349999999999997</v>
      </c>
      <c r="H22" s="2">
        <v>1.482</v>
      </c>
      <c r="I22" s="2">
        <v>1.1518999999999999</v>
      </c>
      <c r="J22">
        <v>60.797356737093402</v>
      </c>
      <c r="K22">
        <v>4.5370822049198098</v>
      </c>
      <c r="L22" s="2">
        <v>13.1701</v>
      </c>
      <c r="M22" s="2">
        <v>2.9321999999999999</v>
      </c>
      <c r="N22" s="2">
        <v>9.9543999999999997</v>
      </c>
      <c r="O22" s="2">
        <v>2.0076000000000001</v>
      </c>
      <c r="P22" s="2">
        <v>19.3857</v>
      </c>
      <c r="Q22" s="2">
        <v>-6.5750999999999999</v>
      </c>
      <c r="R22" s="2">
        <v>-75.969777080159005</v>
      </c>
      <c r="S22" s="2">
        <v>-5.8403536181128901</v>
      </c>
      <c r="T22" s="2">
        <v>0.377190626468492</v>
      </c>
      <c r="U22" s="2">
        <v>46.706699999999998</v>
      </c>
      <c r="V22" s="2">
        <v>1.5796366813799998</v>
      </c>
      <c r="W22" s="2">
        <v>2.54208489316084</v>
      </c>
      <c r="X22" s="2">
        <v>114.84458797378301</v>
      </c>
      <c r="Y22" s="2">
        <v>1.2208696221200099</v>
      </c>
      <c r="Z22" s="4">
        <v>6.9099999999999993</v>
      </c>
      <c r="AA22" s="4">
        <v>13.3</v>
      </c>
      <c r="AB22" s="2">
        <v>1.4</v>
      </c>
      <c r="AC22" s="2">
        <v>17.600000000000001</v>
      </c>
      <c r="AD22" s="2">
        <v>5.7000000000000028</v>
      </c>
      <c r="AE22" s="2">
        <v>0</v>
      </c>
    </row>
    <row r="23" spans="1:31" x14ac:dyDescent="0.25">
      <c r="A23" s="2" t="s">
        <v>369</v>
      </c>
      <c r="B23" s="2">
        <v>2014</v>
      </c>
      <c r="C23" s="2" t="s">
        <v>370</v>
      </c>
      <c r="D23" s="2" t="s">
        <v>323</v>
      </c>
      <c r="E23" s="2">
        <v>-5.2606999999999999</v>
      </c>
      <c r="F23" s="2">
        <v>-44.654000000000003</v>
      </c>
      <c r="G23" s="2">
        <v>-11.862399999999999</v>
      </c>
      <c r="H23" s="2">
        <v>0.60899999999999999</v>
      </c>
      <c r="I23" s="2">
        <v>0.39369999999999999</v>
      </c>
      <c r="J23">
        <v>19.557676695495697</v>
      </c>
      <c r="K23">
        <v>9.0018087146439996</v>
      </c>
      <c r="L23" s="2">
        <v>6.0791000000000004</v>
      </c>
      <c r="M23" s="2">
        <v>2.2408000000000001</v>
      </c>
      <c r="N23" s="2">
        <v>1.6798</v>
      </c>
      <c r="O23" s="2">
        <v>0.72309999999999997</v>
      </c>
      <c r="P23" s="2">
        <v>40.542499999999997</v>
      </c>
      <c r="Q23" s="2">
        <v>-16.376000000000001</v>
      </c>
      <c r="R23" s="2">
        <v>-2456.5898941088799</v>
      </c>
      <c r="S23" s="2">
        <v>-3.4460350459588298</v>
      </c>
      <c r="T23" s="2">
        <v>-36.255326439757702</v>
      </c>
      <c r="U23" s="2">
        <v>79.427700000000002</v>
      </c>
      <c r="V23" s="2">
        <v>25.316442928365202</v>
      </c>
      <c r="W23" s="2">
        <v>0.472180010145197</v>
      </c>
      <c r="X23" s="2">
        <v>128.91027818045001</v>
      </c>
      <c r="Y23" s="2">
        <v>9.7149088906596806</v>
      </c>
      <c r="Z23" s="4">
        <v>7.3</v>
      </c>
      <c r="AA23" s="4">
        <v>12.2</v>
      </c>
      <c r="AB23" s="2">
        <v>2</v>
      </c>
      <c r="AC23" s="2">
        <v>16.899999999999999</v>
      </c>
      <c r="AD23" s="2">
        <v>6.7000000000000028</v>
      </c>
      <c r="AE23" s="2">
        <v>0</v>
      </c>
    </row>
    <row r="24" spans="1:31" x14ac:dyDescent="0.25">
      <c r="A24" s="2" t="s">
        <v>369</v>
      </c>
      <c r="B24" s="2">
        <v>2016</v>
      </c>
      <c r="C24" s="2" t="s">
        <v>370</v>
      </c>
      <c r="D24" s="2" t="s">
        <v>323</v>
      </c>
      <c r="E24" s="2">
        <v>2.9441000000000002</v>
      </c>
      <c r="F24" s="2">
        <v>1.0461</v>
      </c>
      <c r="G24" s="2">
        <v>-8.2000000000000003E-2</v>
      </c>
      <c r="H24" s="2">
        <v>0.80079999999999996</v>
      </c>
      <c r="I24" s="2">
        <v>0.58499999999999996</v>
      </c>
      <c r="J24">
        <v>35.0996394415438</v>
      </c>
      <c r="K24">
        <v>8.5647412495687298</v>
      </c>
      <c r="L24" s="2">
        <v>6.9962</v>
      </c>
      <c r="M24" s="2">
        <v>2.2063000000000001</v>
      </c>
      <c r="N24" s="2">
        <v>1.8909</v>
      </c>
      <c r="O24" s="2">
        <v>0.75949999999999995</v>
      </c>
      <c r="P24" s="2">
        <v>35.7988</v>
      </c>
      <c r="Q24" s="2">
        <v>16.8293</v>
      </c>
      <c r="R24" s="2">
        <v>242.07371401013</v>
      </c>
      <c r="S24" s="2">
        <v>-1.0316955461110699</v>
      </c>
      <c r="T24" s="2">
        <v>-4.6257082685076796</v>
      </c>
      <c r="U24" s="2">
        <v>70.755300000000005</v>
      </c>
      <c r="V24" s="2">
        <v>27.1178562601695</v>
      </c>
      <c r="W24" s="2">
        <v>0.74460379977271296</v>
      </c>
      <c r="X24" s="2">
        <v>97.239592058385512</v>
      </c>
      <c r="Y24" s="2">
        <v>7.9954413518993501</v>
      </c>
      <c r="Z24" s="4">
        <v>6.7</v>
      </c>
      <c r="AA24" s="4">
        <v>11.3</v>
      </c>
      <c r="AB24" s="2">
        <v>2</v>
      </c>
      <c r="AC24" s="2">
        <v>15.9</v>
      </c>
      <c r="AD24" s="2">
        <v>5.7000000000000028</v>
      </c>
      <c r="AE24" s="2">
        <v>0</v>
      </c>
    </row>
    <row r="25" spans="1:31" x14ac:dyDescent="0.25">
      <c r="A25" s="2" t="s">
        <v>369</v>
      </c>
      <c r="B25" s="2">
        <v>2018</v>
      </c>
      <c r="C25" s="2" t="s">
        <v>370</v>
      </c>
      <c r="D25" s="2" t="s">
        <v>323</v>
      </c>
      <c r="E25" s="2">
        <v>3.3031000000000001</v>
      </c>
      <c r="F25" s="2">
        <v>1.8939999999999999</v>
      </c>
      <c r="G25" s="2">
        <v>1.345</v>
      </c>
      <c r="H25" s="2">
        <v>0.78790000000000004</v>
      </c>
      <c r="I25" s="2">
        <v>0.51419999999999999</v>
      </c>
      <c r="J25">
        <v>32.383987024659199</v>
      </c>
      <c r="K25">
        <v>9.8985028644759812</v>
      </c>
      <c r="L25" s="2">
        <v>8.0531000000000006</v>
      </c>
      <c r="M25" s="2">
        <v>2.8330000000000002</v>
      </c>
      <c r="N25" s="2">
        <v>2.0091000000000001</v>
      </c>
      <c r="O25" s="2">
        <v>0.89890000000000003</v>
      </c>
      <c r="P25" s="2">
        <v>37.8733</v>
      </c>
      <c r="Q25" s="2">
        <v>-0.43099999999999999</v>
      </c>
      <c r="R25" s="2">
        <v>-33.154116201217697</v>
      </c>
      <c r="S25" s="2">
        <v>0.53014311374290402</v>
      </c>
      <c r="T25" s="2">
        <v>32.067253831123701</v>
      </c>
      <c r="U25" s="2">
        <v>66.313000000000002</v>
      </c>
      <c r="V25" s="2">
        <v>29.101695485805699</v>
      </c>
      <c r="W25" s="2">
        <v>0.71932153923358499</v>
      </c>
      <c r="X25" s="2">
        <v>86.203374526632899</v>
      </c>
      <c r="Y25" s="2">
        <v>7.2226835758251697</v>
      </c>
      <c r="Z25" s="4">
        <v>6.6000000000000005</v>
      </c>
      <c r="AA25" s="4">
        <v>8.1</v>
      </c>
      <c r="AB25" s="2">
        <v>2.1</v>
      </c>
      <c r="AC25" s="2">
        <v>12.5</v>
      </c>
      <c r="AD25" s="2">
        <v>6.0999999999999943</v>
      </c>
      <c r="AE25" s="2">
        <v>0</v>
      </c>
    </row>
    <row r="26" spans="1:31" x14ac:dyDescent="0.25">
      <c r="A26" s="2" t="s">
        <v>369</v>
      </c>
      <c r="B26" s="2">
        <v>2020</v>
      </c>
      <c r="C26" s="2" t="s">
        <v>370</v>
      </c>
      <c r="D26" s="2" t="s">
        <v>323</v>
      </c>
      <c r="E26" s="2">
        <v>3.1522000000000001</v>
      </c>
      <c r="F26" s="2">
        <v>1.3596999999999999</v>
      </c>
      <c r="G26" s="2">
        <v>1.2381</v>
      </c>
      <c r="H26" s="2">
        <v>0.73780000000000001</v>
      </c>
      <c r="I26" s="2">
        <v>0.42070000000000002</v>
      </c>
      <c r="J26">
        <v>17.0924064240048</v>
      </c>
      <c r="K26">
        <v>12.0657139424783</v>
      </c>
      <c r="L26" s="2">
        <v>8.6698000000000004</v>
      </c>
      <c r="M26" s="2">
        <v>3.9190999999999998</v>
      </c>
      <c r="N26" s="2">
        <v>2.0228000000000002</v>
      </c>
      <c r="O26" s="2">
        <v>0.93469999999999998</v>
      </c>
      <c r="P26" s="2">
        <v>39.972499999999997</v>
      </c>
      <c r="Q26" s="2">
        <v>-2.2191000000000001</v>
      </c>
      <c r="R26" s="2">
        <v>5.53098280205423</v>
      </c>
      <c r="S26" s="2">
        <v>-4.0543018226015199</v>
      </c>
      <c r="T26" s="2">
        <v>-0.62183408433047604</v>
      </c>
      <c r="U26" s="2">
        <v>63.4833</v>
      </c>
      <c r="V26" s="2">
        <v>31.350545950131497</v>
      </c>
      <c r="W26" s="2">
        <v>0.73370491699716101</v>
      </c>
      <c r="X26" s="2">
        <v>79.868967241692104</v>
      </c>
      <c r="Y26" s="2">
        <v>8.0009708687074301</v>
      </c>
      <c r="Z26" s="4">
        <v>2.2999999999999998</v>
      </c>
      <c r="AA26" s="4">
        <v>10.100000000000001</v>
      </c>
      <c r="AB26" s="2">
        <v>2.5</v>
      </c>
      <c r="AC26" s="2">
        <v>16.100000000000001</v>
      </c>
      <c r="AD26" s="2">
        <v>2.4000000000000057</v>
      </c>
      <c r="AE26" s="2">
        <v>0</v>
      </c>
    </row>
    <row r="27" spans="1:31" x14ac:dyDescent="0.25">
      <c r="A27" s="2" t="s">
        <v>371</v>
      </c>
      <c r="B27" s="2">
        <v>2017</v>
      </c>
      <c r="C27" s="2" t="s">
        <v>372</v>
      </c>
      <c r="D27" s="2" t="s">
        <v>373</v>
      </c>
      <c r="E27" s="2">
        <v>11.7239</v>
      </c>
      <c r="F27" s="2">
        <v>21.494700000000002</v>
      </c>
      <c r="G27" s="2">
        <v>13.1167</v>
      </c>
      <c r="H27" s="2">
        <v>0.74409999999999998</v>
      </c>
      <c r="I27" s="2">
        <v>0.55530000000000002</v>
      </c>
      <c r="J27">
        <v>26.540430613043796</v>
      </c>
      <c r="K27">
        <v>16.8627208272651</v>
      </c>
      <c r="L27" s="2">
        <v>6.7013999999999996</v>
      </c>
      <c r="M27" s="2">
        <v>2.1002000000000001</v>
      </c>
      <c r="N27" s="2">
        <v>1.7194</v>
      </c>
      <c r="O27" s="2">
        <v>0.74370000000000003</v>
      </c>
      <c r="P27" s="2">
        <v>9.3108000000000004</v>
      </c>
      <c r="Q27" s="2">
        <v>43.824800000000003</v>
      </c>
      <c r="R27" s="2">
        <v>462.91139544435299</v>
      </c>
      <c r="S27" s="2">
        <v>34.324250582248197</v>
      </c>
      <c r="T27" s="2">
        <v>23.772071680769699</v>
      </c>
      <c r="U27" s="2">
        <v>61.214100000000002</v>
      </c>
      <c r="V27" s="2">
        <v>15.426725893371602</v>
      </c>
      <c r="W27" s="2">
        <v>0.97756216216352698</v>
      </c>
      <c r="X27" s="2">
        <v>86.946729633899693</v>
      </c>
      <c r="Y27" s="2">
        <v>15.912537758292499</v>
      </c>
      <c r="Z27" s="4">
        <v>6.9</v>
      </c>
      <c r="AA27" s="4">
        <v>8.2000000000000011</v>
      </c>
      <c r="AB27" s="2">
        <v>1.6</v>
      </c>
      <c r="AC27" s="2">
        <v>16.3</v>
      </c>
      <c r="AD27" s="2">
        <v>6.2000000000000028</v>
      </c>
      <c r="AE27" s="2">
        <v>0</v>
      </c>
    </row>
    <row r="28" spans="1:31" x14ac:dyDescent="0.25">
      <c r="A28" s="2" t="s">
        <v>374</v>
      </c>
      <c r="B28" s="2">
        <v>2014</v>
      </c>
      <c r="C28" s="2" t="s">
        <v>375</v>
      </c>
      <c r="D28" s="2" t="s">
        <v>296</v>
      </c>
      <c r="E28" s="2">
        <v>15.510899999999999</v>
      </c>
      <c r="F28" s="2">
        <v>22.334099999999999</v>
      </c>
      <c r="G28" s="2">
        <v>49.408099999999997</v>
      </c>
      <c r="H28" s="2">
        <v>1.0495000000000001</v>
      </c>
      <c r="I28" s="2">
        <v>0.66300000000000003</v>
      </c>
      <c r="J28">
        <v>28.945206693540399</v>
      </c>
      <c r="K28">
        <v>17.6760123814535</v>
      </c>
      <c r="L28" s="2">
        <v>0.52290000000000003</v>
      </c>
      <c r="M28" s="2">
        <v>0.69310000000000005</v>
      </c>
      <c r="N28" s="2">
        <v>4.7485999999999997</v>
      </c>
      <c r="O28" s="2">
        <v>0.30109999999999998</v>
      </c>
      <c r="P28" s="2">
        <v>13.440899999999999</v>
      </c>
      <c r="Q28" s="2">
        <v>-7.4869000000000003</v>
      </c>
      <c r="R28" s="2">
        <v>-8.77121323565407</v>
      </c>
      <c r="S28" s="2">
        <v>15.422410284027301</v>
      </c>
      <c r="T28" s="2">
        <v>20.175842748119099</v>
      </c>
      <c r="U28" s="2">
        <v>44.685000000000002</v>
      </c>
      <c r="V28" s="2">
        <v>9.4338784942789804</v>
      </c>
      <c r="W28" s="2">
        <v>7.5725878837601099</v>
      </c>
      <c r="X28" s="2">
        <v>80.054763234407901</v>
      </c>
      <c r="Y28" s="2">
        <v>28.250271135479899</v>
      </c>
      <c r="Z28" s="4">
        <v>7.3</v>
      </c>
      <c r="AA28" s="4">
        <v>12.2</v>
      </c>
      <c r="AB28" s="2">
        <v>2</v>
      </c>
      <c r="AC28" s="2">
        <v>16.899999999999999</v>
      </c>
      <c r="AD28" s="2">
        <v>2.0999999999999943</v>
      </c>
      <c r="AE28" s="2">
        <v>0</v>
      </c>
    </row>
    <row r="29" spans="1:31" x14ac:dyDescent="0.25">
      <c r="A29" s="2" t="s">
        <v>376</v>
      </c>
      <c r="B29" s="2">
        <v>2015</v>
      </c>
      <c r="C29" s="2" t="s">
        <v>377</v>
      </c>
      <c r="D29" s="2" t="s">
        <v>295</v>
      </c>
      <c r="E29" s="2">
        <v>3.6341000000000001</v>
      </c>
      <c r="F29" s="2">
        <v>12.067</v>
      </c>
      <c r="G29" s="2">
        <v>10.2685</v>
      </c>
      <c r="H29" s="2">
        <v>1.8704000000000001</v>
      </c>
      <c r="I29" s="2">
        <v>0.439</v>
      </c>
      <c r="J29">
        <v>35.239128705974601</v>
      </c>
      <c r="K29">
        <v>-4.1057807722664403</v>
      </c>
      <c r="L29" s="2">
        <v>0.28129999999999999</v>
      </c>
      <c r="M29" s="2">
        <v>0.29930000000000001</v>
      </c>
      <c r="N29" s="2">
        <v>23.3919</v>
      </c>
      <c r="O29" s="2">
        <v>0.26569999999999999</v>
      </c>
      <c r="P29" s="2">
        <v>69.747100000000003</v>
      </c>
      <c r="Q29" s="2">
        <v>51.938899999999997</v>
      </c>
      <c r="R29" s="2">
        <v>10.900882023445201</v>
      </c>
      <c r="S29" s="2">
        <v>19.455605929648598</v>
      </c>
      <c r="T29" s="2">
        <v>-0.10450839682556599</v>
      </c>
      <c r="U29" s="2">
        <v>79.960999999999999</v>
      </c>
      <c r="V29" s="2">
        <v>32.0766711494757</v>
      </c>
      <c r="W29" s="2">
        <v>19.556111151077399</v>
      </c>
      <c r="X29" s="2">
        <v>119.153544886289</v>
      </c>
      <c r="Y29" s="2">
        <v>-13.453958369668001</v>
      </c>
      <c r="Z29" s="4">
        <v>6.9099999999999993</v>
      </c>
      <c r="AA29" s="4">
        <v>13.3</v>
      </c>
      <c r="AB29" s="2">
        <v>1.4</v>
      </c>
      <c r="AC29" s="2">
        <v>17.600000000000001</v>
      </c>
      <c r="AD29" s="2">
        <v>3.7999999999999972</v>
      </c>
      <c r="AE29" s="2">
        <v>0</v>
      </c>
    </row>
    <row r="30" spans="1:31" x14ac:dyDescent="0.25">
      <c r="A30" s="2" t="s">
        <v>376</v>
      </c>
      <c r="B30" s="2">
        <v>2017</v>
      </c>
      <c r="C30" s="2" t="s">
        <v>377</v>
      </c>
      <c r="D30" s="2" t="s">
        <v>295</v>
      </c>
      <c r="E30" s="2">
        <v>4.7736000000000001</v>
      </c>
      <c r="F30" s="2">
        <v>15.098000000000001</v>
      </c>
      <c r="G30" s="2">
        <v>17.0303</v>
      </c>
      <c r="H30" s="2">
        <v>1.3469</v>
      </c>
      <c r="I30" s="2">
        <v>0.63170000000000004</v>
      </c>
      <c r="J30">
        <v>21.236179484214802</v>
      </c>
      <c r="K30">
        <v>2.6837665123163399</v>
      </c>
      <c r="L30" s="2">
        <v>0.27489999999999998</v>
      </c>
      <c r="M30" s="2">
        <v>0.2389</v>
      </c>
      <c r="N30" s="2">
        <v>23.4633</v>
      </c>
      <c r="O30" s="2">
        <v>0.20499999999999999</v>
      </c>
      <c r="P30" s="2">
        <v>71.552599999999998</v>
      </c>
      <c r="Q30" s="2">
        <v>-17.622</v>
      </c>
      <c r="R30" s="2">
        <v>30.100610806422502</v>
      </c>
      <c r="S30" s="2">
        <v>23.621485260104102</v>
      </c>
      <c r="T30" s="2">
        <v>12.531260451187</v>
      </c>
      <c r="U30" s="2">
        <v>84.495900000000006</v>
      </c>
      <c r="V30" s="2">
        <v>20.576357290628099</v>
      </c>
      <c r="W30" s="2">
        <v>20.660593439893798</v>
      </c>
      <c r="X30" s="2">
        <v>136.65345122316299</v>
      </c>
      <c r="Y30" s="2">
        <v>12.2329571864702</v>
      </c>
      <c r="Z30" s="4">
        <v>6.9</v>
      </c>
      <c r="AA30" s="4">
        <v>8.2000000000000011</v>
      </c>
      <c r="AB30" s="2">
        <v>1.6</v>
      </c>
      <c r="AC30" s="2">
        <v>16.3</v>
      </c>
      <c r="AD30" s="2">
        <v>7</v>
      </c>
      <c r="AE30" s="2">
        <v>0</v>
      </c>
    </row>
    <row r="31" spans="1:31" x14ac:dyDescent="0.25">
      <c r="A31" s="2" t="s">
        <v>378</v>
      </c>
      <c r="B31" s="2">
        <v>2014</v>
      </c>
      <c r="C31" s="2" t="s">
        <v>379</v>
      </c>
      <c r="D31" s="2" t="s">
        <v>295</v>
      </c>
      <c r="E31" s="2">
        <v>5.9370000000000003</v>
      </c>
      <c r="F31" s="2">
        <v>12.5916</v>
      </c>
      <c r="G31" s="2">
        <v>18.6797</v>
      </c>
      <c r="H31" s="2">
        <v>2.0596000000000001</v>
      </c>
      <c r="I31" s="2">
        <v>0.53490000000000004</v>
      </c>
      <c r="J31">
        <v>24.268848355049698</v>
      </c>
      <c r="K31">
        <v>-0.52839009129197301</v>
      </c>
      <c r="L31" s="2">
        <v>0.32719999999999999</v>
      </c>
      <c r="M31" s="2">
        <v>0.34239999999999998</v>
      </c>
      <c r="N31" s="2">
        <v>8.0490999999999993</v>
      </c>
      <c r="O31" s="2">
        <v>0.26929999999999998</v>
      </c>
      <c r="P31" s="2">
        <v>21.3095</v>
      </c>
      <c r="Q31" s="2">
        <v>14.4824</v>
      </c>
      <c r="R31" s="2">
        <v>-11.5765059059267</v>
      </c>
      <c r="S31" s="2">
        <v>15.1397080656937</v>
      </c>
      <c r="T31" s="2">
        <v>8.6868286694692092</v>
      </c>
      <c r="U31" s="2">
        <v>69.398700000000005</v>
      </c>
      <c r="V31" s="2">
        <v>31.471824994392101</v>
      </c>
      <c r="W31" s="2">
        <v>9.3338810688058498</v>
      </c>
      <c r="X31" s="2">
        <v>81.454749944309896</v>
      </c>
      <c r="Y31" s="2">
        <v>-1.45753012610632</v>
      </c>
      <c r="Z31" s="4">
        <v>7.3</v>
      </c>
      <c r="AA31" s="4">
        <v>12.2</v>
      </c>
      <c r="AB31" s="2">
        <v>2</v>
      </c>
      <c r="AC31" s="2">
        <v>16.899999999999999</v>
      </c>
      <c r="AD31" s="2">
        <v>2.0999999999999943</v>
      </c>
      <c r="AE31" s="2">
        <v>0</v>
      </c>
    </row>
    <row r="32" spans="1:31" x14ac:dyDescent="0.25">
      <c r="A32" s="2" t="s">
        <v>392</v>
      </c>
      <c r="B32" s="2">
        <v>2015</v>
      </c>
      <c r="C32" s="2" t="s">
        <v>393</v>
      </c>
      <c r="D32" s="2" t="s">
        <v>295</v>
      </c>
      <c r="E32" s="2">
        <v>2.5095000000000001</v>
      </c>
      <c r="F32" s="2">
        <v>2.8283</v>
      </c>
      <c r="G32" s="2">
        <v>10.3674</v>
      </c>
      <c r="H32" s="2">
        <v>3.0383</v>
      </c>
      <c r="I32" s="2">
        <v>0.94879999999999998</v>
      </c>
      <c r="J32">
        <v>11.8370703310918</v>
      </c>
      <c r="K32">
        <v>15.317570493012699</v>
      </c>
      <c r="L32" s="2">
        <v>0.1636</v>
      </c>
      <c r="M32" s="2">
        <v>0.17899999999999999</v>
      </c>
      <c r="N32" s="2">
        <v>175.91399999999999</v>
      </c>
      <c r="O32" s="2">
        <v>0.16139999999999999</v>
      </c>
      <c r="P32" s="2">
        <v>29.6265</v>
      </c>
      <c r="Q32" s="2">
        <v>-67.127600000000001</v>
      </c>
      <c r="R32" s="2">
        <v>-66.608356373865604</v>
      </c>
      <c r="S32" s="2">
        <v>32.177151552634797</v>
      </c>
      <c r="T32" s="2">
        <v>-1.5202117829775399</v>
      </c>
      <c r="U32" s="2">
        <v>54.336500000000001</v>
      </c>
      <c r="V32" s="2">
        <v>24.346867648534001</v>
      </c>
      <c r="W32" s="2">
        <v>649.60521521599196</v>
      </c>
      <c r="X32" s="2">
        <v>191.47047607659701</v>
      </c>
      <c r="Y32" s="2">
        <v>58.730405070365002</v>
      </c>
      <c r="Z32" s="4">
        <v>6.9099999999999993</v>
      </c>
      <c r="AA32" s="4">
        <v>13.3</v>
      </c>
      <c r="AB32" s="2">
        <v>1.4</v>
      </c>
      <c r="AC32" s="2">
        <v>17.600000000000001</v>
      </c>
      <c r="AD32" s="2">
        <v>3.7999999999999972</v>
      </c>
      <c r="AE32" s="2">
        <v>0</v>
      </c>
    </row>
    <row r="33" spans="1:31" x14ac:dyDescent="0.25">
      <c r="A33" s="2" t="s">
        <v>380</v>
      </c>
      <c r="B33" s="2">
        <v>2014</v>
      </c>
      <c r="C33" s="2" t="s">
        <v>381</v>
      </c>
      <c r="D33" s="2" t="s">
        <v>295</v>
      </c>
      <c r="E33" s="2">
        <v>5.5903</v>
      </c>
      <c r="F33" s="2">
        <v>29.9679</v>
      </c>
      <c r="G33" s="2">
        <v>14.6157</v>
      </c>
      <c r="H33" s="2">
        <v>1.3825000000000001</v>
      </c>
      <c r="I33" s="2">
        <v>0.28249999999999997</v>
      </c>
      <c r="J33">
        <v>18.9931934765562</v>
      </c>
      <c r="K33">
        <v>4.4714598369941196</v>
      </c>
      <c r="L33" s="2">
        <v>0.28210000000000002</v>
      </c>
      <c r="M33" s="2">
        <v>0.3286</v>
      </c>
      <c r="N33" s="2">
        <v>3.5922000000000001</v>
      </c>
      <c r="O33" s="2">
        <v>0.2853</v>
      </c>
      <c r="P33" s="2">
        <v>12.6899</v>
      </c>
      <c r="Q33" s="2">
        <v>54.258200000000002</v>
      </c>
      <c r="R33" s="2">
        <v>48.125463462385198</v>
      </c>
      <c r="S33" s="2">
        <v>19.051786052084999</v>
      </c>
      <c r="T33" s="2">
        <v>114.61075457049</v>
      </c>
      <c r="U33" s="2">
        <v>82.405100000000004</v>
      </c>
      <c r="V33" s="2">
        <v>19.267293898731701</v>
      </c>
      <c r="W33" s="2">
        <v>2.1959860921594201</v>
      </c>
      <c r="X33" s="2">
        <v>98.933636349058901</v>
      </c>
      <c r="Y33" s="2">
        <v>14.037316564983801</v>
      </c>
      <c r="Z33" s="4">
        <v>7.3</v>
      </c>
      <c r="AA33" s="4">
        <v>12.2</v>
      </c>
      <c r="AB33" s="2">
        <v>2</v>
      </c>
      <c r="AC33" s="2">
        <v>16.899999999999999</v>
      </c>
      <c r="AD33" s="2">
        <v>2.0999999999999943</v>
      </c>
      <c r="AE33" s="2">
        <v>0</v>
      </c>
    </row>
    <row r="34" spans="1:31" x14ac:dyDescent="0.25">
      <c r="A34" s="2" t="s">
        <v>382</v>
      </c>
      <c r="B34" s="2">
        <v>2018</v>
      </c>
      <c r="C34" s="2" t="s">
        <v>383</v>
      </c>
      <c r="D34" s="2" t="s">
        <v>295</v>
      </c>
      <c r="E34" s="2">
        <v>4.0058999999999996</v>
      </c>
      <c r="F34" s="2">
        <v>36.976300000000002</v>
      </c>
      <c r="G34" s="2">
        <v>17.186699999999998</v>
      </c>
      <c r="H34" s="2">
        <v>1.4316</v>
      </c>
      <c r="I34" s="2">
        <v>0.49109999999999998</v>
      </c>
      <c r="J34">
        <v>23.708161085994199</v>
      </c>
      <c r="K34">
        <v>16.101658728768701</v>
      </c>
      <c r="L34" s="2">
        <v>0.25659999999999999</v>
      </c>
      <c r="M34" s="2">
        <v>0.26479999999999998</v>
      </c>
      <c r="N34" s="2">
        <v>156.52080000000001</v>
      </c>
      <c r="O34" s="2">
        <v>0.24529999999999999</v>
      </c>
      <c r="P34" s="2">
        <v>195.31880000000001</v>
      </c>
      <c r="Q34" s="2">
        <v>36.707000000000001</v>
      </c>
      <c r="R34" s="2">
        <v>52.433099046261503</v>
      </c>
      <c r="S34" s="2">
        <v>17.008369813251299</v>
      </c>
      <c r="T34" s="2">
        <v>-20.5210421174231</v>
      </c>
      <c r="U34" s="2">
        <v>89.484300000000005</v>
      </c>
      <c r="V34" s="2">
        <v>24.507967035166899</v>
      </c>
      <c r="W34" s="2">
        <v>73.544520307384801</v>
      </c>
      <c r="X34" s="2">
        <v>175.98608764417099</v>
      </c>
      <c r="Y34" s="2">
        <v>64.782848728841302</v>
      </c>
      <c r="Z34" s="4">
        <v>6.6000000000000005</v>
      </c>
      <c r="AA34" s="4">
        <v>8.1</v>
      </c>
      <c r="AB34" s="2">
        <v>2.1</v>
      </c>
      <c r="AC34" s="2">
        <v>12.5</v>
      </c>
      <c r="AD34" s="2">
        <v>3.5</v>
      </c>
      <c r="AE34" s="2">
        <v>0</v>
      </c>
    </row>
    <row r="35" spans="1:31" x14ac:dyDescent="0.25">
      <c r="A35" s="2" t="s">
        <v>384</v>
      </c>
      <c r="B35" s="2">
        <v>2016</v>
      </c>
      <c r="C35" s="2" t="s">
        <v>385</v>
      </c>
      <c r="D35" s="2" t="s">
        <v>295</v>
      </c>
      <c r="E35" s="2">
        <v>0.82320000000000004</v>
      </c>
      <c r="F35" s="2">
        <v>3.0059</v>
      </c>
      <c r="G35" s="2">
        <v>1.7894000000000001</v>
      </c>
      <c r="H35" s="2">
        <v>1.5768</v>
      </c>
      <c r="I35" s="2">
        <v>0.50849999999999995</v>
      </c>
      <c r="J35">
        <v>13.633856112177101</v>
      </c>
      <c r="K35">
        <v>-4.4554870895260095</v>
      </c>
      <c r="L35" s="2">
        <v>0.41299999999999998</v>
      </c>
      <c r="M35" s="2">
        <v>0.34910000000000002</v>
      </c>
      <c r="N35" s="2">
        <v>17.247199999999999</v>
      </c>
      <c r="O35" s="2">
        <v>0.32279999999999998</v>
      </c>
      <c r="P35" s="2">
        <v>5.4858000000000002</v>
      </c>
      <c r="Q35" s="2">
        <v>69.584199999999996</v>
      </c>
      <c r="R35" s="2">
        <v>-18.671014691868201</v>
      </c>
      <c r="S35" s="2">
        <v>21.729275300459399</v>
      </c>
      <c r="T35" s="2">
        <v>49.234156611292498</v>
      </c>
      <c r="U35" s="2">
        <v>86.225099999999998</v>
      </c>
      <c r="V35" s="2">
        <v>26.985865624725804</v>
      </c>
      <c r="W35" s="2">
        <v>8.6328677619307808</v>
      </c>
      <c r="X35" s="2">
        <v>109.546777772583</v>
      </c>
      <c r="Y35" s="2">
        <v>-13.066502305974101</v>
      </c>
      <c r="Z35" s="4">
        <v>6.7</v>
      </c>
      <c r="AA35" s="4">
        <v>11.3</v>
      </c>
      <c r="AB35" s="2">
        <v>2</v>
      </c>
      <c r="AC35" s="2">
        <v>15.9</v>
      </c>
      <c r="AD35" s="2">
        <v>8.7999999999999972</v>
      </c>
      <c r="AE35" s="2">
        <v>0</v>
      </c>
    </row>
    <row r="36" spans="1:31" x14ac:dyDescent="0.25">
      <c r="A36" s="2" t="s">
        <v>384</v>
      </c>
      <c r="B36" s="2">
        <v>2018</v>
      </c>
      <c r="C36" s="2" t="s">
        <v>385</v>
      </c>
      <c r="D36" s="2" t="s">
        <v>295</v>
      </c>
      <c r="E36" s="2">
        <v>1.657</v>
      </c>
      <c r="F36" s="2">
        <v>13.946199999999999</v>
      </c>
      <c r="G36" s="2">
        <v>7.8693999999999997</v>
      </c>
      <c r="H36" s="2">
        <v>1.21</v>
      </c>
      <c r="I36" s="2">
        <v>0.43909999999999999</v>
      </c>
      <c r="J36">
        <v>12.308224580960299</v>
      </c>
      <c r="K36">
        <v>8.9919106711378305</v>
      </c>
      <c r="L36" s="2">
        <v>0.26229999999999998</v>
      </c>
      <c r="M36" s="2">
        <v>0.21290000000000001</v>
      </c>
      <c r="N36" s="2">
        <v>12.7979</v>
      </c>
      <c r="O36" s="2">
        <v>0.1953</v>
      </c>
      <c r="P36" s="2">
        <v>5.0465</v>
      </c>
      <c r="Q36" s="2">
        <v>33.268099999999997</v>
      </c>
      <c r="R36" s="2">
        <v>271.60435801421198</v>
      </c>
      <c r="S36" s="2">
        <v>33.238521145647397</v>
      </c>
      <c r="T36" s="2">
        <v>12.462127056325</v>
      </c>
      <c r="U36" s="2">
        <v>91.686899999999994</v>
      </c>
      <c r="V36" s="2">
        <v>17.388527377374199</v>
      </c>
      <c r="W36" s="2">
        <v>6.3845244121013902</v>
      </c>
      <c r="X36" s="2">
        <v>224.93758274486103</v>
      </c>
      <c r="Y36" s="2">
        <v>48.445566768209503</v>
      </c>
      <c r="Z36" s="4">
        <v>6.6000000000000005</v>
      </c>
      <c r="AA36" s="4">
        <v>8.1</v>
      </c>
      <c r="AB36" s="2">
        <v>2.1</v>
      </c>
      <c r="AC36" s="2">
        <v>12.5</v>
      </c>
      <c r="AD36" s="2">
        <v>3.5</v>
      </c>
      <c r="AE36" s="2">
        <v>0</v>
      </c>
    </row>
    <row r="37" spans="1:31" x14ac:dyDescent="0.25">
      <c r="A37" s="2" t="s">
        <v>384</v>
      </c>
      <c r="B37" s="2">
        <v>2020</v>
      </c>
      <c r="C37" s="2" t="s">
        <v>385</v>
      </c>
      <c r="D37" s="2" t="s">
        <v>295</v>
      </c>
      <c r="E37" s="2">
        <v>3.3849</v>
      </c>
      <c r="F37" s="2">
        <v>28.2319</v>
      </c>
      <c r="G37" s="2">
        <v>13.5707</v>
      </c>
      <c r="H37" s="2">
        <v>1.1840999999999999</v>
      </c>
      <c r="I37" s="2">
        <v>0.45600000000000002</v>
      </c>
      <c r="J37">
        <v>14.030837825897999</v>
      </c>
      <c r="K37">
        <v>2.7236131830192201</v>
      </c>
      <c r="L37" s="2">
        <v>0.35260000000000002</v>
      </c>
      <c r="M37" s="2">
        <v>0.28470000000000001</v>
      </c>
      <c r="N37" s="2">
        <v>24.172699999999999</v>
      </c>
      <c r="O37" s="2">
        <v>0.2419</v>
      </c>
      <c r="P37" s="2">
        <v>8.3429000000000002</v>
      </c>
      <c r="Q37" s="2">
        <v>9.5673999999999992</v>
      </c>
      <c r="R37" s="2">
        <v>68.825383043531104</v>
      </c>
      <c r="S37" s="2">
        <v>23.637239206028099</v>
      </c>
      <c r="T37" s="2">
        <v>33.871741207521602</v>
      </c>
      <c r="U37" s="2">
        <v>86.537899999999993</v>
      </c>
      <c r="V37" s="2">
        <v>16.058200504497101</v>
      </c>
      <c r="W37" s="2">
        <v>14.9435923632039</v>
      </c>
      <c r="X37" s="2">
        <v>113.20529273169998</v>
      </c>
      <c r="Y37" s="2">
        <v>10.772719401438801</v>
      </c>
      <c r="Z37" s="4">
        <v>2.2999999999999998</v>
      </c>
      <c r="AA37" s="4">
        <v>10.100000000000001</v>
      </c>
      <c r="AB37" s="2">
        <v>2.5</v>
      </c>
      <c r="AC37" s="2">
        <v>16.100000000000001</v>
      </c>
      <c r="AD37" s="2">
        <v>1.2999999999999972</v>
      </c>
      <c r="AE37" s="2">
        <v>0</v>
      </c>
    </row>
    <row r="38" spans="1:31" x14ac:dyDescent="0.25">
      <c r="A38" s="2" t="s">
        <v>386</v>
      </c>
      <c r="B38" s="2">
        <v>2014</v>
      </c>
      <c r="C38" s="2" t="s">
        <v>387</v>
      </c>
      <c r="D38" s="2" t="s">
        <v>295</v>
      </c>
      <c r="E38" s="2">
        <v>6.5876999999999999</v>
      </c>
      <c r="F38" s="2">
        <v>20.757999999999999</v>
      </c>
      <c r="G38" s="2">
        <v>21.215399999999999</v>
      </c>
      <c r="H38" s="2">
        <v>1.6418999999999999</v>
      </c>
      <c r="I38" s="2">
        <v>0.49540000000000001</v>
      </c>
      <c r="J38">
        <v>29.764207732978598</v>
      </c>
      <c r="K38">
        <v>-4.0217962803545202</v>
      </c>
      <c r="L38" s="2">
        <v>0.30180000000000001</v>
      </c>
      <c r="M38" s="2">
        <v>0.33139999999999997</v>
      </c>
      <c r="N38" s="2">
        <v>17.9879</v>
      </c>
      <c r="O38" s="2">
        <v>0.28360000000000002</v>
      </c>
      <c r="P38" s="2">
        <v>451.28109999999998</v>
      </c>
      <c r="Q38" s="2">
        <v>31.695499999999999</v>
      </c>
      <c r="R38" s="2">
        <v>6.3661945184462203</v>
      </c>
      <c r="S38" s="2">
        <v>10.347668886116701</v>
      </c>
      <c r="T38" s="2">
        <v>19.544222490528</v>
      </c>
      <c r="U38" s="2">
        <v>73.018799999999999</v>
      </c>
      <c r="V38" s="2">
        <v>20.829949943817301</v>
      </c>
      <c r="W38" s="2">
        <v>19.1788564823357</v>
      </c>
      <c r="X38" s="2">
        <v>95.461490456620297</v>
      </c>
      <c r="Y38" s="2">
        <v>-10.863453734805899</v>
      </c>
      <c r="Z38" s="4">
        <v>7.3</v>
      </c>
      <c r="AA38" s="4">
        <v>12.2</v>
      </c>
      <c r="AB38" s="2">
        <v>2</v>
      </c>
      <c r="AC38" s="2">
        <v>16.899999999999999</v>
      </c>
      <c r="AD38" s="2">
        <v>2.0999999999999943</v>
      </c>
      <c r="AE38" s="2">
        <v>0</v>
      </c>
    </row>
    <row r="39" spans="1:31" x14ac:dyDescent="0.25">
      <c r="A39" s="2" t="s">
        <v>386</v>
      </c>
      <c r="B39" s="2">
        <v>2016</v>
      </c>
      <c r="C39" s="2" t="s">
        <v>387</v>
      </c>
      <c r="D39" s="2" t="s">
        <v>295</v>
      </c>
      <c r="E39" s="2">
        <v>7.5362</v>
      </c>
      <c r="F39" s="2">
        <v>18.594100000000001</v>
      </c>
      <c r="G39" s="2">
        <v>25.7</v>
      </c>
      <c r="H39" s="2">
        <v>1.7464999999999999</v>
      </c>
      <c r="I39" s="2">
        <v>0.80110000000000003</v>
      </c>
      <c r="J39">
        <v>37.75802655239</v>
      </c>
      <c r="K39">
        <v>-7.3535533963025204</v>
      </c>
      <c r="L39" s="2">
        <v>0.3533</v>
      </c>
      <c r="M39" s="2">
        <v>0.31979999999999997</v>
      </c>
      <c r="N39" s="2">
        <v>24.600200000000001</v>
      </c>
      <c r="O39" s="2">
        <v>0.27539999999999998</v>
      </c>
      <c r="P39" s="2">
        <v>392.53</v>
      </c>
      <c r="Q39" s="2">
        <v>30.403400000000001</v>
      </c>
      <c r="R39" s="2">
        <v>51.454336619286401</v>
      </c>
      <c r="S39" s="2">
        <v>18.886961846232101</v>
      </c>
      <c r="T39" s="2">
        <v>21.021485289600001</v>
      </c>
      <c r="U39" s="2">
        <v>68.960599999999999</v>
      </c>
      <c r="V39" s="2">
        <v>20.7863836780928</v>
      </c>
      <c r="W39" s="2">
        <v>29.6554612651647</v>
      </c>
      <c r="X39" s="2">
        <v>100.26740183917001</v>
      </c>
      <c r="Y39" s="2">
        <v>-20.000267068627998</v>
      </c>
      <c r="Z39" s="4">
        <v>6.7</v>
      </c>
      <c r="AA39" s="4">
        <v>11.3</v>
      </c>
      <c r="AB39" s="2">
        <v>2</v>
      </c>
      <c r="AC39" s="2">
        <v>15.9</v>
      </c>
      <c r="AD39" s="2">
        <v>8.7999999999999972</v>
      </c>
      <c r="AE39" s="2">
        <v>0</v>
      </c>
    </row>
    <row r="40" spans="1:31" x14ac:dyDescent="0.25">
      <c r="A40" s="2" t="s">
        <v>386</v>
      </c>
      <c r="B40" s="2">
        <v>2018</v>
      </c>
      <c r="C40" s="2" t="s">
        <v>387</v>
      </c>
      <c r="D40" s="2" t="s">
        <v>295</v>
      </c>
      <c r="E40" s="2">
        <v>7.5206999999999997</v>
      </c>
      <c r="F40" s="2">
        <v>21.126100000000001</v>
      </c>
      <c r="G40" s="2">
        <v>30.147200000000002</v>
      </c>
      <c r="H40" s="2">
        <v>1.5368999999999999</v>
      </c>
      <c r="I40" s="2">
        <v>0.62270000000000003</v>
      </c>
      <c r="J40">
        <v>29.216629536646</v>
      </c>
      <c r="K40">
        <v>3.3331781090484096</v>
      </c>
      <c r="L40" s="2">
        <v>0.2848</v>
      </c>
      <c r="M40" s="2">
        <v>0.27539999999999998</v>
      </c>
      <c r="N40" s="2">
        <v>28.345800000000001</v>
      </c>
      <c r="O40" s="2">
        <v>0.2336</v>
      </c>
      <c r="P40" s="2">
        <v>124.0282</v>
      </c>
      <c r="Q40" s="2">
        <v>15.428000000000001</v>
      </c>
      <c r="R40" s="2">
        <v>26.0344956626687</v>
      </c>
      <c r="S40" s="2">
        <v>24.786830103119399</v>
      </c>
      <c r="T40" s="2">
        <v>6.75294358100387</v>
      </c>
      <c r="U40" s="2">
        <v>74.277600000000007</v>
      </c>
      <c r="V40" s="2">
        <v>19.7872295891639</v>
      </c>
      <c r="W40" s="2">
        <v>32.009742730768103</v>
      </c>
      <c r="X40" s="2">
        <v>114.75239051972099</v>
      </c>
      <c r="Y40" s="2">
        <v>11.869497286265201</v>
      </c>
      <c r="Z40" s="4">
        <v>6.6000000000000005</v>
      </c>
      <c r="AA40" s="4">
        <v>8.1</v>
      </c>
      <c r="AB40" s="2">
        <v>2.1</v>
      </c>
      <c r="AC40" s="2">
        <v>12.5</v>
      </c>
      <c r="AD40" s="2">
        <v>3.5</v>
      </c>
      <c r="AE40" s="2">
        <v>0</v>
      </c>
    </row>
    <row r="41" spans="1:31" x14ac:dyDescent="0.25">
      <c r="A41" s="2" t="s">
        <v>388</v>
      </c>
      <c r="B41" s="2">
        <v>2018</v>
      </c>
      <c r="C41" s="2" t="s">
        <v>389</v>
      </c>
      <c r="D41" s="2" t="s">
        <v>295</v>
      </c>
      <c r="E41" s="2">
        <v>5.5685000000000002</v>
      </c>
      <c r="F41" s="2">
        <v>24.7636</v>
      </c>
      <c r="G41" s="2">
        <v>19.6372</v>
      </c>
      <c r="H41" s="2">
        <v>1.3741000000000001</v>
      </c>
      <c r="I41" s="2">
        <v>0.4879</v>
      </c>
      <c r="J41">
        <v>19.759441991424502</v>
      </c>
      <c r="K41">
        <v>9.1491578435883998</v>
      </c>
      <c r="L41" s="2">
        <v>0.30180000000000001</v>
      </c>
      <c r="M41" s="2">
        <v>0.28739999999999999</v>
      </c>
      <c r="N41" s="2">
        <v>17.340599999999998</v>
      </c>
      <c r="O41" s="2">
        <v>0.26869999999999999</v>
      </c>
      <c r="P41" s="2">
        <v>30.4298</v>
      </c>
      <c r="Q41" s="2">
        <v>44.997599999999998</v>
      </c>
      <c r="R41" s="2">
        <v>36.148656609663099</v>
      </c>
      <c r="S41" s="2">
        <v>18.791344575991399</v>
      </c>
      <c r="T41" s="2">
        <v>22.0796920374266</v>
      </c>
      <c r="U41" s="2">
        <v>84.035799999999995</v>
      </c>
      <c r="V41" s="2">
        <v>16.3098278005453</v>
      </c>
      <c r="W41" s="2">
        <v>8.4915534235252306</v>
      </c>
      <c r="X41" s="2">
        <v>127.41033616543301</v>
      </c>
      <c r="Y41" s="2">
        <v>31.066877529453901</v>
      </c>
      <c r="Z41" s="4">
        <v>6.6000000000000005</v>
      </c>
      <c r="AA41" s="4">
        <v>8.1</v>
      </c>
      <c r="AB41" s="2">
        <v>2.1</v>
      </c>
      <c r="AC41" s="2">
        <v>12.5</v>
      </c>
      <c r="AD41" s="2">
        <v>3.5</v>
      </c>
      <c r="AE41" s="2">
        <v>0</v>
      </c>
    </row>
    <row r="42" spans="1:31" x14ac:dyDescent="0.25">
      <c r="A42" s="2" t="s">
        <v>388</v>
      </c>
      <c r="B42" s="2">
        <v>2020</v>
      </c>
      <c r="C42" s="2" t="s">
        <v>389</v>
      </c>
      <c r="D42" s="2" t="s">
        <v>295</v>
      </c>
      <c r="E42" s="2">
        <v>4.2169999999999996</v>
      </c>
      <c r="F42" s="2">
        <v>17.1998</v>
      </c>
      <c r="G42" s="2">
        <v>15.4467</v>
      </c>
      <c r="H42" s="2">
        <v>1.4198999999999999</v>
      </c>
      <c r="I42" s="2">
        <v>0.4214</v>
      </c>
      <c r="J42">
        <v>16.826170320183301</v>
      </c>
      <c r="K42">
        <v>0.57701558936290609</v>
      </c>
      <c r="L42" s="2">
        <v>0.29620000000000002</v>
      </c>
      <c r="M42" s="2">
        <v>0.2853</v>
      </c>
      <c r="N42" s="2">
        <v>11.5251</v>
      </c>
      <c r="O42" s="2">
        <v>0.26329999999999998</v>
      </c>
      <c r="P42" s="2">
        <v>14.9117</v>
      </c>
      <c r="Q42" s="2">
        <v>0.47220000000000001</v>
      </c>
      <c r="R42" s="2">
        <v>-18.915759980959599</v>
      </c>
      <c r="S42" s="2">
        <v>13.3608992068728</v>
      </c>
      <c r="T42" s="2">
        <v>13.3338809380699</v>
      </c>
      <c r="U42" s="2">
        <v>82.065299999999993</v>
      </c>
      <c r="V42" s="2">
        <v>16.984081201680301</v>
      </c>
      <c r="W42" s="2">
        <v>7.6349157919771899</v>
      </c>
      <c r="X42" s="2">
        <v>116.36799184445701</v>
      </c>
      <c r="Y42" s="2">
        <v>1.91110798469793</v>
      </c>
      <c r="Z42" s="4">
        <v>2.2999999999999998</v>
      </c>
      <c r="AA42" s="4">
        <v>10.100000000000001</v>
      </c>
      <c r="AB42" s="2">
        <v>2.5</v>
      </c>
      <c r="AC42" s="2">
        <v>16.100000000000001</v>
      </c>
      <c r="AD42" s="2">
        <v>1.2999999999999972</v>
      </c>
      <c r="AE42" s="2">
        <v>0</v>
      </c>
    </row>
    <row r="43" spans="1:31" x14ac:dyDescent="0.25">
      <c r="A43" s="2" t="s">
        <v>390</v>
      </c>
      <c r="B43" s="2">
        <v>2014</v>
      </c>
      <c r="C43" s="2" t="s">
        <v>391</v>
      </c>
      <c r="D43" s="2" t="s">
        <v>295</v>
      </c>
      <c r="E43" s="2">
        <v>5.2614000000000001</v>
      </c>
      <c r="F43" s="2">
        <v>12.157999999999999</v>
      </c>
      <c r="G43" s="2">
        <v>13.0481</v>
      </c>
      <c r="H43" s="2">
        <v>1.44</v>
      </c>
      <c r="I43" s="2">
        <v>0.33279999999999998</v>
      </c>
      <c r="J43">
        <v>20.095905189788802</v>
      </c>
      <c r="K43">
        <v>-11.1309664989366</v>
      </c>
      <c r="L43" s="2">
        <v>0.31769999999999998</v>
      </c>
      <c r="M43" s="2">
        <v>0.33050000000000002</v>
      </c>
      <c r="N43" s="2">
        <v>110.3695</v>
      </c>
      <c r="O43" s="2">
        <v>0.3251</v>
      </c>
      <c r="P43" s="2">
        <v>979.50810000000001</v>
      </c>
      <c r="Q43" s="2">
        <v>10.199</v>
      </c>
      <c r="R43" s="2">
        <v>9.1449328059808099</v>
      </c>
      <c r="S43" s="2">
        <v>14.9855663054056</v>
      </c>
      <c r="T43" s="2">
        <v>10.4195254552038</v>
      </c>
      <c r="U43" s="2">
        <v>74.025099999999995</v>
      </c>
      <c r="V43" s="2">
        <v>5.6242919115627004</v>
      </c>
      <c r="W43" s="2">
        <v>96.579351236666795</v>
      </c>
      <c r="X43" s="2">
        <v>96.886398773135696</v>
      </c>
      <c r="Y43" s="2">
        <v>-27.114262851762199</v>
      </c>
      <c r="Z43" s="4">
        <v>7.3</v>
      </c>
      <c r="AA43" s="4">
        <v>12.2</v>
      </c>
      <c r="AB43" s="2">
        <v>2</v>
      </c>
      <c r="AC43" s="2">
        <v>16.899999999999999</v>
      </c>
      <c r="AD43" s="2">
        <v>2.0999999999999943</v>
      </c>
      <c r="AE43" s="2">
        <v>0</v>
      </c>
    </row>
    <row r="44" spans="1:31" x14ac:dyDescent="0.25">
      <c r="A44" s="2" t="s">
        <v>390</v>
      </c>
      <c r="B44" s="2">
        <v>2021</v>
      </c>
      <c r="C44" s="2" t="s">
        <v>391</v>
      </c>
      <c r="D44" s="2" t="s">
        <v>295</v>
      </c>
      <c r="E44" s="2">
        <v>5.9574999999999996</v>
      </c>
      <c r="F44" s="2">
        <v>15.2178</v>
      </c>
      <c r="G44" s="2">
        <v>14.8611</v>
      </c>
      <c r="H44" s="2">
        <v>1.6400999999999999</v>
      </c>
      <c r="I44" s="2">
        <v>0.37230000000000002</v>
      </c>
      <c r="J44">
        <v>28.001425070971596</v>
      </c>
      <c r="K44">
        <v>-16.8660402571814</v>
      </c>
      <c r="L44" s="2">
        <v>0.37190000000000001</v>
      </c>
      <c r="M44" s="2">
        <v>0.39579999999999999</v>
      </c>
      <c r="N44" s="2">
        <v>64.621899999999997</v>
      </c>
      <c r="O44" s="2">
        <v>0.36670000000000003</v>
      </c>
      <c r="P44" s="2">
        <v>148.28569999999999</v>
      </c>
      <c r="Q44" s="2">
        <v>41.543700000000001</v>
      </c>
      <c r="R44" s="2">
        <v>1.1874842070934101E-2</v>
      </c>
      <c r="S44" s="2">
        <v>20.877580915543898</v>
      </c>
      <c r="T44" s="2">
        <v>14.807991012932501</v>
      </c>
      <c r="U44" s="2">
        <v>68.480099999999993</v>
      </c>
      <c r="V44" s="2">
        <v>11.718133816185599</v>
      </c>
      <c r="W44" s="2">
        <v>66.041939162683406</v>
      </c>
      <c r="X44" s="2">
        <v>108.870845410595</v>
      </c>
      <c r="Y44" s="2">
        <v>-34.474547819431997</v>
      </c>
      <c r="Z44" s="4">
        <v>8.4</v>
      </c>
      <c r="AA44" s="4">
        <v>9</v>
      </c>
      <c r="AB44" s="2">
        <v>0.9</v>
      </c>
      <c r="AC44" s="2">
        <v>20.9</v>
      </c>
      <c r="AD44" s="2">
        <v>3.5</v>
      </c>
      <c r="AE44" s="2">
        <v>0</v>
      </c>
    </row>
    <row r="45" spans="1:31" x14ac:dyDescent="0.25">
      <c r="A45" s="2" t="s">
        <v>394</v>
      </c>
      <c r="B45" s="2">
        <v>2017</v>
      </c>
      <c r="C45" s="2" t="s">
        <v>395</v>
      </c>
      <c r="D45" s="2" t="s">
        <v>295</v>
      </c>
      <c r="E45" s="2">
        <v>5.6234999999999999</v>
      </c>
      <c r="F45" s="2">
        <v>12.642899999999999</v>
      </c>
      <c r="G45" s="2">
        <v>21.380299999999998</v>
      </c>
      <c r="H45" s="2">
        <v>1.4831000000000001</v>
      </c>
      <c r="I45" s="2">
        <v>0.80879999999999996</v>
      </c>
      <c r="J45">
        <v>26.752439030740899</v>
      </c>
      <c r="K45">
        <v>7.8157701582024606</v>
      </c>
      <c r="L45" s="2">
        <v>0.38019999999999998</v>
      </c>
      <c r="M45" s="2">
        <v>0.28349999999999997</v>
      </c>
      <c r="N45" s="2">
        <v>55.4407</v>
      </c>
      <c r="O45" s="2">
        <v>0.25090000000000001</v>
      </c>
      <c r="P45" s="2">
        <v>79.054000000000002</v>
      </c>
      <c r="Q45" s="2">
        <v>-29.8751</v>
      </c>
      <c r="R45" s="2">
        <v>17.197589176039902</v>
      </c>
      <c r="S45" s="2">
        <v>21.595592258332701</v>
      </c>
      <c r="T45" s="2">
        <v>11.599881749790001</v>
      </c>
      <c r="U45" s="2">
        <v>72.843100000000007</v>
      </c>
      <c r="V45" s="2">
        <v>13.3966751662332</v>
      </c>
      <c r="W45" s="2">
        <v>69.582896284344002</v>
      </c>
      <c r="X45" s="2">
        <v>144.592272179177</v>
      </c>
      <c r="Y45" s="2">
        <v>24.901514664569099</v>
      </c>
      <c r="Z45" s="4">
        <v>6.9</v>
      </c>
      <c r="AA45" s="4">
        <v>8.2000000000000011</v>
      </c>
      <c r="AB45" s="2">
        <v>1.6</v>
      </c>
      <c r="AC45" s="2">
        <v>16.3</v>
      </c>
      <c r="AD45" s="2">
        <v>7</v>
      </c>
      <c r="AE45" s="2">
        <v>0</v>
      </c>
    </row>
    <row r="46" spans="1:31" x14ac:dyDescent="0.25">
      <c r="A46" s="2" t="s">
        <v>396</v>
      </c>
      <c r="B46" s="2">
        <v>2015</v>
      </c>
      <c r="C46" s="2" t="s">
        <v>397</v>
      </c>
      <c r="D46" s="2" t="s">
        <v>295</v>
      </c>
      <c r="E46" s="2">
        <v>6.4085000000000001</v>
      </c>
      <c r="F46" s="2">
        <v>18.577300000000001</v>
      </c>
      <c r="G46" s="2">
        <v>18.410900000000002</v>
      </c>
      <c r="H46" s="2">
        <v>1.7341</v>
      </c>
      <c r="I46" s="2">
        <v>0.43459999999999999</v>
      </c>
      <c r="J46">
        <v>16.927463331023702</v>
      </c>
      <c r="K46">
        <v>5.7988471329849895</v>
      </c>
      <c r="L46" s="2">
        <v>0.2969</v>
      </c>
      <c r="M46" s="2">
        <v>0.33560000000000001</v>
      </c>
      <c r="N46" s="2">
        <v>43.823999999999998</v>
      </c>
      <c r="O46" s="2">
        <v>0.32079999999999997</v>
      </c>
      <c r="P46" s="2">
        <v>38.028799999999997</v>
      </c>
      <c r="Q46" s="2">
        <v>13.6485</v>
      </c>
      <c r="R46" s="2">
        <v>18.243908345968102</v>
      </c>
      <c r="S46" s="2">
        <v>10.4076367944237</v>
      </c>
      <c r="T46" s="2">
        <v>16.468162340623699</v>
      </c>
      <c r="U46" s="2">
        <v>75.945400000000006</v>
      </c>
      <c r="V46" s="2">
        <v>21.013397515847</v>
      </c>
      <c r="W46" s="2">
        <v>30.7864406796213</v>
      </c>
      <c r="X46" s="2">
        <v>115.83716677095499</v>
      </c>
      <c r="Y46" s="2">
        <v>14.408833290976601</v>
      </c>
      <c r="Z46" s="4">
        <v>6.9099999999999993</v>
      </c>
      <c r="AA46" s="4">
        <v>13.3</v>
      </c>
      <c r="AB46" s="2">
        <v>1.4</v>
      </c>
      <c r="AC46" s="2">
        <v>17.600000000000001</v>
      </c>
      <c r="AD46" s="2">
        <v>3.7999999999999972</v>
      </c>
      <c r="AE46" s="2">
        <v>0</v>
      </c>
    </row>
    <row r="47" spans="1:31" x14ac:dyDescent="0.25">
      <c r="A47" s="2" t="s">
        <v>398</v>
      </c>
      <c r="B47" s="2">
        <v>2018</v>
      </c>
      <c r="C47" s="2" t="s">
        <v>399</v>
      </c>
      <c r="D47" s="2" t="s">
        <v>295</v>
      </c>
      <c r="E47" s="2">
        <v>4.5239000000000003</v>
      </c>
      <c r="F47" s="2">
        <v>10.479100000000001</v>
      </c>
      <c r="G47" s="2">
        <v>16.089400000000001</v>
      </c>
      <c r="H47" s="2">
        <v>1.2765</v>
      </c>
      <c r="I47" s="2">
        <v>0.4017</v>
      </c>
      <c r="J47">
        <v>22.2309863951577</v>
      </c>
      <c r="K47">
        <v>18.437011767318101</v>
      </c>
      <c r="L47" s="2">
        <v>0.21010000000000001</v>
      </c>
      <c r="M47" s="2">
        <v>0.2525</v>
      </c>
      <c r="N47" s="2">
        <v>77.840400000000002</v>
      </c>
      <c r="O47" s="2">
        <v>0.22020000000000001</v>
      </c>
      <c r="P47" s="2">
        <v>366.54770000000002</v>
      </c>
      <c r="Q47" s="2">
        <v>59.203200000000002</v>
      </c>
      <c r="R47" s="2">
        <v>153.47514234324001</v>
      </c>
      <c r="S47" s="2">
        <v>36.1124652111017</v>
      </c>
      <c r="T47" s="2">
        <v>10.470062786367</v>
      </c>
      <c r="U47" s="2">
        <v>80.715900000000005</v>
      </c>
      <c r="V47" s="2">
        <v>11.766844085811599</v>
      </c>
      <c r="W47" s="2">
        <v>77.363787049259798</v>
      </c>
      <c r="X47" s="2">
        <v>206.46593679065299</v>
      </c>
      <c r="Y47" s="2">
        <v>77.9209993090018</v>
      </c>
      <c r="Z47" s="4">
        <v>6.6000000000000005</v>
      </c>
      <c r="AA47" s="4">
        <v>8.1</v>
      </c>
      <c r="AB47" s="2">
        <v>2.1</v>
      </c>
      <c r="AC47" s="2">
        <v>12.5</v>
      </c>
      <c r="AD47" s="2">
        <v>3.5</v>
      </c>
      <c r="AE47" s="2">
        <v>0</v>
      </c>
    </row>
    <row r="48" spans="1:31" x14ac:dyDescent="0.25">
      <c r="A48" s="2" t="s">
        <v>402</v>
      </c>
      <c r="B48" s="2">
        <v>2021</v>
      </c>
      <c r="C48" s="2" t="s">
        <v>403</v>
      </c>
      <c r="D48" s="2" t="s">
        <v>295</v>
      </c>
      <c r="E48" s="2">
        <v>2.9155000000000002</v>
      </c>
      <c r="F48" s="2">
        <v>2.9782000000000002</v>
      </c>
      <c r="G48" s="2">
        <v>6.4501999999999997</v>
      </c>
      <c r="H48" s="2">
        <v>1.2659</v>
      </c>
      <c r="I48" s="2">
        <v>0.39279999999999998</v>
      </c>
      <c r="J48">
        <v>19.6212283195837</v>
      </c>
      <c r="K48">
        <v>2.2275336700489099</v>
      </c>
      <c r="L48" s="2">
        <v>0.2339</v>
      </c>
      <c r="M48" s="2">
        <v>0.26240000000000002</v>
      </c>
      <c r="N48" s="2">
        <v>7.8822999999999999</v>
      </c>
      <c r="O48" s="2">
        <v>0.2064</v>
      </c>
      <c r="P48" s="2">
        <v>216.886</v>
      </c>
      <c r="Q48" s="2">
        <v>16.134699999999999</v>
      </c>
      <c r="R48" s="2">
        <v>-76.139461526598893</v>
      </c>
      <c r="S48" s="2">
        <v>15.678929609926399</v>
      </c>
      <c r="T48" s="2">
        <v>37.046773590943403</v>
      </c>
      <c r="U48" s="2">
        <v>74.345399999999998</v>
      </c>
      <c r="V48" s="2">
        <v>13.0587136116033</v>
      </c>
      <c r="W48" s="2">
        <v>11.1433730380333</v>
      </c>
      <c r="X48" s="2">
        <v>106.378116382763</v>
      </c>
      <c r="Y48" s="2">
        <v>8.6054769985676103</v>
      </c>
      <c r="Z48" s="4">
        <v>8.4</v>
      </c>
      <c r="AA48" s="4">
        <v>9</v>
      </c>
      <c r="AB48" s="2">
        <v>0.9</v>
      </c>
      <c r="AC48" s="2">
        <v>20.9</v>
      </c>
      <c r="AD48" s="2">
        <v>3.5</v>
      </c>
      <c r="AE48" s="2">
        <v>0</v>
      </c>
    </row>
    <row r="49" spans="1:31" x14ac:dyDescent="0.25">
      <c r="A49" s="2" t="s">
        <v>406</v>
      </c>
      <c r="B49" s="2">
        <v>2015</v>
      </c>
      <c r="C49" s="2" t="s">
        <v>407</v>
      </c>
      <c r="D49" s="2" t="s">
        <v>310</v>
      </c>
      <c r="E49" s="2">
        <v>9.9718</v>
      </c>
      <c r="F49" s="2">
        <v>14.7163</v>
      </c>
      <c r="G49" s="2">
        <v>15.6434</v>
      </c>
      <c r="H49" s="2">
        <v>0.83609999999999995</v>
      </c>
      <c r="I49" s="2">
        <v>0.77559999999999996</v>
      </c>
      <c r="J49">
        <v>35.8032971602358</v>
      </c>
      <c r="K49">
        <v>1.9128433612879001</v>
      </c>
      <c r="L49" s="2">
        <v>11.829499999999999</v>
      </c>
      <c r="M49" s="2">
        <v>1.147</v>
      </c>
      <c r="N49" s="2">
        <v>7.5094000000000003</v>
      </c>
      <c r="O49" s="2">
        <v>0.48060000000000003</v>
      </c>
      <c r="P49" s="2">
        <v>2.3268</v>
      </c>
      <c r="Q49" s="2">
        <v>37.590899999999998</v>
      </c>
      <c r="R49" s="2">
        <v>4.17894034584483</v>
      </c>
      <c r="S49" s="2">
        <v>62.7360922430938</v>
      </c>
      <c r="T49" s="2">
        <v>16.208780101821599</v>
      </c>
      <c r="U49" s="2">
        <v>60.246699999999997</v>
      </c>
      <c r="V49" s="2">
        <v>14.4375928669771</v>
      </c>
      <c r="W49" s="2">
        <v>6.3274743313219401</v>
      </c>
      <c r="X49" s="2">
        <v>56.2693337276948</v>
      </c>
      <c r="Y49" s="2">
        <v>2.9706529927347298</v>
      </c>
      <c r="Z49" s="4">
        <v>6.9099999999999993</v>
      </c>
      <c r="AA49" s="4">
        <v>13.3</v>
      </c>
      <c r="AB49" s="2">
        <v>1.4</v>
      </c>
      <c r="AC49" s="2">
        <v>17.600000000000001</v>
      </c>
      <c r="AD49" s="2">
        <v>9.7000000000000028</v>
      </c>
      <c r="AE49" s="2">
        <v>0</v>
      </c>
    </row>
    <row r="50" spans="1:31" x14ac:dyDescent="0.25">
      <c r="A50" s="2" t="s">
        <v>408</v>
      </c>
      <c r="B50" s="2">
        <v>2014</v>
      </c>
      <c r="C50" s="2" t="s">
        <v>409</v>
      </c>
      <c r="D50" s="2" t="s">
        <v>310</v>
      </c>
      <c r="E50" s="2">
        <v>8.2007999999999992</v>
      </c>
      <c r="F50" s="2">
        <v>8.6471</v>
      </c>
      <c r="G50" s="2">
        <v>2.0518000000000001</v>
      </c>
      <c r="H50" s="2">
        <v>0.41549999999999998</v>
      </c>
      <c r="I50" s="2">
        <v>0.1933</v>
      </c>
      <c r="J50">
        <v>5.2544530995450796</v>
      </c>
      <c r="K50">
        <v>41.423052024400597</v>
      </c>
      <c r="L50" s="2">
        <v>7.8404999999999996</v>
      </c>
      <c r="M50" s="2">
        <v>4.5138999999999996</v>
      </c>
      <c r="N50" s="2">
        <v>1.1847000000000001</v>
      </c>
      <c r="O50" s="2">
        <v>0.78610000000000002</v>
      </c>
      <c r="P50" s="2">
        <v>47.516300000000001</v>
      </c>
      <c r="Q50" s="2">
        <v>-1.6314</v>
      </c>
      <c r="R50" s="2">
        <v>71.584701868206494</v>
      </c>
      <c r="S50" s="2">
        <v>-7.1813971128327001</v>
      </c>
      <c r="T50" s="2">
        <v>25.9995712678943</v>
      </c>
      <c r="U50" s="2">
        <v>43.578299999999999</v>
      </c>
      <c r="V50" s="2">
        <v>8.1659479365522607</v>
      </c>
      <c r="W50" s="2">
        <v>0.84843972509702603</v>
      </c>
      <c r="X50" s="2">
        <v>96.967001279776298</v>
      </c>
      <c r="Y50" s="2">
        <v>22.106877947035901</v>
      </c>
      <c r="Z50" s="4">
        <v>7.3</v>
      </c>
      <c r="AA50" s="4">
        <v>12.2</v>
      </c>
      <c r="AB50" s="2">
        <v>2</v>
      </c>
      <c r="AC50" s="2">
        <v>16.899999999999999</v>
      </c>
      <c r="AD50" s="2">
        <v>6.7000000000000028</v>
      </c>
      <c r="AE50" s="2">
        <v>0</v>
      </c>
    </row>
    <row r="51" spans="1:31" x14ac:dyDescent="0.25">
      <c r="A51" s="2" t="s">
        <v>408</v>
      </c>
      <c r="B51" s="2">
        <v>2016</v>
      </c>
      <c r="C51" s="2" t="s">
        <v>409</v>
      </c>
      <c r="D51" s="2" t="s">
        <v>310</v>
      </c>
      <c r="E51" s="2">
        <v>3.1457000000000002</v>
      </c>
      <c r="F51" s="2">
        <v>1.9329000000000001</v>
      </c>
      <c r="G51" s="2">
        <v>2.0817000000000001</v>
      </c>
      <c r="H51" s="2">
        <v>0.4335</v>
      </c>
      <c r="I51" s="2">
        <v>0.26919999999999999</v>
      </c>
      <c r="J51">
        <v>12.337535010585301</v>
      </c>
      <c r="K51">
        <v>12.8040597996015</v>
      </c>
      <c r="L51" s="2">
        <v>7.3137999999999996</v>
      </c>
      <c r="M51" s="2">
        <v>2.9683999999999999</v>
      </c>
      <c r="N51" s="2">
        <v>0.96199999999999997</v>
      </c>
      <c r="O51" s="2">
        <v>0.51219999999999999</v>
      </c>
      <c r="P51" s="2">
        <v>37.194899999999997</v>
      </c>
      <c r="Q51" s="2">
        <v>-3.0286</v>
      </c>
      <c r="R51" s="2">
        <v>-10.814910352346001</v>
      </c>
      <c r="S51" s="2">
        <v>6.3636478223357003</v>
      </c>
      <c r="T51" s="2">
        <v>1.7567673630798599</v>
      </c>
      <c r="U51" s="2">
        <v>54.119199999999999</v>
      </c>
      <c r="V51" s="2">
        <v>24.224763144061299</v>
      </c>
      <c r="W51" s="2">
        <v>0.87901317851606697</v>
      </c>
      <c r="X51" s="2">
        <v>94.350422978568304</v>
      </c>
      <c r="Y51" s="2">
        <v>13.945924787201101</v>
      </c>
      <c r="Z51" s="4">
        <v>6.7</v>
      </c>
      <c r="AA51" s="4">
        <v>11.3</v>
      </c>
      <c r="AB51" s="2">
        <v>2</v>
      </c>
      <c r="AC51" s="2">
        <v>15.9</v>
      </c>
      <c r="AD51" s="2">
        <v>9.7999999999999972</v>
      </c>
      <c r="AE51" s="2">
        <v>0</v>
      </c>
    </row>
    <row r="52" spans="1:31" x14ac:dyDescent="0.25">
      <c r="A52" s="2" t="s">
        <v>408</v>
      </c>
      <c r="B52" s="2">
        <v>2021</v>
      </c>
      <c r="C52" s="2" t="s">
        <v>409</v>
      </c>
      <c r="D52" s="2" t="s">
        <v>310</v>
      </c>
      <c r="E52" s="2">
        <v>9.0988000000000007</v>
      </c>
      <c r="F52" s="2">
        <v>18.692</v>
      </c>
      <c r="G52" s="2">
        <v>23.559899999999999</v>
      </c>
      <c r="H52" s="2">
        <v>0.81210000000000004</v>
      </c>
      <c r="I52" s="2">
        <v>0.80500000000000005</v>
      </c>
      <c r="J52">
        <v>25.134487029584403</v>
      </c>
      <c r="K52">
        <v>8.2655263706701394</v>
      </c>
      <c r="L52" s="2">
        <v>51.779000000000003</v>
      </c>
      <c r="M52" s="2">
        <v>1.6611</v>
      </c>
      <c r="N52" s="2">
        <v>1.0012000000000001</v>
      </c>
      <c r="O52" s="2">
        <v>0.32140000000000002</v>
      </c>
      <c r="P52" s="2">
        <v>10.0786</v>
      </c>
      <c r="Q52" s="2">
        <v>65.558999999999997</v>
      </c>
      <c r="R52" s="2">
        <v>57.709674430584798</v>
      </c>
      <c r="S52" s="2">
        <v>61.204962198733199</v>
      </c>
      <c r="T52" s="2">
        <v>18.236566897471899</v>
      </c>
      <c r="U52" s="2">
        <v>70.816699999999997</v>
      </c>
      <c r="V52" s="2">
        <v>47.524441084425703</v>
      </c>
      <c r="W52" s="2">
        <v>1.1629835945089799</v>
      </c>
      <c r="X52" s="2">
        <v>51.718245239938199</v>
      </c>
      <c r="Y52" s="2">
        <v>22.604994547136702</v>
      </c>
      <c r="Z52" s="4">
        <v>8.4</v>
      </c>
      <c r="AA52" s="4">
        <v>9</v>
      </c>
      <c r="AB52" s="2">
        <v>0.9</v>
      </c>
      <c r="AC52" s="2">
        <v>20.9</v>
      </c>
      <c r="AD52" s="2">
        <v>9.0999999999999943</v>
      </c>
      <c r="AE52" s="2">
        <v>0</v>
      </c>
    </row>
    <row r="53" spans="1:31" x14ac:dyDescent="0.25">
      <c r="A53" s="2" t="s">
        <v>410</v>
      </c>
      <c r="B53" s="2">
        <v>2015</v>
      </c>
      <c r="C53" s="2" t="s">
        <v>411</v>
      </c>
      <c r="D53" s="2" t="s">
        <v>310</v>
      </c>
      <c r="E53" s="2">
        <v>5.9156000000000004</v>
      </c>
      <c r="F53" s="2">
        <v>10.074199999999999</v>
      </c>
      <c r="G53" s="2">
        <v>12.899800000000001</v>
      </c>
      <c r="H53" s="2">
        <v>1.4899</v>
      </c>
      <c r="I53" s="2">
        <v>0.76319999999999999</v>
      </c>
      <c r="J53">
        <v>31.257525525788299</v>
      </c>
      <c r="K53">
        <v>3.25589382553758</v>
      </c>
      <c r="L53" s="2">
        <v>0.57879999999999998</v>
      </c>
      <c r="M53" s="2">
        <v>0.40110000000000001</v>
      </c>
      <c r="N53" s="2">
        <v>12.022399999999999</v>
      </c>
      <c r="O53" s="2">
        <v>0.3498</v>
      </c>
      <c r="P53" s="2">
        <v>1.5032000000000001</v>
      </c>
      <c r="Q53" s="2">
        <v>14.891</v>
      </c>
      <c r="R53" s="2">
        <v>-6.6899024964526701</v>
      </c>
      <c r="S53" s="2">
        <v>35.433187937310997</v>
      </c>
      <c r="T53" s="2">
        <v>9.6530049800599702</v>
      </c>
      <c r="U53" s="2">
        <v>63.829900000000002</v>
      </c>
      <c r="V53" s="2">
        <v>9.0875345934753611</v>
      </c>
      <c r="W53" s="2">
        <v>7.5144685941022704</v>
      </c>
      <c r="X53" s="2">
        <v>80.352993896591101</v>
      </c>
      <c r="Y53" s="2">
        <v>6.8347629669367809</v>
      </c>
      <c r="Z53" s="4">
        <v>6.9099999999999993</v>
      </c>
      <c r="AA53" s="4">
        <v>13.3</v>
      </c>
      <c r="AB53" s="2">
        <v>1.4</v>
      </c>
      <c r="AC53" s="2">
        <v>17.600000000000001</v>
      </c>
      <c r="AD53" s="2">
        <v>9.7000000000000028</v>
      </c>
      <c r="AE53" s="2">
        <v>0</v>
      </c>
    </row>
    <row r="54" spans="1:31" x14ac:dyDescent="0.25">
      <c r="A54" s="2" t="s">
        <v>414</v>
      </c>
      <c r="B54" s="2">
        <v>2014</v>
      </c>
      <c r="C54" s="2" t="s">
        <v>415</v>
      </c>
      <c r="D54" s="2" t="s">
        <v>310</v>
      </c>
      <c r="E54" s="2">
        <v>8.2614999999999998</v>
      </c>
      <c r="F54" s="2">
        <v>10.7432</v>
      </c>
      <c r="G54" s="2">
        <v>14.8101</v>
      </c>
      <c r="H54" s="2">
        <v>1.7011000000000001</v>
      </c>
      <c r="I54" s="2">
        <v>1.4731000000000001</v>
      </c>
      <c r="J54">
        <v>84.157742015742599</v>
      </c>
      <c r="K54">
        <v>7.7105508156094293</v>
      </c>
      <c r="L54" s="2">
        <v>5.0744999999999996</v>
      </c>
      <c r="M54" s="2">
        <v>1.0588</v>
      </c>
      <c r="N54" s="2">
        <v>2.972</v>
      </c>
      <c r="O54" s="2">
        <v>0.49619999999999997</v>
      </c>
      <c r="P54" s="2">
        <v>6.2899000000000003</v>
      </c>
      <c r="Q54" s="2">
        <v>29.5136</v>
      </c>
      <c r="R54" s="2">
        <v>15.9372854235269</v>
      </c>
      <c r="S54" s="2">
        <v>52.579506221895002</v>
      </c>
      <c r="T54" s="2">
        <v>8.9469844331121795</v>
      </c>
      <c r="U54" s="2">
        <v>43.063000000000002</v>
      </c>
      <c r="V54" s="2">
        <v>16.637876950277199</v>
      </c>
      <c r="W54" s="2">
        <v>3.5930948514430399</v>
      </c>
      <c r="X54" s="2">
        <v>97.639073313039106</v>
      </c>
      <c r="Y54" s="2">
        <v>8.0848094412562492</v>
      </c>
      <c r="Z54" s="4">
        <v>7.3</v>
      </c>
      <c r="AA54" s="4">
        <v>12.2</v>
      </c>
      <c r="AB54" s="2">
        <v>2</v>
      </c>
      <c r="AC54" s="2">
        <v>16.899999999999999</v>
      </c>
      <c r="AD54" s="2">
        <v>6.7000000000000028</v>
      </c>
      <c r="AE54" s="2">
        <v>0</v>
      </c>
    </row>
    <row r="55" spans="1:31" x14ac:dyDescent="0.25">
      <c r="A55" s="2" t="s">
        <v>416</v>
      </c>
      <c r="B55" s="2">
        <v>2019</v>
      </c>
      <c r="C55" s="2" t="s">
        <v>417</v>
      </c>
      <c r="D55" s="2" t="s">
        <v>310</v>
      </c>
      <c r="E55" s="2">
        <v>7.1151999999999997</v>
      </c>
      <c r="F55" s="2">
        <v>14.728199999999999</v>
      </c>
      <c r="G55" s="2">
        <v>17.305299999999999</v>
      </c>
      <c r="H55" s="2">
        <v>0.48770000000000002</v>
      </c>
      <c r="I55" s="2">
        <v>0.43469999999999998</v>
      </c>
      <c r="J55">
        <v>14.829010217670399</v>
      </c>
      <c r="K55">
        <v>9.5005752568966901</v>
      </c>
      <c r="L55" s="2">
        <v>16.592500000000001</v>
      </c>
      <c r="M55" s="2">
        <v>2.1808999999999998</v>
      </c>
      <c r="N55" s="2">
        <v>1.5513999999999999</v>
      </c>
      <c r="O55" s="2">
        <v>0.32800000000000001</v>
      </c>
      <c r="P55" s="2">
        <v>9.3239999999999998</v>
      </c>
      <c r="Q55" s="2">
        <v>27.171500000000002</v>
      </c>
      <c r="R55" s="2">
        <v>3.0787283484104302</v>
      </c>
      <c r="S55" s="2">
        <v>27.538569459471599</v>
      </c>
      <c r="T55" s="2">
        <v>11.859156633213599</v>
      </c>
      <c r="U55" s="2">
        <v>66.156400000000005</v>
      </c>
      <c r="V55" s="2">
        <v>34.378741331119301</v>
      </c>
      <c r="W55" s="2">
        <v>1.55398177052338</v>
      </c>
      <c r="X55" s="2">
        <v>87.922853678294899</v>
      </c>
      <c r="Y55" s="2">
        <v>21.499184829649902</v>
      </c>
      <c r="Z55" s="4">
        <v>6</v>
      </c>
      <c r="AA55" s="4">
        <v>8.6999999999999993</v>
      </c>
      <c r="AB55" s="2">
        <v>2.9</v>
      </c>
      <c r="AC55" s="2">
        <v>15.6</v>
      </c>
      <c r="AD55" s="2">
        <v>4.7999999999999972</v>
      </c>
      <c r="AE55" s="2">
        <v>0</v>
      </c>
    </row>
    <row r="56" spans="1:31" x14ac:dyDescent="0.25">
      <c r="A56" s="2" t="s">
        <v>416</v>
      </c>
      <c r="B56" s="2">
        <v>2021</v>
      </c>
      <c r="C56" s="2" t="s">
        <v>417</v>
      </c>
      <c r="D56" s="2" t="s">
        <v>310</v>
      </c>
      <c r="E56" s="2">
        <v>7.0063000000000004</v>
      </c>
      <c r="F56" s="2">
        <v>13.3247</v>
      </c>
      <c r="G56" s="2">
        <v>11.9793</v>
      </c>
      <c r="H56" s="2">
        <v>0.63849999999999996</v>
      </c>
      <c r="I56" s="2">
        <v>0.60289999999999999</v>
      </c>
      <c r="J56">
        <v>17.2231138903954</v>
      </c>
      <c r="K56">
        <v>4.6859999126928802</v>
      </c>
      <c r="L56" s="2">
        <v>12.2064</v>
      </c>
      <c r="M56" s="2">
        <v>2.7528000000000001</v>
      </c>
      <c r="N56" s="2">
        <v>2.1526999999999998</v>
      </c>
      <c r="O56" s="2">
        <v>0.4345</v>
      </c>
      <c r="P56" s="2">
        <v>8.5388999999999999</v>
      </c>
      <c r="Q56" s="2">
        <v>57.426099999999998</v>
      </c>
      <c r="R56" s="2">
        <v>12.1399540821422</v>
      </c>
      <c r="S56" s="2">
        <v>17.447893713104701</v>
      </c>
      <c r="T56" s="2">
        <v>31.056890433030201</v>
      </c>
      <c r="U56" s="2">
        <v>64.015600000000006</v>
      </c>
      <c r="V56" s="2">
        <v>38.097362841509799</v>
      </c>
      <c r="W56" s="2">
        <v>1.97109193117716</v>
      </c>
      <c r="X56" s="2">
        <v>75.3094014579125</v>
      </c>
      <c r="Y56" s="2">
        <v>7.4579562737359799</v>
      </c>
      <c r="Z56" s="4">
        <v>8.4</v>
      </c>
      <c r="AA56" s="4">
        <v>9</v>
      </c>
      <c r="AB56" s="2">
        <v>0.9</v>
      </c>
      <c r="AC56" s="2">
        <v>20.9</v>
      </c>
      <c r="AD56" s="2">
        <v>9.0999999999999943</v>
      </c>
      <c r="AE56" s="2">
        <v>0</v>
      </c>
    </row>
    <row r="57" spans="1:31" x14ac:dyDescent="0.25">
      <c r="A57" s="2" t="s">
        <v>418</v>
      </c>
      <c r="B57" s="2">
        <v>2019</v>
      </c>
      <c r="C57" s="2" t="s">
        <v>419</v>
      </c>
      <c r="D57" s="2" t="s">
        <v>331</v>
      </c>
      <c r="E57" s="2">
        <v>8.4018999999999995</v>
      </c>
      <c r="F57" s="2">
        <v>12.6212</v>
      </c>
      <c r="G57" s="2">
        <v>19.941400000000002</v>
      </c>
      <c r="H57" s="2">
        <v>2.3182999999999998</v>
      </c>
      <c r="I57" s="2">
        <v>1.9819</v>
      </c>
      <c r="J57">
        <v>56.571525103944396</v>
      </c>
      <c r="K57">
        <v>15.6555936982492</v>
      </c>
      <c r="L57" s="2">
        <v>1.8286</v>
      </c>
      <c r="M57" s="2">
        <v>0.49619999999999997</v>
      </c>
      <c r="N57" s="2">
        <v>4.4165000000000001</v>
      </c>
      <c r="O57" s="2">
        <v>0.38529999999999998</v>
      </c>
      <c r="P57" s="2">
        <v>0.96340000000000003</v>
      </c>
      <c r="Q57" s="2">
        <v>38.928600000000003</v>
      </c>
      <c r="R57" s="2">
        <v>-9.59650808397293</v>
      </c>
      <c r="S57" s="2">
        <v>1.84221675966096</v>
      </c>
      <c r="T57" s="2">
        <v>4.9605910999836498</v>
      </c>
      <c r="U57" s="2">
        <v>45.1374</v>
      </c>
      <c r="V57" s="2">
        <v>12.274198886664699</v>
      </c>
      <c r="W57" s="2">
        <v>6.12197791889625</v>
      </c>
      <c r="X57" s="2">
        <v>78.675539768001698</v>
      </c>
      <c r="Y57" s="2">
        <v>18.505376200748501</v>
      </c>
      <c r="Z57" s="4">
        <v>6</v>
      </c>
      <c r="AA57" s="4">
        <v>8.6999999999999993</v>
      </c>
      <c r="AB57" s="2">
        <v>2.9</v>
      </c>
      <c r="AC57" s="2">
        <v>15.6</v>
      </c>
      <c r="AD57" s="2">
        <v>4.7999999999999972</v>
      </c>
      <c r="AE57" s="2">
        <v>0</v>
      </c>
    </row>
    <row r="58" spans="1:31" x14ac:dyDescent="0.25">
      <c r="A58" s="2" t="s">
        <v>418</v>
      </c>
      <c r="B58" s="2">
        <v>2021</v>
      </c>
      <c r="C58" s="2" t="s">
        <v>419</v>
      </c>
      <c r="D58" s="2" t="s">
        <v>331</v>
      </c>
      <c r="E58" s="2">
        <v>7.4047999999999998</v>
      </c>
      <c r="F58" s="2">
        <v>12.454599999999999</v>
      </c>
      <c r="G58" s="2">
        <v>18.257100000000001</v>
      </c>
      <c r="H58" s="2">
        <v>2.1577000000000002</v>
      </c>
      <c r="I58" s="2">
        <v>1.8755999999999999</v>
      </c>
      <c r="J58">
        <v>58.717031751538798</v>
      </c>
      <c r="K58">
        <v>2.2004625517540899</v>
      </c>
      <c r="L58" s="2">
        <v>0.94589999999999996</v>
      </c>
      <c r="M58" s="2">
        <v>0.48780000000000001</v>
      </c>
      <c r="N58" s="2">
        <v>4.1847000000000003</v>
      </c>
      <c r="O58" s="2">
        <v>0.37659999999999999</v>
      </c>
      <c r="P58" s="2">
        <v>1.3973</v>
      </c>
      <c r="Q58" s="2">
        <v>8.8110999999999997</v>
      </c>
      <c r="R58" s="2">
        <v>3.6787808996735198</v>
      </c>
      <c r="S58" s="2">
        <v>13.549061161544101</v>
      </c>
      <c r="T58" s="2">
        <v>14.3412984722281</v>
      </c>
      <c r="U58" s="2">
        <v>51.058</v>
      </c>
      <c r="V58" s="2">
        <v>15.789461565444499</v>
      </c>
      <c r="W58" s="2">
        <v>4.8727783808377696</v>
      </c>
      <c r="X58" s="2">
        <v>88.346931026181693</v>
      </c>
      <c r="Y58" s="2">
        <v>3.1729145728601202</v>
      </c>
      <c r="Z58" s="4">
        <v>8.4</v>
      </c>
      <c r="AA58" s="4">
        <v>9</v>
      </c>
      <c r="AB58" s="2">
        <v>0.9</v>
      </c>
      <c r="AC58" s="2">
        <v>20.9</v>
      </c>
      <c r="AD58" s="2">
        <v>9.0999999999999943</v>
      </c>
      <c r="AE58" s="2">
        <v>0</v>
      </c>
    </row>
    <row r="59" spans="1:31" x14ac:dyDescent="0.25">
      <c r="A59" s="2" t="s">
        <v>420</v>
      </c>
      <c r="B59" s="2">
        <v>2015</v>
      </c>
      <c r="C59" s="2" t="s">
        <v>421</v>
      </c>
      <c r="D59" s="2" t="s">
        <v>314</v>
      </c>
      <c r="E59" s="2">
        <v>4.4027000000000003</v>
      </c>
      <c r="F59" s="2">
        <v>10.3355</v>
      </c>
      <c r="G59" s="2">
        <v>2.3540999999999999</v>
      </c>
      <c r="H59" s="2">
        <v>0.22</v>
      </c>
      <c r="I59" s="2">
        <v>0.19550000000000001</v>
      </c>
      <c r="J59">
        <v>8.306884765625</v>
      </c>
      <c r="K59">
        <v>18.812967799995601</v>
      </c>
      <c r="L59" s="2">
        <v>55.942500000000003</v>
      </c>
      <c r="M59" s="2">
        <v>5.2755000000000001</v>
      </c>
      <c r="N59" s="2">
        <v>0.80640000000000001</v>
      </c>
      <c r="O59" s="2">
        <v>0.59299999999999997</v>
      </c>
      <c r="P59" s="2">
        <v>42.086799999999997</v>
      </c>
      <c r="Q59" s="2">
        <v>2.6560000000000001</v>
      </c>
      <c r="R59" s="2">
        <v>106.203473945409</v>
      </c>
      <c r="S59" s="2">
        <v>-1.8171083359251901</v>
      </c>
      <c r="T59" s="2">
        <v>9.5966698543061302</v>
      </c>
      <c r="U59" s="2">
        <v>73.383600000000001</v>
      </c>
      <c r="V59" s="2">
        <v>38.250111565737797</v>
      </c>
      <c r="W59" s="2">
        <v>0.34835104665365701</v>
      </c>
      <c r="X59" s="2">
        <v>109.42790242852101</v>
      </c>
      <c r="Y59" s="2">
        <v>21.292400441386199</v>
      </c>
      <c r="Z59" s="4">
        <v>6.9099999999999993</v>
      </c>
      <c r="AA59" s="4">
        <v>13.3</v>
      </c>
      <c r="AB59" s="2">
        <v>1.4</v>
      </c>
      <c r="AC59" s="2">
        <v>17.600000000000001</v>
      </c>
      <c r="AD59" s="2">
        <v>4.4000000000000057</v>
      </c>
      <c r="AE59" s="2">
        <v>0</v>
      </c>
    </row>
    <row r="60" spans="1:31" x14ac:dyDescent="0.25">
      <c r="A60" s="2" t="s">
        <v>422</v>
      </c>
      <c r="B60" s="2">
        <v>2015</v>
      </c>
      <c r="C60" s="2" t="s">
        <v>423</v>
      </c>
      <c r="D60" s="2" t="s">
        <v>314</v>
      </c>
      <c r="E60" s="2">
        <v>4.3390000000000004</v>
      </c>
      <c r="F60" s="2">
        <v>14.4542</v>
      </c>
      <c r="G60" s="2">
        <v>0.23230000000000001</v>
      </c>
      <c r="H60" s="2">
        <v>0.31030000000000002</v>
      </c>
      <c r="I60" s="2">
        <v>0.28260000000000002</v>
      </c>
      <c r="J60">
        <v>12.2539793503979</v>
      </c>
      <c r="K60">
        <v>15.389920155892101</v>
      </c>
      <c r="L60" s="2">
        <v>35.757100000000001</v>
      </c>
      <c r="M60" s="2">
        <v>4.5422000000000002</v>
      </c>
      <c r="N60" s="2">
        <v>0.7863</v>
      </c>
      <c r="O60" s="2">
        <v>0.52239999999999998</v>
      </c>
      <c r="P60" s="2">
        <v>27.892399999999999</v>
      </c>
      <c r="Q60" s="2">
        <v>4.1958000000000002</v>
      </c>
      <c r="R60" s="2">
        <v>42.289258528333797</v>
      </c>
      <c r="S60" s="2">
        <v>19.668953540986401</v>
      </c>
      <c r="T60" s="2">
        <v>26.866695551704201</v>
      </c>
      <c r="U60" s="2">
        <v>80.761700000000005</v>
      </c>
      <c r="V60" s="2">
        <v>42.261303487009599</v>
      </c>
      <c r="W60" s="2">
        <v>0.30381952370082899</v>
      </c>
      <c r="X60" s="2">
        <v>107.69042240313699</v>
      </c>
      <c r="Y60" s="2">
        <v>25.920676867993702</v>
      </c>
      <c r="Z60" s="4">
        <v>6.9099999999999993</v>
      </c>
      <c r="AA60" s="4">
        <v>13.3</v>
      </c>
      <c r="AB60" s="2">
        <v>1.4</v>
      </c>
      <c r="AC60" s="2">
        <v>17.600000000000001</v>
      </c>
      <c r="AD60" s="2">
        <v>4.4000000000000057</v>
      </c>
      <c r="AE60" s="2">
        <v>0</v>
      </c>
    </row>
    <row r="61" spans="1:31" x14ac:dyDescent="0.25">
      <c r="A61" s="2" t="s">
        <v>424</v>
      </c>
      <c r="B61" s="2">
        <v>2015</v>
      </c>
      <c r="C61" s="2" t="s">
        <v>425</v>
      </c>
      <c r="D61" s="2" t="s">
        <v>343</v>
      </c>
      <c r="E61" s="2">
        <v>11.4735</v>
      </c>
      <c r="F61" s="2">
        <v>8.9733000000000001</v>
      </c>
      <c r="G61" s="2">
        <v>10.1258</v>
      </c>
      <c r="H61" s="2">
        <v>1.5455000000000001</v>
      </c>
      <c r="I61" s="2">
        <v>1.1752</v>
      </c>
      <c r="J61">
        <v>48.197828698773399</v>
      </c>
      <c r="K61">
        <v>50.311859394908495</v>
      </c>
      <c r="L61" s="2">
        <v>7.2670000000000003</v>
      </c>
      <c r="M61" s="2">
        <v>2.4878</v>
      </c>
      <c r="N61" s="2">
        <v>3.6669</v>
      </c>
      <c r="O61" s="2">
        <v>1.1308</v>
      </c>
      <c r="P61" s="2">
        <v>5.7995999999999999</v>
      </c>
      <c r="Q61" s="2">
        <v>5.0848000000000004</v>
      </c>
      <c r="R61" s="2">
        <v>-25.0334526839993</v>
      </c>
      <c r="S61" s="2">
        <v>13.2568664684769</v>
      </c>
      <c r="T61" s="2">
        <v>3.9090346152741802</v>
      </c>
      <c r="U61" s="2">
        <v>31.398099999999999</v>
      </c>
      <c r="V61" s="2">
        <v>6.0416466102196496E-2</v>
      </c>
      <c r="W61" s="2">
        <v>2.3816938857996899</v>
      </c>
      <c r="X61" s="2">
        <v>104.783590866583</v>
      </c>
      <c r="Y61" s="2">
        <v>14.837968633648799</v>
      </c>
      <c r="Z61" s="4">
        <v>6.9099999999999993</v>
      </c>
      <c r="AA61" s="4">
        <v>13.3</v>
      </c>
      <c r="AB61" s="2">
        <v>1.4</v>
      </c>
      <c r="AC61" s="2">
        <v>17.600000000000001</v>
      </c>
      <c r="AD61" s="2">
        <v>4.4000000000000057</v>
      </c>
      <c r="AE61" s="2">
        <v>0</v>
      </c>
    </row>
    <row r="62" spans="1:31" x14ac:dyDescent="0.25">
      <c r="A62" s="2" t="s">
        <v>426</v>
      </c>
      <c r="B62" s="2">
        <v>2016</v>
      </c>
      <c r="C62" s="2" t="s">
        <v>427</v>
      </c>
      <c r="D62" s="2" t="s">
        <v>343</v>
      </c>
      <c r="E62" s="2">
        <v>35.657699999999998</v>
      </c>
      <c r="F62" s="2">
        <v>40.8977</v>
      </c>
      <c r="G62" s="2">
        <v>16.521000000000001</v>
      </c>
      <c r="H62" s="2">
        <v>2.4897</v>
      </c>
      <c r="I62" s="2">
        <v>2.4777</v>
      </c>
      <c r="J62">
        <v>158.93053398896498</v>
      </c>
      <c r="K62">
        <v>72.1734508382266</v>
      </c>
      <c r="L62" s="2">
        <v>42.758899999999997</v>
      </c>
      <c r="M62" s="2">
        <v>2.7364999999999999</v>
      </c>
      <c r="N62" s="2">
        <v>17.497499999999999</v>
      </c>
      <c r="O62" s="2">
        <v>2.0726</v>
      </c>
      <c r="P62" s="2">
        <v>21.413900000000002</v>
      </c>
      <c r="Q62" s="2">
        <v>28.2273</v>
      </c>
      <c r="R62" s="2">
        <v>64.652141254938599</v>
      </c>
      <c r="S62" s="2">
        <v>180.046854604396</v>
      </c>
      <c r="T62" s="2">
        <v>600.33740933601302</v>
      </c>
      <c r="U62" s="2">
        <v>31.667100000000001</v>
      </c>
      <c r="V62" s="2">
        <v>0.26302064320225599</v>
      </c>
      <c r="W62" s="2">
        <v>7.9267647039237703</v>
      </c>
      <c r="X62" s="2">
        <v>111.08116928729702</v>
      </c>
      <c r="Y62" s="2">
        <v>18.422722492718499</v>
      </c>
      <c r="Z62" s="4">
        <v>6.7</v>
      </c>
      <c r="AA62" s="4">
        <v>11.3</v>
      </c>
      <c r="AB62" s="2">
        <v>2</v>
      </c>
      <c r="AC62" s="2">
        <v>15.9</v>
      </c>
      <c r="AD62" s="2">
        <v>6.9000000000000057</v>
      </c>
      <c r="AE62" s="2">
        <v>0</v>
      </c>
    </row>
    <row r="63" spans="1:31" x14ac:dyDescent="0.25">
      <c r="A63" s="2" t="s">
        <v>428</v>
      </c>
      <c r="B63" s="2">
        <v>2015</v>
      </c>
      <c r="C63" s="2" t="s">
        <v>429</v>
      </c>
      <c r="D63" s="2" t="s">
        <v>430</v>
      </c>
      <c r="E63" s="2">
        <v>6.9031000000000002</v>
      </c>
      <c r="F63" s="2">
        <v>8.4232999999999993</v>
      </c>
      <c r="G63" s="2">
        <v>9.9018999999999995</v>
      </c>
      <c r="H63" s="2">
        <v>0.85199999999999998</v>
      </c>
      <c r="I63" s="2">
        <v>0.82130000000000003</v>
      </c>
      <c r="J63">
        <v>37.553933486370902</v>
      </c>
      <c r="K63">
        <v>12.3313441559018</v>
      </c>
      <c r="L63" s="2">
        <v>46.945</v>
      </c>
      <c r="M63" s="2">
        <v>1.5834999999999999</v>
      </c>
      <c r="N63" s="2">
        <v>2.2121</v>
      </c>
      <c r="O63" s="2">
        <v>0.36180000000000001</v>
      </c>
      <c r="P63" s="2">
        <v>24.129000000000001</v>
      </c>
      <c r="Q63" s="2">
        <v>51.036799999999999</v>
      </c>
      <c r="R63" s="2">
        <v>37.825408781067402</v>
      </c>
      <c r="S63" s="2">
        <v>7.94442172428049</v>
      </c>
      <c r="T63" s="2">
        <v>7.2751471418344398</v>
      </c>
      <c r="U63" s="2">
        <v>62.219099999999997</v>
      </c>
      <c r="V63" s="2">
        <v>31.869571409689001</v>
      </c>
      <c r="W63" s="2">
        <v>2.51581335539889</v>
      </c>
      <c r="X63" s="2">
        <v>109.43260240272501</v>
      </c>
      <c r="Y63" s="2">
        <v>22.014876713320099</v>
      </c>
      <c r="Z63" s="4">
        <v>6.9099999999999993</v>
      </c>
      <c r="AA63" s="4">
        <v>13.3</v>
      </c>
      <c r="AB63" s="2">
        <v>1.4</v>
      </c>
      <c r="AC63" s="2">
        <v>17.600000000000001</v>
      </c>
      <c r="AD63" s="2">
        <v>4.4000000000000057</v>
      </c>
      <c r="AE63" s="2">
        <v>0</v>
      </c>
    </row>
    <row r="64" spans="1:31" x14ac:dyDescent="0.25">
      <c r="A64" s="2" t="s">
        <v>431</v>
      </c>
      <c r="B64" s="2">
        <v>2016</v>
      </c>
      <c r="C64" s="2" t="s">
        <v>432</v>
      </c>
      <c r="D64" s="2" t="s">
        <v>430</v>
      </c>
      <c r="E64" s="2">
        <v>4.7983000000000002</v>
      </c>
      <c r="F64" s="2">
        <v>6.1402000000000001</v>
      </c>
      <c r="G64" s="2">
        <v>23.212499999999999</v>
      </c>
      <c r="H64" s="2">
        <v>0.25290000000000001</v>
      </c>
      <c r="I64" s="2">
        <v>0.14849999999999999</v>
      </c>
      <c r="J64">
        <v>12.7069414542588</v>
      </c>
      <c r="K64">
        <v>9.3444358562954903</v>
      </c>
      <c r="L64" s="2">
        <v>1.2565</v>
      </c>
      <c r="M64" s="2">
        <v>0.94399999999999995</v>
      </c>
      <c r="N64" s="2">
        <v>0.21479999999999999</v>
      </c>
      <c r="O64" s="2">
        <v>8.2199999999999995E-2</v>
      </c>
      <c r="P64" s="2">
        <v>40.5105</v>
      </c>
      <c r="Q64" s="2">
        <v>-7.2704000000000004</v>
      </c>
      <c r="R64" s="2">
        <v>-34.882078375869398</v>
      </c>
      <c r="S64" s="2">
        <v>2.0055673411288302</v>
      </c>
      <c r="T64" s="2">
        <v>1.2170602346294599</v>
      </c>
      <c r="U64" s="2">
        <v>74.589399999999998</v>
      </c>
      <c r="V64" s="2">
        <v>46.442550000175395</v>
      </c>
      <c r="W64" s="2">
        <v>0.64638516472315</v>
      </c>
      <c r="X64" s="2">
        <v>115.48627979357001</v>
      </c>
      <c r="Y64" s="2">
        <v>85.682022902703309</v>
      </c>
      <c r="Z64" s="4">
        <v>6.7</v>
      </c>
      <c r="AA64" s="4">
        <v>11.3</v>
      </c>
      <c r="AB64" s="2">
        <v>2</v>
      </c>
      <c r="AC64" s="2">
        <v>15.9</v>
      </c>
      <c r="AD64" s="2">
        <v>6.9000000000000057</v>
      </c>
      <c r="AE64" s="2">
        <v>0</v>
      </c>
    </row>
    <row r="65" spans="1:31" x14ac:dyDescent="0.25">
      <c r="A65" s="2" t="s">
        <v>431</v>
      </c>
      <c r="B65" s="2">
        <v>2018</v>
      </c>
      <c r="C65" s="2" t="s">
        <v>432</v>
      </c>
      <c r="D65" s="2" t="s">
        <v>430</v>
      </c>
      <c r="E65" s="2">
        <v>5.6162000000000001</v>
      </c>
      <c r="F65" s="2">
        <v>6.5523999999999996</v>
      </c>
      <c r="G65" s="2">
        <v>19.619199999999999</v>
      </c>
      <c r="H65" s="2">
        <v>0.51400000000000001</v>
      </c>
      <c r="I65" s="2">
        <v>0.29120000000000001</v>
      </c>
      <c r="J65">
        <v>23.677615395118899</v>
      </c>
      <c r="K65">
        <v>11.838511165041101</v>
      </c>
      <c r="L65" s="2">
        <v>1.5201</v>
      </c>
      <c r="M65" s="2">
        <v>1.2442</v>
      </c>
      <c r="N65" s="2">
        <v>0.35510000000000003</v>
      </c>
      <c r="O65" s="2">
        <v>0.11509999999999999</v>
      </c>
      <c r="P65" s="2">
        <v>27.254000000000001</v>
      </c>
      <c r="Q65" s="2">
        <v>-6.6813000000000002</v>
      </c>
      <c r="R65" s="2">
        <v>-31.149893594622501</v>
      </c>
      <c r="S65" s="2">
        <v>-9.5749262704823295</v>
      </c>
      <c r="T65" s="2">
        <v>-24.586313380979298</v>
      </c>
      <c r="U65" s="2">
        <v>77.643900000000002</v>
      </c>
      <c r="V65" s="2">
        <v>54.771683826288694</v>
      </c>
      <c r="W65" s="2">
        <v>0.75800714758980303</v>
      </c>
      <c r="X65" s="2">
        <v>106.518601956883</v>
      </c>
      <c r="Y65" s="2">
        <v>79.804344274244002</v>
      </c>
      <c r="Z65" s="4">
        <v>6.6000000000000005</v>
      </c>
      <c r="AA65" s="4">
        <v>8.1</v>
      </c>
      <c r="AB65" s="2">
        <v>2.1</v>
      </c>
      <c r="AC65" s="2">
        <v>12.5</v>
      </c>
      <c r="AD65" s="2">
        <v>8.2999999999999972</v>
      </c>
      <c r="AE65" s="2">
        <v>0</v>
      </c>
    </row>
    <row r="66" spans="1:31" x14ac:dyDescent="0.25">
      <c r="A66" s="2" t="s">
        <v>433</v>
      </c>
      <c r="B66" s="2">
        <v>2018</v>
      </c>
      <c r="C66" s="2" t="s">
        <v>434</v>
      </c>
      <c r="D66" s="2" t="s">
        <v>342</v>
      </c>
      <c r="E66" s="2">
        <v>5.8113000000000001</v>
      </c>
      <c r="F66" s="2">
        <v>5.8893000000000004</v>
      </c>
      <c r="G66" s="2">
        <v>18.4313</v>
      </c>
      <c r="H66" s="2">
        <v>0.56579999999999997</v>
      </c>
      <c r="I66" s="2">
        <v>0.54759999999999998</v>
      </c>
      <c r="J66">
        <v>38.331994895831002</v>
      </c>
      <c r="K66">
        <v>16.4828351549979</v>
      </c>
      <c r="L66" s="2">
        <v>41.814900000000002</v>
      </c>
      <c r="M66" s="2">
        <v>1.8865000000000001</v>
      </c>
      <c r="N66" s="2">
        <v>0.50339999999999996</v>
      </c>
      <c r="O66" s="2">
        <v>0.2462</v>
      </c>
      <c r="P66" s="2">
        <v>8.6431000000000004</v>
      </c>
      <c r="Q66" s="2">
        <v>6.6026999999999996</v>
      </c>
      <c r="R66" s="2">
        <v>64.399283019355806</v>
      </c>
      <c r="S66" s="2">
        <v>6.8071143156453502</v>
      </c>
      <c r="T66" s="2">
        <v>5.7738224089190302</v>
      </c>
      <c r="U66" s="2">
        <v>41.863199999999999</v>
      </c>
      <c r="V66" s="2">
        <v>18.736526210898301</v>
      </c>
      <c r="W66" s="2">
        <v>1.23002223989973</v>
      </c>
      <c r="X66" s="2">
        <v>89.918578748149798</v>
      </c>
      <c r="Y66" s="2">
        <v>28.9470687672307</v>
      </c>
      <c r="Z66" s="4">
        <v>6.6000000000000005</v>
      </c>
      <c r="AA66" s="4">
        <v>8.1</v>
      </c>
      <c r="AB66" s="2">
        <v>2.1</v>
      </c>
      <c r="AC66" s="2">
        <v>12.5</v>
      </c>
      <c r="AD66" s="2">
        <v>8.2999999999999972</v>
      </c>
      <c r="AE66" s="2">
        <v>0</v>
      </c>
    </row>
    <row r="67" spans="1:31" x14ac:dyDescent="0.25">
      <c r="A67" s="2" t="s">
        <v>435</v>
      </c>
      <c r="B67" s="2">
        <v>2016</v>
      </c>
      <c r="C67" s="2" t="s">
        <v>436</v>
      </c>
      <c r="D67" s="2" t="s">
        <v>342</v>
      </c>
      <c r="E67" s="2">
        <v>6.4470000000000001</v>
      </c>
      <c r="F67" s="2">
        <v>6.8875000000000002</v>
      </c>
      <c r="G67" s="2">
        <v>18.4879</v>
      </c>
      <c r="H67" s="2">
        <v>0.81020000000000003</v>
      </c>
      <c r="I67" s="2">
        <v>0.79859999999999998</v>
      </c>
      <c r="J67">
        <v>46.935625126211001</v>
      </c>
      <c r="K67">
        <v>21.995240419660401</v>
      </c>
      <c r="L67" s="2">
        <v>51.171100000000003</v>
      </c>
      <c r="M67" s="2">
        <v>1.6233</v>
      </c>
      <c r="N67" s="2">
        <v>0.71899999999999997</v>
      </c>
      <c r="O67" s="2">
        <v>0.308</v>
      </c>
      <c r="P67" s="2">
        <v>7.9596</v>
      </c>
      <c r="Q67" s="2">
        <v>-2.2368000000000001</v>
      </c>
      <c r="R67" s="2">
        <v>-14.837363120816301</v>
      </c>
      <c r="S67" s="2">
        <v>5.7287278854254398</v>
      </c>
      <c r="T67" s="2">
        <v>4.0574419285996202</v>
      </c>
      <c r="U67" s="2">
        <v>36.9649</v>
      </c>
      <c r="V67" s="2">
        <v>11.4842776391896</v>
      </c>
      <c r="W67" s="2">
        <v>1.4479284381650199</v>
      </c>
      <c r="X67" s="2">
        <v>99.104250823980294</v>
      </c>
      <c r="Y67" s="2">
        <v>28.959477631354304</v>
      </c>
      <c r="Z67" s="4">
        <v>6.7</v>
      </c>
      <c r="AA67" s="4">
        <v>11.3</v>
      </c>
      <c r="AB67" s="2">
        <v>2</v>
      </c>
      <c r="AC67" s="2">
        <v>15.9</v>
      </c>
      <c r="AD67" s="2">
        <v>6.9000000000000057</v>
      </c>
      <c r="AE67" s="2">
        <v>0</v>
      </c>
    </row>
    <row r="68" spans="1:31" x14ac:dyDescent="0.25">
      <c r="A68" s="2" t="s">
        <v>437</v>
      </c>
      <c r="B68" s="2">
        <v>2016</v>
      </c>
      <c r="C68" s="2" t="s">
        <v>438</v>
      </c>
      <c r="D68" s="2" t="s">
        <v>347</v>
      </c>
      <c r="E68" s="2">
        <v>8.4141999999999992</v>
      </c>
      <c r="F68" s="2">
        <v>13.0192</v>
      </c>
      <c r="G68" s="2">
        <v>10.0661</v>
      </c>
      <c r="H68" s="2">
        <v>2.0417000000000001</v>
      </c>
      <c r="I68" s="2">
        <v>1.7230000000000001</v>
      </c>
      <c r="J68">
        <v>34.282531747778698</v>
      </c>
      <c r="K68">
        <v>18.473486887846299</v>
      </c>
      <c r="L68" s="2">
        <v>3.9472999999999998</v>
      </c>
      <c r="M68" s="2">
        <v>0.82699999999999996</v>
      </c>
      <c r="N68" s="2">
        <v>9.4893999999999998</v>
      </c>
      <c r="O68" s="2">
        <v>0.71730000000000005</v>
      </c>
      <c r="P68" s="2">
        <v>1.2525999999999999</v>
      </c>
      <c r="Q68" s="2">
        <v>31.0657</v>
      </c>
      <c r="R68" s="2">
        <v>16.705733207637401</v>
      </c>
      <c r="S68" s="2">
        <v>14.5227106233647</v>
      </c>
      <c r="T68" s="2">
        <v>12.209531703417101</v>
      </c>
      <c r="U68" s="2">
        <v>47.202100000000002</v>
      </c>
      <c r="V68" s="2">
        <v>4.9768217764348606</v>
      </c>
      <c r="W68" s="2">
        <v>7.30950061090648</v>
      </c>
      <c r="X68" s="2">
        <v>90.683758053011502</v>
      </c>
      <c r="Y68" s="2">
        <v>12.9802709019089</v>
      </c>
      <c r="Z68" s="4">
        <v>6.7</v>
      </c>
      <c r="AA68" s="4">
        <v>11.3</v>
      </c>
      <c r="AB68" s="2">
        <v>2</v>
      </c>
      <c r="AC68" s="2">
        <v>15.9</v>
      </c>
      <c r="AD68" s="2">
        <v>5.7000000000000028</v>
      </c>
      <c r="AE68" s="2">
        <v>0</v>
      </c>
    </row>
    <row r="69" spans="1:31" x14ac:dyDescent="0.25">
      <c r="A69" s="2" t="s">
        <v>441</v>
      </c>
      <c r="B69" s="2">
        <v>2014</v>
      </c>
      <c r="C69" s="2" t="s">
        <v>442</v>
      </c>
      <c r="D69" s="2" t="s">
        <v>347</v>
      </c>
      <c r="E69" s="2">
        <v>5.4170999999999996</v>
      </c>
      <c r="F69" s="2">
        <v>7.2065999999999999</v>
      </c>
      <c r="G69" s="2">
        <v>4.4135999999999997</v>
      </c>
      <c r="H69" s="2">
        <v>1.3724000000000001</v>
      </c>
      <c r="I69" s="2">
        <v>1.1398999999999999</v>
      </c>
      <c r="J69">
        <v>21.027626586097899</v>
      </c>
      <c r="K69">
        <v>9.5028953146906687</v>
      </c>
      <c r="L69" s="2">
        <v>2.8168000000000002</v>
      </c>
      <c r="M69" s="2">
        <v>0.69620000000000004</v>
      </c>
      <c r="N69" s="2">
        <v>1.9174</v>
      </c>
      <c r="O69" s="2">
        <v>0.40479999999999999</v>
      </c>
      <c r="P69" s="2">
        <v>1.1306</v>
      </c>
      <c r="Q69" s="2">
        <v>8.0517000000000003</v>
      </c>
      <c r="R69" s="2">
        <v>102.854576620321</v>
      </c>
      <c r="S69" s="2">
        <v>12.6955951543776</v>
      </c>
      <c r="T69" s="2">
        <v>6.0014491363185201</v>
      </c>
      <c r="U69" s="2">
        <v>56.954099999999997</v>
      </c>
      <c r="V69" s="2">
        <v>17.772986653449198</v>
      </c>
      <c r="W69" s="2">
        <v>2.0041434696637599</v>
      </c>
      <c r="X69" s="2">
        <v>66.662630238421499</v>
      </c>
      <c r="Y69" s="2">
        <v>14.168097044912601</v>
      </c>
      <c r="Z69" s="4">
        <v>7.3</v>
      </c>
      <c r="AA69" s="4">
        <v>12.2</v>
      </c>
      <c r="AB69" s="2">
        <v>2</v>
      </c>
      <c r="AC69" s="2">
        <v>16.899999999999999</v>
      </c>
      <c r="AD69" s="2">
        <v>6.7000000000000028</v>
      </c>
      <c r="AE69" s="2">
        <v>0</v>
      </c>
    </row>
    <row r="70" spans="1:31" x14ac:dyDescent="0.25">
      <c r="A70" s="2" t="s">
        <v>441</v>
      </c>
      <c r="B70" s="2">
        <v>2016</v>
      </c>
      <c r="C70" s="2" t="s">
        <v>442</v>
      </c>
      <c r="D70" s="2" t="s">
        <v>347</v>
      </c>
      <c r="E70" s="2">
        <v>5.8776000000000002</v>
      </c>
      <c r="F70" s="2">
        <v>5.7611999999999997</v>
      </c>
      <c r="G70" s="2">
        <v>8.0422999999999991</v>
      </c>
      <c r="H70" s="2">
        <v>2.9199000000000002</v>
      </c>
      <c r="I70" s="2">
        <v>2.5950000000000002</v>
      </c>
      <c r="J70">
        <v>40.511903127107104</v>
      </c>
      <c r="K70">
        <v>5.4303362694449202</v>
      </c>
      <c r="L70" s="2">
        <v>4.4313000000000002</v>
      </c>
      <c r="M70" s="2">
        <v>0.70609999999999995</v>
      </c>
      <c r="N70" s="2">
        <v>1.4850000000000001</v>
      </c>
      <c r="O70" s="2">
        <v>0.41260000000000002</v>
      </c>
      <c r="P70" s="2">
        <v>1.2904</v>
      </c>
      <c r="Q70" s="2">
        <v>7.0757000000000003</v>
      </c>
      <c r="R70" s="2">
        <v>5.7385075879117</v>
      </c>
      <c r="S70" s="2">
        <v>21.403679387476501</v>
      </c>
      <c r="T70" s="2">
        <v>136.417683116142</v>
      </c>
      <c r="U70" s="2">
        <v>21.244299999999999</v>
      </c>
      <c r="V70" s="2">
        <v>1.05082965237806</v>
      </c>
      <c r="W70" s="2">
        <v>2.8213963200043102</v>
      </c>
      <c r="X70" s="2">
        <v>76.717132631892099</v>
      </c>
      <c r="Y70" s="2">
        <v>3.0662015019211499</v>
      </c>
      <c r="Z70" s="4">
        <v>6.7</v>
      </c>
      <c r="AA70" s="4">
        <v>11.3</v>
      </c>
      <c r="AB70" s="2">
        <v>2</v>
      </c>
      <c r="AC70" s="2">
        <v>15.9</v>
      </c>
      <c r="AD70" s="2">
        <v>5.7000000000000028</v>
      </c>
      <c r="AE70" s="2">
        <v>0</v>
      </c>
    </row>
    <row r="71" spans="1:31" x14ac:dyDescent="0.25">
      <c r="A71" s="2" t="s">
        <v>443</v>
      </c>
      <c r="B71" s="2">
        <v>2018</v>
      </c>
      <c r="C71" s="2" t="s">
        <v>444</v>
      </c>
      <c r="D71" s="2" t="s">
        <v>324</v>
      </c>
      <c r="E71" s="2">
        <v>4.6567999999999996</v>
      </c>
      <c r="F71" s="2">
        <v>4.5087999999999999</v>
      </c>
      <c r="G71" s="2">
        <v>16.8828</v>
      </c>
      <c r="H71" s="2">
        <v>2.0324</v>
      </c>
      <c r="I71" s="2">
        <v>1.7825</v>
      </c>
      <c r="J71">
        <v>48.432491547037095</v>
      </c>
      <c r="K71">
        <v>-19.2901152839083</v>
      </c>
      <c r="L71" s="2">
        <v>1.8811</v>
      </c>
      <c r="M71" s="2">
        <v>0.4234</v>
      </c>
      <c r="N71" s="2">
        <v>9.2774000000000001</v>
      </c>
      <c r="O71" s="2">
        <v>0.24260000000000001</v>
      </c>
      <c r="P71" s="2">
        <v>0.91969999999999996</v>
      </c>
      <c r="Q71" s="2">
        <v>10.374700000000001</v>
      </c>
      <c r="R71" s="2">
        <v>-61.568581698204902</v>
      </c>
      <c r="S71" s="2">
        <v>-1.98486741701064</v>
      </c>
      <c r="T71" s="2">
        <v>2.9214923128002899</v>
      </c>
      <c r="U71" s="2">
        <v>29.251000000000001</v>
      </c>
      <c r="V71" s="2">
        <v>2.7723566488695099</v>
      </c>
      <c r="W71" s="2">
        <v>24.054263038507699</v>
      </c>
      <c r="X71" s="2">
        <v>77.846457196608497</v>
      </c>
      <c r="Y71" s="2">
        <v>-23.025032669873298</v>
      </c>
      <c r="Z71" s="4">
        <v>6.6000000000000005</v>
      </c>
      <c r="AA71" s="4">
        <v>8.1</v>
      </c>
      <c r="AB71" s="2">
        <v>2.1</v>
      </c>
      <c r="AC71" s="2">
        <v>12.5</v>
      </c>
      <c r="AD71" s="2">
        <v>6.0999999999999943</v>
      </c>
      <c r="AE71" s="2">
        <v>0</v>
      </c>
    </row>
    <row r="72" spans="1:31" x14ac:dyDescent="0.25">
      <c r="A72" s="2" t="s">
        <v>445</v>
      </c>
      <c r="B72" s="2">
        <v>2015</v>
      </c>
      <c r="C72" s="2" t="s">
        <v>446</v>
      </c>
      <c r="D72" s="2" t="s">
        <v>324</v>
      </c>
      <c r="E72" s="2">
        <v>8.6709999999999994</v>
      </c>
      <c r="F72" s="2">
        <v>14.017300000000001</v>
      </c>
      <c r="G72" s="2">
        <v>18.211600000000001</v>
      </c>
      <c r="H72" s="2">
        <v>1.4112</v>
      </c>
      <c r="I72" s="2">
        <v>1.0347</v>
      </c>
      <c r="J72">
        <v>25.169277479816397</v>
      </c>
      <c r="K72">
        <v>14.008502867186001</v>
      </c>
      <c r="L72" s="2">
        <v>2.2000000000000002</v>
      </c>
      <c r="M72" s="2">
        <v>0.79520000000000002</v>
      </c>
      <c r="N72" s="2">
        <v>2.0272000000000001</v>
      </c>
      <c r="O72" s="2">
        <v>0.44929999999999998</v>
      </c>
      <c r="P72" s="2">
        <v>3.8666</v>
      </c>
      <c r="Q72" s="2">
        <v>-19.6477</v>
      </c>
      <c r="R72" s="2">
        <v>24.190011149393001</v>
      </c>
      <c r="S72" s="2">
        <v>11.1367204994043</v>
      </c>
      <c r="T72" s="2">
        <v>13.6364049207048</v>
      </c>
      <c r="U72" s="2">
        <v>47.892600000000002</v>
      </c>
      <c r="V72" s="2">
        <v>6.5348307876852791</v>
      </c>
      <c r="W72" s="2">
        <v>2.29925236541153</v>
      </c>
      <c r="X72" s="2">
        <v>94.801793946379192</v>
      </c>
      <c r="Y72" s="2">
        <v>15.720323882196</v>
      </c>
      <c r="Z72" s="4">
        <v>6.9099999999999993</v>
      </c>
      <c r="AA72" s="4">
        <v>13.3</v>
      </c>
      <c r="AB72" s="2">
        <v>1.4</v>
      </c>
      <c r="AC72" s="2">
        <v>17.600000000000001</v>
      </c>
      <c r="AD72" s="2">
        <v>5.7000000000000028</v>
      </c>
      <c r="AE72" s="2">
        <v>0</v>
      </c>
    </row>
    <row r="73" spans="1:31" x14ac:dyDescent="0.25">
      <c r="A73" s="2" t="s">
        <v>447</v>
      </c>
      <c r="B73" s="2">
        <v>2019</v>
      </c>
      <c r="C73" s="2" t="s">
        <v>448</v>
      </c>
      <c r="D73" s="2" t="s">
        <v>324</v>
      </c>
      <c r="E73" s="2">
        <v>2.9005999999999998</v>
      </c>
      <c r="F73" s="2">
        <v>6.4306999999999999</v>
      </c>
      <c r="G73" s="2">
        <v>3.0516999999999999</v>
      </c>
      <c r="H73" s="2">
        <v>1.1399999999999999</v>
      </c>
      <c r="I73" s="2">
        <v>0.84119999999999995</v>
      </c>
      <c r="J73">
        <v>23.869999858931699</v>
      </c>
      <c r="K73">
        <v>8.2938321517330902</v>
      </c>
      <c r="L73" s="2">
        <v>4.5697000000000001</v>
      </c>
      <c r="M73" s="2">
        <v>1.3783000000000001</v>
      </c>
      <c r="N73" s="2">
        <v>3.1907000000000001</v>
      </c>
      <c r="O73" s="2">
        <v>0.85880000000000001</v>
      </c>
      <c r="P73" s="2">
        <v>4.7813999999999997</v>
      </c>
      <c r="Q73" s="2">
        <v>3.6183999999999998</v>
      </c>
      <c r="R73" s="2">
        <v>-13.2392702724936</v>
      </c>
      <c r="S73" s="2">
        <v>-2.7692413923189401</v>
      </c>
      <c r="T73" s="2">
        <v>3.3269614442757698</v>
      </c>
      <c r="U73" s="2">
        <v>60.669600000000003</v>
      </c>
      <c r="V73" s="2">
        <v>6.54077661911405</v>
      </c>
      <c r="W73" s="2">
        <v>1.4481162835805499</v>
      </c>
      <c r="X73" s="2">
        <v>87.876379379149512</v>
      </c>
      <c r="Y73" s="2">
        <v>5.7771086599876602</v>
      </c>
      <c r="Z73" s="4">
        <v>6</v>
      </c>
      <c r="AA73" s="4">
        <v>8.6999999999999993</v>
      </c>
      <c r="AB73" s="2">
        <v>2.9</v>
      </c>
      <c r="AC73" s="2">
        <v>15.6</v>
      </c>
      <c r="AD73" s="2">
        <v>4.7999999999999972</v>
      </c>
      <c r="AE73" s="2">
        <v>0</v>
      </c>
    </row>
    <row r="74" spans="1:31" x14ac:dyDescent="0.25">
      <c r="A74" s="2" t="s">
        <v>447</v>
      </c>
      <c r="B74" s="2">
        <v>2021</v>
      </c>
      <c r="C74" s="2" t="s">
        <v>448</v>
      </c>
      <c r="D74" s="2" t="s">
        <v>324</v>
      </c>
      <c r="E74" s="2">
        <v>1.7967</v>
      </c>
      <c r="F74" s="2">
        <v>6.0157999999999996</v>
      </c>
      <c r="G74" s="2">
        <v>1.6449</v>
      </c>
      <c r="H74" s="2">
        <v>1.2183999999999999</v>
      </c>
      <c r="I74" s="2">
        <v>0.97250000000000003</v>
      </c>
      <c r="J74">
        <v>49.245986797710898</v>
      </c>
      <c r="K74">
        <v>3.0923976051659801</v>
      </c>
      <c r="L74" s="2">
        <v>5.6326000000000001</v>
      </c>
      <c r="M74" s="2">
        <v>1.2979000000000001</v>
      </c>
      <c r="N74" s="2">
        <v>3.9739</v>
      </c>
      <c r="O74" s="2">
        <v>0.875</v>
      </c>
      <c r="P74" s="2">
        <v>4.4551999999999996</v>
      </c>
      <c r="Q74" s="2">
        <v>42.504800000000003</v>
      </c>
      <c r="R74" s="2">
        <v>40.4230145008164</v>
      </c>
      <c r="S74" s="2">
        <v>41.126241498164497</v>
      </c>
      <c r="T74" s="2">
        <v>38.019839092432399</v>
      </c>
      <c r="U74" s="2">
        <v>63.760199999999998</v>
      </c>
      <c r="V74" s="2">
        <v>7.3036167737034905</v>
      </c>
      <c r="W74" s="2">
        <v>1.7957801562436699</v>
      </c>
      <c r="X74" s="2">
        <v>81.220905866019905</v>
      </c>
      <c r="Y74" s="2">
        <v>2.63775684817863</v>
      </c>
      <c r="Z74" s="4">
        <v>8.4</v>
      </c>
      <c r="AA74" s="4">
        <v>9</v>
      </c>
      <c r="AB74" s="2">
        <v>0.9</v>
      </c>
      <c r="AC74" s="2">
        <v>20.9</v>
      </c>
      <c r="AD74" s="2">
        <v>9.0999999999999943</v>
      </c>
      <c r="AE74" s="2">
        <v>0</v>
      </c>
    </row>
    <row r="75" spans="1:31" x14ac:dyDescent="0.25">
      <c r="A75" s="2" t="s">
        <v>451</v>
      </c>
      <c r="B75" s="2">
        <v>2020</v>
      </c>
      <c r="C75" s="2" t="s">
        <v>452</v>
      </c>
      <c r="D75" s="2" t="s">
        <v>345</v>
      </c>
      <c r="E75" s="2">
        <v>7.0717999999999996</v>
      </c>
      <c r="F75" s="2">
        <v>11.511799999999999</v>
      </c>
      <c r="G75" s="2">
        <v>16.493600000000001</v>
      </c>
      <c r="H75" s="2">
        <v>1.2477</v>
      </c>
      <c r="I75" s="2">
        <v>1.1919</v>
      </c>
      <c r="J75">
        <v>45.520254080777697</v>
      </c>
      <c r="K75">
        <v>1.6452352969406301</v>
      </c>
      <c r="L75" s="2">
        <v>6.0683999999999996</v>
      </c>
      <c r="M75" s="2">
        <v>0.67400000000000004</v>
      </c>
      <c r="N75" s="2">
        <v>0.71950000000000003</v>
      </c>
      <c r="O75" s="2">
        <v>0.31380000000000002</v>
      </c>
      <c r="P75" s="2">
        <v>1.2701</v>
      </c>
      <c r="Q75" s="2">
        <v>23.142800000000001</v>
      </c>
      <c r="R75" s="2">
        <v>9.5833424526552804</v>
      </c>
      <c r="S75" s="2">
        <v>46.113766908894497</v>
      </c>
      <c r="T75" s="2">
        <v>53.060154619851801</v>
      </c>
      <c r="U75" s="2">
        <v>61.5672</v>
      </c>
      <c r="V75" s="2">
        <v>22.094710911919499</v>
      </c>
      <c r="W75" s="2">
        <v>0.92528142719956297</v>
      </c>
      <c r="X75" s="2">
        <v>65.243972630060696</v>
      </c>
      <c r="Y75" s="2">
        <v>3.8323688624690302</v>
      </c>
      <c r="Z75" s="4">
        <v>2.2999999999999998</v>
      </c>
      <c r="AA75" s="4">
        <v>10.100000000000001</v>
      </c>
      <c r="AB75" s="2">
        <v>2.5</v>
      </c>
      <c r="AC75" s="2">
        <v>16.100000000000001</v>
      </c>
      <c r="AD75" s="2">
        <v>2.7000000000000028</v>
      </c>
      <c r="AE75" s="2">
        <v>0</v>
      </c>
    </row>
    <row r="76" spans="1:31" x14ac:dyDescent="0.25">
      <c r="A76" s="2" t="s">
        <v>449</v>
      </c>
      <c r="B76" s="2">
        <v>2017</v>
      </c>
      <c r="C76" s="2" t="s">
        <v>450</v>
      </c>
      <c r="D76" s="2" t="s">
        <v>311</v>
      </c>
      <c r="E76" s="2">
        <v>1.4259999999999999</v>
      </c>
      <c r="F76" s="2">
        <v>2.8165</v>
      </c>
      <c r="G76" s="2">
        <v>1.2887999999999999</v>
      </c>
      <c r="H76" s="2">
        <v>1.0693999999999999</v>
      </c>
      <c r="I76" s="2">
        <v>0.71870000000000001</v>
      </c>
      <c r="J76">
        <v>29.757842076682699</v>
      </c>
      <c r="K76">
        <v>2.2019036843889799</v>
      </c>
      <c r="L76" s="2">
        <v>2.3212000000000002</v>
      </c>
      <c r="M76" s="2">
        <v>0.90890000000000004</v>
      </c>
      <c r="N76" s="2">
        <v>18.687899999999999</v>
      </c>
      <c r="O76" s="2">
        <v>0.56210000000000004</v>
      </c>
      <c r="P76" s="2">
        <v>3.6537999999999999</v>
      </c>
      <c r="Q76" s="2">
        <v>50.566299999999998</v>
      </c>
      <c r="R76" s="2">
        <v>62.6242692100789</v>
      </c>
      <c r="S76" s="2">
        <v>26.943721660909699</v>
      </c>
      <c r="T76" s="2">
        <v>3.69778359509076</v>
      </c>
      <c r="U76" s="2">
        <v>83.4191</v>
      </c>
      <c r="V76" s="2">
        <v>25.172115214800002</v>
      </c>
      <c r="W76" s="2">
        <v>4.9671798262014004</v>
      </c>
      <c r="X76" s="2">
        <v>86.412802779582293</v>
      </c>
      <c r="Y76" s="2">
        <v>-0.93888061843055404</v>
      </c>
      <c r="Z76" s="4">
        <v>6.9</v>
      </c>
      <c r="AA76" s="4">
        <v>8.2000000000000011</v>
      </c>
      <c r="AB76" s="2">
        <v>1.6</v>
      </c>
      <c r="AC76" s="2">
        <v>16.3</v>
      </c>
      <c r="AD76" s="2">
        <v>3.9000000000000057</v>
      </c>
      <c r="AE76" s="2">
        <v>0</v>
      </c>
    </row>
    <row r="77" spans="1:31" x14ac:dyDescent="0.25">
      <c r="A77" s="2" t="s">
        <v>449</v>
      </c>
      <c r="B77" s="2">
        <v>2016</v>
      </c>
      <c r="C77" s="2" t="s">
        <v>450</v>
      </c>
      <c r="D77" s="2" t="s">
        <v>311</v>
      </c>
      <c r="E77" s="2">
        <v>1.1334</v>
      </c>
      <c r="F77" s="2">
        <v>2.4739</v>
      </c>
      <c r="G77" s="2">
        <v>0.68200000000000005</v>
      </c>
      <c r="H77" s="2">
        <v>1.2005999999999999</v>
      </c>
      <c r="I77" s="2">
        <v>0.73429999999999995</v>
      </c>
      <c r="J77">
        <v>27.009115087518698</v>
      </c>
      <c r="K77">
        <v>1.4008565468765599</v>
      </c>
      <c r="L77" s="2">
        <v>1.7648999999999999</v>
      </c>
      <c r="M77" s="2">
        <v>0.6976</v>
      </c>
      <c r="N77" s="2">
        <v>12.794499999999999</v>
      </c>
      <c r="O77" s="2">
        <v>0.46510000000000001</v>
      </c>
      <c r="P77" s="2">
        <v>2.9754999999999998</v>
      </c>
      <c r="Q77" s="2">
        <v>30.302700000000002</v>
      </c>
      <c r="R77" s="2">
        <v>240.61040101236401</v>
      </c>
      <c r="S77" s="2">
        <v>20.953408626913401</v>
      </c>
      <c r="T77" s="2">
        <v>18.809809898025598</v>
      </c>
      <c r="U77" s="2">
        <v>81.683300000000003</v>
      </c>
      <c r="V77" s="2">
        <v>27.866070009380898</v>
      </c>
      <c r="W77" s="2">
        <v>5.9622749399244803</v>
      </c>
      <c r="X77" s="2">
        <v>82.836240215885198</v>
      </c>
      <c r="Y77" s="2">
        <v>3.65631141672774</v>
      </c>
      <c r="Z77" s="4">
        <v>6.7</v>
      </c>
      <c r="AA77" s="4">
        <v>11.3</v>
      </c>
      <c r="AB77" s="2">
        <v>2</v>
      </c>
      <c r="AC77" s="2">
        <v>15.9</v>
      </c>
      <c r="AD77" s="2">
        <v>7.7000000000000028</v>
      </c>
      <c r="AE77" s="2">
        <v>0</v>
      </c>
    </row>
    <row r="78" spans="1:31" x14ac:dyDescent="0.25">
      <c r="A78" s="2" t="s">
        <v>449</v>
      </c>
      <c r="B78" s="2">
        <v>2021</v>
      </c>
      <c r="C78" s="2" t="s">
        <v>450</v>
      </c>
      <c r="D78" s="2" t="s">
        <v>311</v>
      </c>
      <c r="E78" s="2">
        <v>1.8082</v>
      </c>
      <c r="F78" s="2">
        <v>1.877</v>
      </c>
      <c r="G78" s="2">
        <v>1.6068</v>
      </c>
      <c r="H78" s="2">
        <v>1.0012000000000001</v>
      </c>
      <c r="I78" s="2">
        <v>0.87029999999999996</v>
      </c>
      <c r="J78">
        <v>26.421714221758602</v>
      </c>
      <c r="K78">
        <v>-0.51928944068492</v>
      </c>
      <c r="L78" s="2">
        <v>2.4224999999999999</v>
      </c>
      <c r="M78" s="2">
        <v>0.8851</v>
      </c>
      <c r="N78" s="2">
        <v>14.7476</v>
      </c>
      <c r="O78" s="2">
        <v>0.28499999999999998</v>
      </c>
      <c r="P78" s="2">
        <v>6.4119000000000002</v>
      </c>
      <c r="Q78" s="2">
        <v>3.6678999999999999</v>
      </c>
      <c r="R78" s="2">
        <v>-14.3427389022448</v>
      </c>
      <c r="S78" s="2">
        <v>12.1044712132576</v>
      </c>
      <c r="T78" s="2">
        <v>11.514873529849201</v>
      </c>
      <c r="U78" s="2">
        <v>88.340599999999995</v>
      </c>
      <c r="V78" s="2">
        <v>58.1162528397549</v>
      </c>
      <c r="W78" s="2">
        <v>9.0230169724629405</v>
      </c>
      <c r="X78" s="2">
        <v>61.136187575644499</v>
      </c>
      <c r="Y78" s="2">
        <v>-1.7013266367043902</v>
      </c>
      <c r="Z78" s="4">
        <v>8.4</v>
      </c>
      <c r="AA78" s="4">
        <v>9</v>
      </c>
      <c r="AB78" s="2">
        <v>0.9</v>
      </c>
      <c r="AC78" s="2">
        <v>20.9</v>
      </c>
      <c r="AD78" s="2">
        <v>1.0999999999999943</v>
      </c>
      <c r="AE78" s="2">
        <v>0</v>
      </c>
    </row>
    <row r="79" spans="1:31" x14ac:dyDescent="0.25">
      <c r="A79" s="2" t="s">
        <v>453</v>
      </c>
      <c r="B79" s="2">
        <v>2017</v>
      </c>
      <c r="C79" s="2" t="s">
        <v>454</v>
      </c>
      <c r="D79" s="2" t="s">
        <v>311</v>
      </c>
      <c r="E79" s="2">
        <v>3.8650000000000002</v>
      </c>
      <c r="F79" s="2">
        <v>6.2290999999999999</v>
      </c>
      <c r="G79" s="2">
        <v>7.3023999999999996</v>
      </c>
      <c r="H79" s="2">
        <v>1.1879</v>
      </c>
      <c r="I79" s="2">
        <v>0.52559999999999996</v>
      </c>
      <c r="J79">
        <v>13.9314316842786</v>
      </c>
      <c r="K79">
        <v>2.28256463983376</v>
      </c>
      <c r="L79" s="2">
        <v>0.72870000000000001</v>
      </c>
      <c r="M79" s="2">
        <v>0.50309999999999999</v>
      </c>
      <c r="N79" s="2">
        <v>8.7819000000000003</v>
      </c>
      <c r="O79" s="2">
        <v>0.35820000000000002</v>
      </c>
      <c r="P79" s="2">
        <v>2.3675000000000002</v>
      </c>
      <c r="Q79" s="2">
        <v>32.766300000000001</v>
      </c>
      <c r="R79" s="2">
        <v>151.686814789441</v>
      </c>
      <c r="S79" s="2">
        <v>14.7968404642048</v>
      </c>
      <c r="T79" s="2">
        <v>28.795195533915699</v>
      </c>
      <c r="U79" s="2">
        <v>63.178400000000003</v>
      </c>
      <c r="V79" s="2">
        <v>7.6158489379790693</v>
      </c>
      <c r="W79" s="2">
        <v>7.9404139494983301</v>
      </c>
      <c r="X79" s="2">
        <v>87.375449401879308</v>
      </c>
      <c r="Y79" s="2">
        <v>4.3034959257718306</v>
      </c>
      <c r="Z79" s="4">
        <v>6.9</v>
      </c>
      <c r="AA79" s="4">
        <v>8.2000000000000011</v>
      </c>
      <c r="AB79" s="2">
        <v>1.6</v>
      </c>
      <c r="AC79" s="2">
        <v>16.3</v>
      </c>
      <c r="AD79" s="2">
        <v>3.9000000000000057</v>
      </c>
      <c r="AE79" s="2">
        <v>0</v>
      </c>
    </row>
    <row r="80" spans="1:31" x14ac:dyDescent="0.25">
      <c r="A80" s="2" t="s">
        <v>455</v>
      </c>
      <c r="B80" s="2">
        <v>2016</v>
      </c>
      <c r="C80" s="2" t="s">
        <v>456</v>
      </c>
      <c r="D80" s="2" t="s">
        <v>311</v>
      </c>
      <c r="E80" s="2">
        <v>6.5690999999999997</v>
      </c>
      <c r="F80" s="2">
        <v>8.4834999999999994</v>
      </c>
      <c r="G80" s="2">
        <v>12.605</v>
      </c>
      <c r="H80" s="2">
        <v>1.5289999999999999</v>
      </c>
      <c r="I80" s="2">
        <v>0.88470000000000004</v>
      </c>
      <c r="J80">
        <v>15.02490411786</v>
      </c>
      <c r="K80">
        <v>-6.7371856433647803</v>
      </c>
      <c r="L80" s="2">
        <v>1.2456</v>
      </c>
      <c r="M80" s="2">
        <v>0.67920000000000003</v>
      </c>
      <c r="N80" s="2">
        <v>2.8816999999999999</v>
      </c>
      <c r="O80" s="2">
        <v>0.44309999999999999</v>
      </c>
      <c r="P80" s="2">
        <v>2.0588000000000002</v>
      </c>
      <c r="Q80" s="2">
        <v>22.2059</v>
      </c>
      <c r="R80" s="2">
        <v>9.9293859001049594</v>
      </c>
      <c r="S80" s="2">
        <v>19.2676431634831</v>
      </c>
      <c r="T80" s="2">
        <v>25.008599997070899</v>
      </c>
      <c r="U80" s="2">
        <v>42.3264</v>
      </c>
      <c r="V80" s="2">
        <v>0.99544553341346709</v>
      </c>
      <c r="W80" s="2">
        <v>3.4081252494797099</v>
      </c>
      <c r="X80" s="2">
        <v>75.766438326594397</v>
      </c>
      <c r="Y80" s="2">
        <v>-7.0003751763786104</v>
      </c>
      <c r="Z80" s="4">
        <v>6.7</v>
      </c>
      <c r="AA80" s="4">
        <v>11.3</v>
      </c>
      <c r="AB80" s="2">
        <v>2</v>
      </c>
      <c r="AC80" s="2">
        <v>15.9</v>
      </c>
      <c r="AD80" s="2">
        <v>7.7000000000000028</v>
      </c>
      <c r="AE80" s="2">
        <v>0</v>
      </c>
    </row>
    <row r="81" spans="1:31" x14ac:dyDescent="0.25">
      <c r="A81" s="2" t="s">
        <v>455</v>
      </c>
      <c r="B81" s="2">
        <v>2018</v>
      </c>
      <c r="C81" s="2" t="s">
        <v>456</v>
      </c>
      <c r="D81" s="2" t="s">
        <v>311</v>
      </c>
      <c r="E81" s="2">
        <v>4.8426</v>
      </c>
      <c r="F81" s="2">
        <v>6.0784000000000002</v>
      </c>
      <c r="G81" s="2">
        <v>7.3106999999999998</v>
      </c>
      <c r="H81" s="2">
        <v>1.4661999999999999</v>
      </c>
      <c r="I81" s="2">
        <v>0.98089999999999999</v>
      </c>
      <c r="J81">
        <v>27.816477123285299</v>
      </c>
      <c r="K81">
        <v>2.4915655168325199</v>
      </c>
      <c r="L81" s="2">
        <v>1.5053000000000001</v>
      </c>
      <c r="M81" s="2">
        <v>0.70379999999999998</v>
      </c>
      <c r="N81" s="2">
        <v>2.9407999999999999</v>
      </c>
      <c r="O81" s="2">
        <v>0.46429999999999999</v>
      </c>
      <c r="P81" s="2">
        <v>1.7125999999999999</v>
      </c>
      <c r="Q81" s="2">
        <v>27.559100000000001</v>
      </c>
      <c r="R81" s="2">
        <v>-7.3325863525181996</v>
      </c>
      <c r="S81" s="2">
        <v>24.117138534013499</v>
      </c>
      <c r="T81" s="2">
        <v>11.892965412830399</v>
      </c>
      <c r="U81" s="2">
        <v>54.287799999999997</v>
      </c>
      <c r="V81" s="2">
        <v>8.3462285284283713</v>
      </c>
      <c r="W81" s="2">
        <v>3.2924758228787998</v>
      </c>
      <c r="X81" s="2">
        <v>77.682030954742501</v>
      </c>
      <c r="Y81" s="2">
        <v>3.2266712970777505</v>
      </c>
      <c r="Z81" s="4">
        <v>6.6000000000000005</v>
      </c>
      <c r="AA81" s="4">
        <v>8.1</v>
      </c>
      <c r="AB81" s="2">
        <v>2.1</v>
      </c>
      <c r="AC81" s="2">
        <v>12.5</v>
      </c>
      <c r="AD81" s="2">
        <v>4.7999999999999972</v>
      </c>
      <c r="AE81" s="2">
        <v>0</v>
      </c>
    </row>
    <row r="82" spans="1:31" x14ac:dyDescent="0.25">
      <c r="A82" s="2" t="s">
        <v>457</v>
      </c>
      <c r="B82" s="2">
        <v>2017</v>
      </c>
      <c r="C82" s="2" t="s">
        <v>458</v>
      </c>
      <c r="D82" s="2" t="s">
        <v>311</v>
      </c>
      <c r="E82" s="2">
        <v>9.8772000000000002</v>
      </c>
      <c r="F82" s="2">
        <v>15.129200000000001</v>
      </c>
      <c r="G82" s="2">
        <v>14.309100000000001</v>
      </c>
      <c r="H82" s="2">
        <v>1.5628</v>
      </c>
      <c r="I82" s="2">
        <v>0.51990000000000003</v>
      </c>
      <c r="J82">
        <v>23.452804130816499</v>
      </c>
      <c r="K82">
        <v>-3.7487973182598595</v>
      </c>
      <c r="L82" s="2">
        <v>0.80859999999999999</v>
      </c>
      <c r="M82" s="2">
        <v>0.74860000000000004</v>
      </c>
      <c r="N82" s="2">
        <v>12.5962</v>
      </c>
      <c r="O82" s="2">
        <v>0.56459999999999999</v>
      </c>
      <c r="P82" s="2">
        <v>5.5861000000000001</v>
      </c>
      <c r="Q82" s="2">
        <v>35.827100000000002</v>
      </c>
      <c r="R82" s="2">
        <v>23.133673496893099</v>
      </c>
      <c r="S82" s="2">
        <v>31.9166675112827</v>
      </c>
      <c r="T82" s="2">
        <v>8.1748439630462304</v>
      </c>
      <c r="U82" s="2">
        <v>61.255600000000001</v>
      </c>
      <c r="V82" s="2">
        <v>11.7346397939541</v>
      </c>
      <c r="W82" s="2">
        <v>9.7507868529646409</v>
      </c>
      <c r="X82" s="2">
        <v>55.619928295464007</v>
      </c>
      <c r="Y82" s="2">
        <v>-4.6750510164765195</v>
      </c>
      <c r="Z82" s="4">
        <v>6.9</v>
      </c>
      <c r="AA82" s="4">
        <v>8.2000000000000011</v>
      </c>
      <c r="AB82" s="2">
        <v>1.6</v>
      </c>
      <c r="AC82" s="2">
        <v>16.3</v>
      </c>
      <c r="AD82" s="2">
        <v>3.9000000000000057</v>
      </c>
      <c r="AE82" s="2">
        <v>0</v>
      </c>
    </row>
    <row r="83" spans="1:31" x14ac:dyDescent="0.25">
      <c r="A83" s="2" t="s">
        <v>493</v>
      </c>
      <c r="B83" s="2">
        <v>2014</v>
      </c>
      <c r="C83" s="2" t="s">
        <v>494</v>
      </c>
      <c r="D83" s="2" t="s">
        <v>311</v>
      </c>
      <c r="E83" s="2">
        <v>4.9432</v>
      </c>
      <c r="F83" s="2">
        <v>12.789</v>
      </c>
      <c r="G83" s="2">
        <v>4.3685</v>
      </c>
      <c r="H83" s="2">
        <v>0.91610000000000003</v>
      </c>
      <c r="I83" s="2">
        <v>0.39229999999999998</v>
      </c>
      <c r="J83">
        <v>16.352668160441102</v>
      </c>
      <c r="K83">
        <v>4.0498146652327902</v>
      </c>
      <c r="L83" s="2">
        <v>1.7425999999999999</v>
      </c>
      <c r="M83" s="2">
        <v>1.0618000000000001</v>
      </c>
      <c r="N83" s="2">
        <v>9.9126999999999992</v>
      </c>
      <c r="O83" s="2">
        <v>0.55940000000000001</v>
      </c>
      <c r="P83" s="2">
        <v>29.47</v>
      </c>
      <c r="Q83" s="2">
        <v>6.0511999999999997</v>
      </c>
      <c r="R83" s="2">
        <v>67.099265906695507</v>
      </c>
      <c r="S83" s="2">
        <v>17.8665699753873</v>
      </c>
      <c r="T83" s="2">
        <v>14.7722064234</v>
      </c>
      <c r="U83" s="2">
        <v>84.081100000000006</v>
      </c>
      <c r="V83" s="2">
        <v>26.0525252045692</v>
      </c>
      <c r="W83" s="2">
        <v>3.1057064408491599</v>
      </c>
      <c r="X83" s="2">
        <v>80.568122311570406</v>
      </c>
      <c r="Y83" s="2">
        <v>6.58676494418898</v>
      </c>
      <c r="Z83" s="4">
        <v>7.3</v>
      </c>
      <c r="AA83" s="4">
        <v>12.2</v>
      </c>
      <c r="AB83" s="2">
        <v>2</v>
      </c>
      <c r="AC83" s="2">
        <v>16.899999999999999</v>
      </c>
      <c r="AD83" s="2">
        <v>9.5999999999999943</v>
      </c>
      <c r="AE83" s="2">
        <v>0</v>
      </c>
    </row>
    <row r="84" spans="1:31" x14ac:dyDescent="0.25">
      <c r="A84" s="2" t="s">
        <v>459</v>
      </c>
      <c r="B84" s="2">
        <v>2017</v>
      </c>
      <c r="C84" s="2" t="s">
        <v>460</v>
      </c>
      <c r="D84" s="2" t="s">
        <v>311</v>
      </c>
      <c r="E84" s="2">
        <v>4.1764999999999999</v>
      </c>
      <c r="F84" s="2">
        <v>9.8209999999999997</v>
      </c>
      <c r="G84" s="2">
        <v>7.3800999999999997</v>
      </c>
      <c r="H84" s="2">
        <v>1.0561</v>
      </c>
      <c r="I84" s="2">
        <v>0.82720000000000005</v>
      </c>
      <c r="J84">
        <v>34.278630774731603</v>
      </c>
      <c r="K84">
        <v>3.2075829472734601</v>
      </c>
      <c r="L84" s="2">
        <v>3.7490999999999999</v>
      </c>
      <c r="M84" s="2">
        <v>0.83850000000000002</v>
      </c>
      <c r="N84" s="2">
        <v>9.3434000000000008</v>
      </c>
      <c r="O84" s="2">
        <v>0.46729999999999999</v>
      </c>
      <c r="P84" s="2">
        <v>2.2370999999999999</v>
      </c>
      <c r="Q84" s="2">
        <v>9.2949000000000002</v>
      </c>
      <c r="R84" s="2">
        <v>9.3345765863038501</v>
      </c>
      <c r="S84" s="2">
        <v>1.3531794582265999</v>
      </c>
      <c r="T84" s="2">
        <v>7.0277162445684302</v>
      </c>
      <c r="U84" s="2">
        <v>70.412899999999993</v>
      </c>
      <c r="V84" s="2">
        <v>16.728352770351201</v>
      </c>
      <c r="W84" s="2">
        <v>5.7420876551730302</v>
      </c>
      <c r="X84" s="2">
        <v>107.40322433531999</v>
      </c>
      <c r="Y84" s="2">
        <v>4.8657616509146306</v>
      </c>
      <c r="Z84" s="4">
        <v>6.9</v>
      </c>
      <c r="AA84" s="4">
        <v>8.2000000000000011</v>
      </c>
      <c r="AB84" s="2">
        <v>1.6</v>
      </c>
      <c r="AC84" s="2">
        <v>16.3</v>
      </c>
      <c r="AD84" s="2">
        <v>3.9000000000000057</v>
      </c>
      <c r="AE84" s="2">
        <v>0</v>
      </c>
    </row>
    <row r="85" spans="1:31" x14ac:dyDescent="0.25">
      <c r="A85" s="2" t="s">
        <v>459</v>
      </c>
      <c r="B85" s="2">
        <v>2019</v>
      </c>
      <c r="C85" s="2" t="s">
        <v>460</v>
      </c>
      <c r="D85" s="2" t="s">
        <v>311</v>
      </c>
      <c r="E85" s="2">
        <v>4.01</v>
      </c>
      <c r="F85" s="2">
        <v>10.0809</v>
      </c>
      <c r="G85" s="2">
        <v>6.3993000000000002</v>
      </c>
      <c r="H85" s="2">
        <v>1.0778000000000001</v>
      </c>
      <c r="I85" s="2">
        <v>0.7238</v>
      </c>
      <c r="J85">
        <v>33.443644156991397</v>
      </c>
      <c r="K85">
        <v>7.27049568778473</v>
      </c>
      <c r="L85" s="2">
        <v>2.6833999999999998</v>
      </c>
      <c r="M85" s="2">
        <v>0.94140000000000001</v>
      </c>
      <c r="N85" s="2">
        <v>14.386799999999999</v>
      </c>
      <c r="O85" s="2">
        <v>0.5181</v>
      </c>
      <c r="P85" s="2">
        <v>2.8729</v>
      </c>
      <c r="Q85" s="2">
        <v>17.023900000000001</v>
      </c>
      <c r="R85" s="2">
        <v>9.1876715919312097</v>
      </c>
      <c r="S85" s="2">
        <v>15.9635595848336</v>
      </c>
      <c r="T85" s="2">
        <v>7.4174794864063802</v>
      </c>
      <c r="U85" s="2">
        <v>74.195400000000006</v>
      </c>
      <c r="V85" s="2">
        <v>24.0000562711401</v>
      </c>
      <c r="W85" s="2">
        <v>8.2404059628097706</v>
      </c>
      <c r="X85" s="2">
        <v>106.73684552059399</v>
      </c>
      <c r="Y85" s="2">
        <v>11.1806736226917</v>
      </c>
      <c r="Z85" s="4">
        <v>6</v>
      </c>
      <c r="AA85" s="4">
        <v>8.6999999999999993</v>
      </c>
      <c r="AB85" s="2">
        <v>2.9</v>
      </c>
      <c r="AC85" s="2">
        <v>15.6</v>
      </c>
      <c r="AD85" s="2">
        <v>5.2000000000000028</v>
      </c>
      <c r="AE85" s="2">
        <v>0</v>
      </c>
    </row>
    <row r="86" spans="1:31" x14ac:dyDescent="0.25">
      <c r="A86" s="2" t="s">
        <v>463</v>
      </c>
      <c r="B86" s="2">
        <v>2014</v>
      </c>
      <c r="C86" s="2" t="s">
        <v>464</v>
      </c>
      <c r="D86" s="2" t="s">
        <v>311</v>
      </c>
      <c r="E86" s="2">
        <v>3.5385</v>
      </c>
      <c r="F86" s="2">
        <v>17.805800000000001</v>
      </c>
      <c r="G86" s="2">
        <v>2.2006000000000001</v>
      </c>
      <c r="H86" s="2">
        <v>0.94910000000000005</v>
      </c>
      <c r="I86" s="2">
        <v>0.54390000000000005</v>
      </c>
      <c r="J86">
        <v>11.365158701122601</v>
      </c>
      <c r="K86">
        <v>-6.3069637572534001</v>
      </c>
      <c r="L86" s="2">
        <v>3.2924000000000002</v>
      </c>
      <c r="M86" s="2">
        <v>1.4997</v>
      </c>
      <c r="N86" s="2">
        <v>14.428800000000001</v>
      </c>
      <c r="O86" s="2">
        <v>1.1468</v>
      </c>
      <c r="P86" s="2">
        <v>5.2098000000000004</v>
      </c>
      <c r="Q86" s="2">
        <v>19.694800000000001</v>
      </c>
      <c r="R86" s="2">
        <v>2.9029929745657501</v>
      </c>
      <c r="S86" s="2">
        <v>33.7192120562692</v>
      </c>
      <c r="T86" s="2">
        <v>18.7105843740034</v>
      </c>
      <c r="U86" s="2">
        <v>89.743399999999994</v>
      </c>
      <c r="V86" s="2">
        <v>8.5094090132829301</v>
      </c>
      <c r="W86" s="2">
        <v>1.5086235565572801</v>
      </c>
      <c r="X86" s="2">
        <v>66.847622407278891</v>
      </c>
      <c r="Y86" s="2">
        <v>-5.6497195861736893</v>
      </c>
      <c r="Z86" s="4">
        <v>7.3</v>
      </c>
      <c r="AA86" s="4">
        <v>12.2</v>
      </c>
      <c r="AB86" s="2">
        <v>2</v>
      </c>
      <c r="AC86" s="2">
        <v>16.899999999999999</v>
      </c>
      <c r="AD86" s="2">
        <v>9.5999999999999943</v>
      </c>
      <c r="AE86" s="2">
        <v>0</v>
      </c>
    </row>
    <row r="87" spans="1:31" x14ac:dyDescent="0.25">
      <c r="A87" s="2" t="s">
        <v>463</v>
      </c>
      <c r="B87" s="2">
        <v>2017</v>
      </c>
      <c r="C87" s="2" t="s">
        <v>464</v>
      </c>
      <c r="D87" s="2" t="s">
        <v>311</v>
      </c>
      <c r="E87" s="2">
        <v>2.6135000000000002</v>
      </c>
      <c r="F87" s="2">
        <v>9.5603999999999996</v>
      </c>
      <c r="G87" s="2">
        <v>2.9554999999999998</v>
      </c>
      <c r="H87" s="2">
        <v>1.0654999999999999</v>
      </c>
      <c r="I87" s="2">
        <v>0.60450000000000004</v>
      </c>
      <c r="J87">
        <v>16.426078693157301</v>
      </c>
      <c r="K87">
        <v>3.54696807494647</v>
      </c>
      <c r="L87" s="2">
        <v>1.5965</v>
      </c>
      <c r="M87" s="2">
        <v>0.78639999999999999</v>
      </c>
      <c r="N87" s="2">
        <v>13.4749</v>
      </c>
      <c r="O87" s="2">
        <v>0.62870000000000004</v>
      </c>
      <c r="P87" s="2">
        <v>2.8401999999999998</v>
      </c>
      <c r="Q87" s="2">
        <v>10.143000000000001</v>
      </c>
      <c r="R87" s="2">
        <v>7.7729511830342499</v>
      </c>
      <c r="S87" s="2">
        <v>17.0669823544882</v>
      </c>
      <c r="T87" s="2">
        <v>8.8493345763275801</v>
      </c>
      <c r="U87" s="2">
        <v>85.694900000000004</v>
      </c>
      <c r="V87" s="2">
        <v>11.4839175307388</v>
      </c>
      <c r="W87" s="2">
        <v>3.3097398744563198</v>
      </c>
      <c r="X87" s="2">
        <v>85.430952659613496</v>
      </c>
      <c r="Y87" s="2">
        <v>5.2326928152783694</v>
      </c>
      <c r="Z87" s="4">
        <v>6.9</v>
      </c>
      <c r="AA87" s="4">
        <v>8.2000000000000011</v>
      </c>
      <c r="AB87" s="2">
        <v>1.6</v>
      </c>
      <c r="AC87" s="2">
        <v>16.3</v>
      </c>
      <c r="AD87" s="2">
        <v>3.9000000000000057</v>
      </c>
      <c r="AE87" s="2">
        <v>0</v>
      </c>
    </row>
    <row r="88" spans="1:31" x14ac:dyDescent="0.25">
      <c r="A88" s="2" t="s">
        <v>463</v>
      </c>
      <c r="B88" s="2">
        <v>2019</v>
      </c>
      <c r="C88" s="2" t="s">
        <v>464</v>
      </c>
      <c r="D88" s="2" t="s">
        <v>311</v>
      </c>
      <c r="E88" s="2">
        <v>2.1869999999999998</v>
      </c>
      <c r="F88" s="2">
        <v>9.4128000000000007</v>
      </c>
      <c r="G88" s="2">
        <v>2.8222999999999998</v>
      </c>
      <c r="H88" s="2">
        <v>1.0333000000000001</v>
      </c>
      <c r="I88" s="2">
        <v>0.62749999999999995</v>
      </c>
      <c r="J88">
        <v>18.960675208131999</v>
      </c>
      <c r="K88">
        <v>-3.7691583399255602</v>
      </c>
      <c r="L88" s="2">
        <v>1.8541000000000001</v>
      </c>
      <c r="M88" s="2">
        <v>0.81859999999999999</v>
      </c>
      <c r="N88" s="2">
        <v>17.7576</v>
      </c>
      <c r="O88" s="2">
        <v>0.58220000000000005</v>
      </c>
      <c r="P88" s="2">
        <v>2.7772000000000001</v>
      </c>
      <c r="Q88" s="2">
        <v>23.9162</v>
      </c>
      <c r="R88" s="2">
        <v>26.711590562376401</v>
      </c>
      <c r="S88" s="2">
        <v>31.695230156817601</v>
      </c>
      <c r="T88" s="2">
        <v>54.538543351934401</v>
      </c>
      <c r="U88" s="2">
        <v>84.054299999999998</v>
      </c>
      <c r="V88" s="2">
        <v>17.5809650531457</v>
      </c>
      <c r="W88" s="2">
        <v>5.4544291886425098</v>
      </c>
      <c r="X88" s="2">
        <v>85.9081520231219</v>
      </c>
      <c r="Y88" s="2">
        <v>-6.2004215156978706</v>
      </c>
      <c r="Z88" s="4">
        <v>6</v>
      </c>
      <c r="AA88" s="4">
        <v>8.6999999999999993</v>
      </c>
      <c r="AB88" s="2">
        <v>2.9</v>
      </c>
      <c r="AC88" s="2">
        <v>15.6</v>
      </c>
      <c r="AD88" s="2">
        <v>5.2000000000000028</v>
      </c>
      <c r="AE88" s="2">
        <v>0</v>
      </c>
    </row>
    <row r="89" spans="1:31" x14ac:dyDescent="0.25">
      <c r="A89" s="2" t="s">
        <v>465</v>
      </c>
      <c r="B89" s="2">
        <v>2016</v>
      </c>
      <c r="C89" s="2" t="s">
        <v>466</v>
      </c>
      <c r="D89" s="2" t="s">
        <v>299</v>
      </c>
      <c r="E89" s="2">
        <v>2.6267999999999998</v>
      </c>
      <c r="F89" s="2">
        <v>8.1340000000000003</v>
      </c>
      <c r="G89" s="2">
        <v>3.4754</v>
      </c>
      <c r="H89" s="2">
        <v>1.3765000000000001</v>
      </c>
      <c r="I89" s="2">
        <v>0.62739999999999996</v>
      </c>
      <c r="J89">
        <v>28.069367271845302</v>
      </c>
      <c r="K89">
        <v>-3.8167773196886898</v>
      </c>
      <c r="L89" s="2">
        <v>1.1407</v>
      </c>
      <c r="M89" s="2">
        <v>0.68179999999999996</v>
      </c>
      <c r="N89" s="2">
        <v>44.6755</v>
      </c>
      <c r="O89" s="2">
        <v>0.51549999999999996</v>
      </c>
      <c r="P89" s="2">
        <v>8.6808999999999994</v>
      </c>
      <c r="Q89" s="2">
        <v>62.525599999999997</v>
      </c>
      <c r="R89" s="2">
        <v>34.848438132560503</v>
      </c>
      <c r="S89" s="2">
        <v>12.2617620231483</v>
      </c>
      <c r="T89" s="2">
        <v>12.4907711363342</v>
      </c>
      <c r="U89" s="2">
        <v>86.487499999999997</v>
      </c>
      <c r="V89" s="2">
        <v>30.207193633710698</v>
      </c>
      <c r="W89" s="2">
        <v>9.3863971393627494</v>
      </c>
      <c r="X89" s="2">
        <v>103.829700369623</v>
      </c>
      <c r="Y89" s="2">
        <v>-6.7734130577855201</v>
      </c>
      <c r="Z89" s="4">
        <v>6.7</v>
      </c>
      <c r="AA89" s="4">
        <v>11.3</v>
      </c>
      <c r="AB89" s="2">
        <v>2</v>
      </c>
      <c r="AC89" s="2">
        <v>15.9</v>
      </c>
      <c r="AD89" s="2">
        <v>5.7000000000000028</v>
      </c>
      <c r="AE89" s="2">
        <v>0</v>
      </c>
    </row>
    <row r="90" spans="1:31" x14ac:dyDescent="0.25">
      <c r="A90" s="2" t="s">
        <v>467</v>
      </c>
      <c r="B90" s="2">
        <v>2016</v>
      </c>
      <c r="C90" s="2" t="s">
        <v>468</v>
      </c>
      <c r="D90" s="2" t="s">
        <v>299</v>
      </c>
      <c r="E90" s="2">
        <v>4.9562999999999997</v>
      </c>
      <c r="F90" s="2">
        <v>14.056800000000001</v>
      </c>
      <c r="G90" s="2">
        <v>3.5617000000000001</v>
      </c>
      <c r="H90" s="2">
        <v>1.6513</v>
      </c>
      <c r="I90" s="2">
        <v>0.70599999999999996</v>
      </c>
      <c r="J90">
        <v>19.009791013002602</v>
      </c>
      <c r="K90">
        <v>-5.1606430110868402</v>
      </c>
      <c r="L90" s="2">
        <v>2.2229000000000001</v>
      </c>
      <c r="M90" s="2">
        <v>1.5094000000000001</v>
      </c>
      <c r="N90" s="2">
        <v>130.12309999999999</v>
      </c>
      <c r="O90" s="2">
        <v>1.2891999999999999</v>
      </c>
      <c r="P90" s="2">
        <v>47.851300000000002</v>
      </c>
      <c r="Q90" s="2">
        <v>14.6938</v>
      </c>
      <c r="R90" s="2">
        <v>10.824175150900301</v>
      </c>
      <c r="S90" s="2">
        <v>27.145988380261102</v>
      </c>
      <c r="T90" s="2">
        <v>12.706424472152101</v>
      </c>
      <c r="U90" s="2">
        <v>74.190799999999996</v>
      </c>
      <c r="V90" s="2">
        <v>22.8882519447235</v>
      </c>
      <c r="W90" s="2">
        <v>27.9498776047412</v>
      </c>
      <c r="X90" s="2">
        <v>113.126396599801</v>
      </c>
      <c r="Y90" s="2">
        <v>-3.3246914374976599</v>
      </c>
      <c r="Z90" s="4">
        <v>6.7</v>
      </c>
      <c r="AA90" s="4">
        <v>11.3</v>
      </c>
      <c r="AB90" s="2">
        <v>2</v>
      </c>
      <c r="AC90" s="2">
        <v>15.9</v>
      </c>
      <c r="AD90" s="2">
        <v>5.7000000000000028</v>
      </c>
      <c r="AE90" s="2">
        <v>0</v>
      </c>
    </row>
    <row r="91" spans="1:31" x14ac:dyDescent="0.25">
      <c r="A91" s="2" t="s">
        <v>467</v>
      </c>
      <c r="B91" s="2">
        <v>2018</v>
      </c>
      <c r="C91" s="2" t="s">
        <v>468</v>
      </c>
      <c r="D91" s="2" t="s">
        <v>299</v>
      </c>
      <c r="E91" s="2">
        <v>6.2149999999999999</v>
      </c>
      <c r="F91" s="2">
        <v>18.2578</v>
      </c>
      <c r="G91" s="2">
        <v>3.7361</v>
      </c>
      <c r="H91" s="2">
        <v>1.7473000000000001</v>
      </c>
      <c r="I91" s="2">
        <v>0.52370000000000005</v>
      </c>
      <c r="J91">
        <v>22.022860978908</v>
      </c>
      <c r="K91">
        <v>2.93202828358783</v>
      </c>
      <c r="L91" s="2">
        <v>2.3208000000000002</v>
      </c>
      <c r="M91" s="2">
        <v>1.6332</v>
      </c>
      <c r="N91" s="2">
        <v>173.34979999999999</v>
      </c>
      <c r="O91" s="2">
        <v>1.4278</v>
      </c>
      <c r="P91" s="2">
        <v>56.082299999999996</v>
      </c>
      <c r="Q91" s="2">
        <v>27.846599999999999</v>
      </c>
      <c r="R91" s="2">
        <v>58.147426824893103</v>
      </c>
      <c r="S91" s="2">
        <v>23.954567008349301</v>
      </c>
      <c r="T91" s="2">
        <v>16.632733055216399</v>
      </c>
      <c r="U91" s="2">
        <v>74.974999999999994</v>
      </c>
      <c r="V91" s="2">
        <v>24.033549059354101</v>
      </c>
      <c r="W91" s="2">
        <v>29.063733009012601</v>
      </c>
      <c r="X91" s="2">
        <v>110.222231316829</v>
      </c>
      <c r="Y91" s="2">
        <v>1.7049128929048503</v>
      </c>
      <c r="Z91" s="4">
        <v>6.6000000000000005</v>
      </c>
      <c r="AA91" s="4">
        <v>8.1</v>
      </c>
      <c r="AB91" s="2">
        <v>2.1</v>
      </c>
      <c r="AC91" s="2">
        <v>12.5</v>
      </c>
      <c r="AD91" s="2">
        <v>6.0999999999999943</v>
      </c>
      <c r="AE91" s="2">
        <v>0</v>
      </c>
    </row>
    <row r="92" spans="1:31" x14ac:dyDescent="0.25">
      <c r="A92" s="2" t="s">
        <v>467</v>
      </c>
      <c r="B92" s="2">
        <v>2021</v>
      </c>
      <c r="C92" s="2" t="s">
        <v>468</v>
      </c>
      <c r="D92" s="2" t="s">
        <v>299</v>
      </c>
      <c r="E92" s="2">
        <v>3.4906000000000001</v>
      </c>
      <c r="F92" s="2">
        <v>13.668200000000001</v>
      </c>
      <c r="G92" s="2">
        <v>2.2098</v>
      </c>
      <c r="H92" s="2">
        <v>1.5458000000000001</v>
      </c>
      <c r="I92" s="2">
        <v>0.57230000000000003</v>
      </c>
      <c r="J92">
        <v>25.5573266769259</v>
      </c>
      <c r="K92">
        <v>8.7842125456289E-2</v>
      </c>
      <c r="L92" s="2">
        <v>2.3933</v>
      </c>
      <c r="M92" s="2">
        <v>1.5744</v>
      </c>
      <c r="N92" s="2">
        <v>269.50549999999998</v>
      </c>
      <c r="O92" s="2">
        <v>1.4305000000000001</v>
      </c>
      <c r="P92" s="2">
        <v>110.7226</v>
      </c>
      <c r="Q92" s="2">
        <v>64.313599999999994</v>
      </c>
      <c r="R92" s="2">
        <v>33.982827812454197</v>
      </c>
      <c r="S92" s="2">
        <v>55.611139254379999</v>
      </c>
      <c r="T92" s="2">
        <v>32.450846655309398</v>
      </c>
      <c r="U92" s="2">
        <v>77.273499999999999</v>
      </c>
      <c r="V92" s="2">
        <v>18.143171508264601</v>
      </c>
      <c r="W92" s="2">
        <v>48.669460644524598</v>
      </c>
      <c r="X92" s="2">
        <v>122.555447594128</v>
      </c>
      <c r="Y92" s="2">
        <v>5.7772754668226803E-2</v>
      </c>
      <c r="Z92" s="4">
        <v>8.4</v>
      </c>
      <c r="AA92" s="4">
        <v>9</v>
      </c>
      <c r="AB92" s="2">
        <v>0.9</v>
      </c>
      <c r="AC92" s="2">
        <v>20.9</v>
      </c>
      <c r="AD92" s="2">
        <v>9.0999999999999943</v>
      </c>
      <c r="AE92" s="2">
        <v>0</v>
      </c>
    </row>
    <row r="93" spans="1:31" x14ac:dyDescent="0.25">
      <c r="A93" s="2" t="s">
        <v>469</v>
      </c>
      <c r="B93" s="2">
        <v>2019</v>
      </c>
      <c r="C93" s="2" t="s">
        <v>470</v>
      </c>
      <c r="D93" s="2" t="s">
        <v>299</v>
      </c>
      <c r="E93" s="2">
        <v>6.2308000000000003</v>
      </c>
      <c r="F93" s="2">
        <v>11.1511</v>
      </c>
      <c r="G93" s="2">
        <v>1.3696999999999999</v>
      </c>
      <c r="H93" s="2">
        <v>1.1380999999999999</v>
      </c>
      <c r="I93" s="2">
        <v>0.77159999999999995</v>
      </c>
      <c r="J93">
        <v>33.690816655137901</v>
      </c>
      <c r="K93">
        <v>8.5863066566546795</v>
      </c>
      <c r="L93" s="2">
        <v>18.315300000000001</v>
      </c>
      <c r="M93" s="2">
        <v>6.1954000000000002</v>
      </c>
      <c r="N93" s="2">
        <v>49.6571</v>
      </c>
      <c r="O93" s="2">
        <v>4.0016999999999996</v>
      </c>
      <c r="P93" s="2">
        <v>51.123899999999999</v>
      </c>
      <c r="Q93" s="2">
        <v>19.470700000000001</v>
      </c>
      <c r="R93" s="2">
        <v>14.208074745252899</v>
      </c>
      <c r="S93" s="2">
        <v>8.45904146584326</v>
      </c>
      <c r="T93" s="2">
        <v>5.4325079431716503</v>
      </c>
      <c r="U93" s="2">
        <v>67.1554</v>
      </c>
      <c r="V93" s="2">
        <v>9.6017389218038591</v>
      </c>
      <c r="W93" s="2">
        <v>4.2723741718509203</v>
      </c>
      <c r="X93" s="2">
        <v>109.980048216122</v>
      </c>
      <c r="Y93" s="2">
        <v>1.5011409913784199</v>
      </c>
      <c r="Z93" s="4">
        <v>6</v>
      </c>
      <c r="AA93" s="4">
        <v>8.6999999999999993</v>
      </c>
      <c r="AB93" s="2">
        <v>2.9</v>
      </c>
      <c r="AC93" s="2">
        <v>15.6</v>
      </c>
      <c r="AD93" s="2">
        <v>4.7999999999999972</v>
      </c>
      <c r="AE93" s="2">
        <v>0</v>
      </c>
    </row>
    <row r="94" spans="1:31" x14ac:dyDescent="0.25">
      <c r="A94" s="2" t="s">
        <v>469</v>
      </c>
      <c r="B94" s="2">
        <v>2021</v>
      </c>
      <c r="C94" s="2" t="s">
        <v>470</v>
      </c>
      <c r="D94" s="2" t="s">
        <v>299</v>
      </c>
      <c r="E94" s="2">
        <v>7.4474999999999998</v>
      </c>
      <c r="F94" s="2">
        <v>13.9191</v>
      </c>
      <c r="G94" s="2">
        <v>1.3134999999999999</v>
      </c>
      <c r="H94" s="2">
        <v>1.0849</v>
      </c>
      <c r="I94" s="2">
        <v>0.73519999999999996</v>
      </c>
      <c r="J94">
        <v>29.424862118538801</v>
      </c>
      <c r="K94">
        <v>4.8977211239973997</v>
      </c>
      <c r="L94" s="2">
        <v>20.930900000000001</v>
      </c>
      <c r="M94" s="2">
        <v>6.9951999999999996</v>
      </c>
      <c r="N94" s="2">
        <v>64.973600000000005</v>
      </c>
      <c r="O94" s="2">
        <v>4.7652000000000001</v>
      </c>
      <c r="P94" s="2">
        <v>48.405999999999999</v>
      </c>
      <c r="Q94" s="2">
        <v>39.123399999999997</v>
      </c>
      <c r="R94" s="2">
        <v>42.617089877330301</v>
      </c>
      <c r="S94" s="2">
        <v>21.3750836833505</v>
      </c>
      <c r="T94" s="2">
        <v>13.016364786712201</v>
      </c>
      <c r="U94" s="2">
        <v>69.640900000000002</v>
      </c>
      <c r="V94" s="2">
        <v>5.5639712495564595</v>
      </c>
      <c r="W94" s="2">
        <v>4.3633372442559599</v>
      </c>
      <c r="X94" s="2">
        <v>111.30385845616499</v>
      </c>
      <c r="Y94" s="2">
        <v>0.78565116695163295</v>
      </c>
      <c r="Z94" s="4">
        <v>8.4</v>
      </c>
      <c r="AA94" s="4">
        <v>9</v>
      </c>
      <c r="AB94" s="2">
        <v>0.9</v>
      </c>
      <c r="AC94" s="2">
        <v>20.9</v>
      </c>
      <c r="AD94" s="2">
        <v>9.0999999999999943</v>
      </c>
      <c r="AE94" s="2">
        <v>0</v>
      </c>
    </row>
    <row r="95" spans="1:31" x14ac:dyDescent="0.25">
      <c r="A95" s="2" t="s">
        <v>471</v>
      </c>
      <c r="B95" s="2">
        <v>2020</v>
      </c>
      <c r="C95" s="2" t="s">
        <v>472</v>
      </c>
      <c r="D95" s="2" t="s">
        <v>299</v>
      </c>
      <c r="E95" s="2">
        <v>4.5373000000000001</v>
      </c>
      <c r="F95" s="2">
        <v>10.250500000000001</v>
      </c>
      <c r="G95" s="2">
        <v>1.0624</v>
      </c>
      <c r="H95" s="2">
        <v>1.4822</v>
      </c>
      <c r="I95" s="2">
        <v>0.69950000000000001</v>
      </c>
      <c r="J95">
        <v>25.295073163147404</v>
      </c>
      <c r="K95">
        <v>-2.1446294267199297</v>
      </c>
      <c r="L95" s="2">
        <v>7.681</v>
      </c>
      <c r="M95" s="2">
        <v>4.2137000000000002</v>
      </c>
      <c r="N95" s="2">
        <v>145.79179999999999</v>
      </c>
      <c r="O95" s="2">
        <v>3.4609000000000001</v>
      </c>
      <c r="P95" s="2">
        <v>99.255799999999994</v>
      </c>
      <c r="Q95" s="2">
        <v>61.345599999999997</v>
      </c>
      <c r="R95" s="2">
        <v>18.308035987695899</v>
      </c>
      <c r="S95" s="2">
        <v>26.7601681219145</v>
      </c>
      <c r="T95" s="2">
        <v>5.7204191816607199</v>
      </c>
      <c r="U95" s="2">
        <v>69.261300000000006</v>
      </c>
      <c r="V95" s="2">
        <v>12.987537752883499</v>
      </c>
      <c r="W95" s="2">
        <v>13.398376459465201</v>
      </c>
      <c r="X95" s="2">
        <v>109.71173938328501</v>
      </c>
      <c r="Y95" s="2">
        <v>-0.47984315275581096</v>
      </c>
      <c r="Z95" s="4">
        <v>2.2999999999999998</v>
      </c>
      <c r="AA95" s="4">
        <v>10.100000000000001</v>
      </c>
      <c r="AB95" s="2">
        <v>2.5</v>
      </c>
      <c r="AC95" s="2">
        <v>16.100000000000001</v>
      </c>
      <c r="AD95" s="2">
        <v>2.4000000000000057</v>
      </c>
      <c r="AE95" s="2">
        <v>0</v>
      </c>
    </row>
    <row r="96" spans="1:31" x14ac:dyDescent="0.25">
      <c r="A96" s="2" t="s">
        <v>473</v>
      </c>
      <c r="B96" s="2">
        <v>2014</v>
      </c>
      <c r="C96" s="2" t="s">
        <v>474</v>
      </c>
      <c r="D96" s="2" t="s">
        <v>298</v>
      </c>
      <c r="E96" s="2">
        <v>5.4234</v>
      </c>
      <c r="F96" s="2">
        <v>9.3628999999999998</v>
      </c>
      <c r="G96" s="2">
        <v>12.6844</v>
      </c>
      <c r="H96" s="2">
        <v>1.6497999999999999</v>
      </c>
      <c r="I96" s="2">
        <v>0.65169999999999995</v>
      </c>
      <c r="J96">
        <v>44.212528283423005</v>
      </c>
      <c r="K96">
        <v>5.1248893827162396</v>
      </c>
      <c r="L96" s="2">
        <v>0.49580000000000002</v>
      </c>
      <c r="M96" s="2">
        <v>0.44090000000000001</v>
      </c>
      <c r="N96" s="2">
        <v>2.6655000000000002</v>
      </c>
      <c r="O96" s="2">
        <v>0.30430000000000001</v>
      </c>
      <c r="P96" s="2">
        <v>5.4909999999999997</v>
      </c>
      <c r="Q96" s="2">
        <v>7.4855</v>
      </c>
      <c r="R96" s="2">
        <v>6.3936326740298597</v>
      </c>
      <c r="S96" s="2">
        <v>8.1818280401032304</v>
      </c>
      <c r="T96" s="2">
        <v>2.3675792730395799</v>
      </c>
      <c r="U96" s="2">
        <v>62.8934</v>
      </c>
      <c r="V96" s="2">
        <v>21.1239885488948</v>
      </c>
      <c r="W96" s="2">
        <v>3.3023298675397399</v>
      </c>
      <c r="X96" s="2">
        <v>101.091843050157</v>
      </c>
      <c r="Y96" s="2">
        <v>11.008636708101099</v>
      </c>
      <c r="Z96" s="4">
        <v>7.3</v>
      </c>
      <c r="AA96" s="4">
        <v>12.2</v>
      </c>
      <c r="AB96" s="2">
        <v>2</v>
      </c>
      <c r="AC96" s="2">
        <v>16.899999999999999</v>
      </c>
      <c r="AD96" s="2">
        <v>6.7000000000000028</v>
      </c>
      <c r="AE96" s="2">
        <v>0</v>
      </c>
    </row>
    <row r="97" spans="1:31" x14ac:dyDescent="0.25">
      <c r="A97" s="2" t="s">
        <v>473</v>
      </c>
      <c r="B97" s="2">
        <v>2016</v>
      </c>
      <c r="C97" s="2" t="s">
        <v>474</v>
      </c>
      <c r="D97" s="2" t="s">
        <v>298</v>
      </c>
      <c r="E97" s="2">
        <v>4.5791000000000004</v>
      </c>
      <c r="F97" s="2">
        <v>5.2408999999999999</v>
      </c>
      <c r="G97" s="2">
        <v>6.9947999999999997</v>
      </c>
      <c r="H97" s="2">
        <v>1.4137</v>
      </c>
      <c r="I97" s="2">
        <v>0.63280000000000003</v>
      </c>
      <c r="J97">
        <v>30.5176981146336</v>
      </c>
      <c r="K97">
        <v>-9.0165216011783803E-2</v>
      </c>
      <c r="L97" s="2">
        <v>0.63500000000000001</v>
      </c>
      <c r="M97" s="2">
        <v>0.48430000000000001</v>
      </c>
      <c r="N97" s="2">
        <v>2.4611999999999998</v>
      </c>
      <c r="O97" s="2">
        <v>0.3246</v>
      </c>
      <c r="P97" s="2">
        <v>5.2849000000000004</v>
      </c>
      <c r="Q97" s="2">
        <v>32.451900000000002</v>
      </c>
      <c r="R97" s="2">
        <v>-54.767080333129002</v>
      </c>
      <c r="S97" s="2">
        <v>19.371787427769998</v>
      </c>
      <c r="T97" s="2">
        <v>0.88043362732331099</v>
      </c>
      <c r="U97" s="2">
        <v>62.379100000000001</v>
      </c>
      <c r="V97" s="2">
        <v>16.253817846026301</v>
      </c>
      <c r="W97" s="2">
        <v>2.7220461064399299</v>
      </c>
      <c r="X97" s="2">
        <v>103.79138256037</v>
      </c>
      <c r="Y97" s="2">
        <v>-0.18967762201972399</v>
      </c>
      <c r="Z97" s="4">
        <v>6.7</v>
      </c>
      <c r="AA97" s="4">
        <v>11.3</v>
      </c>
      <c r="AB97" s="2">
        <v>2</v>
      </c>
      <c r="AC97" s="2">
        <v>15.9</v>
      </c>
      <c r="AD97" s="2">
        <v>5.7000000000000028</v>
      </c>
      <c r="AE97" s="2">
        <v>0</v>
      </c>
    </row>
    <row r="98" spans="1:31" x14ac:dyDescent="0.25">
      <c r="A98" s="2" t="s">
        <v>473</v>
      </c>
      <c r="B98" s="2">
        <v>2018</v>
      </c>
      <c r="C98" s="2" t="s">
        <v>474</v>
      </c>
      <c r="D98" s="2" t="s">
        <v>298</v>
      </c>
      <c r="E98" s="2">
        <v>5.1769999999999996</v>
      </c>
      <c r="F98" s="2">
        <v>4.1631999999999998</v>
      </c>
      <c r="G98" s="2">
        <v>9.1140000000000008</v>
      </c>
      <c r="H98" s="2">
        <v>1.5661</v>
      </c>
      <c r="I98" s="2">
        <v>0.82250000000000001</v>
      </c>
      <c r="J98">
        <v>46.585670176154999</v>
      </c>
      <c r="K98">
        <v>14.0358076594809</v>
      </c>
      <c r="L98" s="2">
        <v>0.79359999999999997</v>
      </c>
      <c r="M98" s="2">
        <v>0.61370000000000002</v>
      </c>
      <c r="N98" s="2">
        <v>2.9796</v>
      </c>
      <c r="O98" s="2">
        <v>0.41320000000000001</v>
      </c>
      <c r="P98" s="2">
        <v>4.7626999999999997</v>
      </c>
      <c r="Q98" s="2">
        <v>63.7316</v>
      </c>
      <c r="R98" s="2">
        <v>105.746593508819</v>
      </c>
      <c r="S98" s="2">
        <v>10.1084112333254</v>
      </c>
      <c r="T98" s="2">
        <v>5.4211726941712897</v>
      </c>
      <c r="U98" s="2">
        <v>64.989599999999996</v>
      </c>
      <c r="V98" s="2">
        <v>21.916837671716799</v>
      </c>
      <c r="W98" s="2">
        <v>2.49767619525861</v>
      </c>
      <c r="X98" s="2">
        <v>83.3414799063533</v>
      </c>
      <c r="Y98" s="2">
        <v>23.241270422499298</v>
      </c>
      <c r="Z98" s="4">
        <v>6.6000000000000005</v>
      </c>
      <c r="AA98" s="4">
        <v>8.1</v>
      </c>
      <c r="AB98" s="2">
        <v>2.1</v>
      </c>
      <c r="AC98" s="2">
        <v>12.5</v>
      </c>
      <c r="AD98" s="2">
        <v>6.0999999999999943</v>
      </c>
      <c r="AE98" s="2">
        <v>0</v>
      </c>
    </row>
    <row r="99" spans="1:31" x14ac:dyDescent="0.25">
      <c r="A99" s="2" t="s">
        <v>473</v>
      </c>
      <c r="B99" s="2">
        <v>2020</v>
      </c>
      <c r="C99" s="2" t="s">
        <v>474</v>
      </c>
      <c r="D99" s="2" t="s">
        <v>298</v>
      </c>
      <c r="E99" s="2">
        <v>6.0488</v>
      </c>
      <c r="F99" s="2">
        <v>10.6249</v>
      </c>
      <c r="G99" s="2">
        <v>13.1898</v>
      </c>
      <c r="H99" s="2">
        <v>1.8320000000000001</v>
      </c>
      <c r="I99" s="2">
        <v>1.0933999999999999</v>
      </c>
      <c r="J99">
        <v>70.0737925658634</v>
      </c>
      <c r="K99">
        <v>3.5201526791860496</v>
      </c>
      <c r="L99" s="2">
        <v>0.78959999999999997</v>
      </c>
      <c r="M99" s="2">
        <v>0.52190000000000003</v>
      </c>
      <c r="N99" s="2">
        <v>2.3024</v>
      </c>
      <c r="O99" s="2">
        <v>0.34360000000000002</v>
      </c>
      <c r="P99" s="2">
        <v>5.4204999999999997</v>
      </c>
      <c r="Q99" s="2">
        <v>-10.455399999999999</v>
      </c>
      <c r="R99" s="2">
        <v>50.000542896637903</v>
      </c>
      <c r="S99" s="2">
        <v>5.4512434273316996</v>
      </c>
      <c r="T99" s="2">
        <v>25.056393690403699</v>
      </c>
      <c r="U99" s="2">
        <v>58.421700000000001</v>
      </c>
      <c r="V99" s="2">
        <v>22.151661204832703</v>
      </c>
      <c r="W99" s="2">
        <v>2.8796155326816599</v>
      </c>
      <c r="X99" s="2">
        <v>89.386130669855206</v>
      </c>
      <c r="Y99" s="2">
        <v>6.1841740459262704</v>
      </c>
      <c r="Z99" s="4">
        <v>2.2999999999999998</v>
      </c>
      <c r="AA99" s="4">
        <v>10.100000000000001</v>
      </c>
      <c r="AB99" s="2">
        <v>2.5</v>
      </c>
      <c r="AC99" s="2">
        <v>16.100000000000001</v>
      </c>
      <c r="AD99" s="2">
        <v>2.4000000000000057</v>
      </c>
      <c r="AE99" s="2">
        <v>0</v>
      </c>
    </row>
    <row r="100" spans="1:31" x14ac:dyDescent="0.25">
      <c r="A100" s="2" t="s">
        <v>475</v>
      </c>
      <c r="B100" s="2">
        <v>2014</v>
      </c>
      <c r="C100" s="2" t="s">
        <v>476</v>
      </c>
      <c r="D100" s="2" t="s">
        <v>298</v>
      </c>
      <c r="E100" s="2">
        <v>4.6188000000000002</v>
      </c>
      <c r="F100" s="2">
        <v>9.7723999999999993</v>
      </c>
      <c r="G100" s="2">
        <v>12.5886</v>
      </c>
      <c r="H100" s="2">
        <v>1.0674999999999999</v>
      </c>
      <c r="I100" s="2">
        <v>0.32979999999999998</v>
      </c>
      <c r="J100">
        <v>26.9126923109567</v>
      </c>
      <c r="K100">
        <v>1.4545994175921899</v>
      </c>
      <c r="L100" s="2">
        <v>0.58209999999999995</v>
      </c>
      <c r="M100" s="2">
        <v>0.52600000000000002</v>
      </c>
      <c r="N100" s="2">
        <v>5.9741999999999997</v>
      </c>
      <c r="O100" s="2">
        <v>0.3034</v>
      </c>
      <c r="P100" s="2">
        <v>22.280799999999999</v>
      </c>
      <c r="Q100" s="2">
        <v>14.041399999999999</v>
      </c>
      <c r="R100" s="2">
        <v>28.4123932099893</v>
      </c>
      <c r="S100" s="2">
        <v>4.6154117488052204</v>
      </c>
      <c r="T100" s="2">
        <v>64.723698785379497</v>
      </c>
      <c r="U100" s="2">
        <v>64.582599999999999</v>
      </c>
      <c r="V100" s="2">
        <v>11.7476963596181</v>
      </c>
      <c r="W100" s="2">
        <v>5.4916102888181397</v>
      </c>
      <c r="X100" s="2">
        <v>98.280347065914697</v>
      </c>
      <c r="Y100" s="2">
        <v>3.16602449384912</v>
      </c>
      <c r="Z100" s="4">
        <v>7.3</v>
      </c>
      <c r="AA100" s="4">
        <v>12.2</v>
      </c>
      <c r="AB100" s="2">
        <v>2</v>
      </c>
      <c r="AC100" s="2">
        <v>16.899999999999999</v>
      </c>
      <c r="AD100" s="2">
        <v>6.7000000000000028</v>
      </c>
      <c r="AE100" s="2">
        <v>0</v>
      </c>
    </row>
    <row r="101" spans="1:31" x14ac:dyDescent="0.25">
      <c r="A101" s="2" t="s">
        <v>475</v>
      </c>
      <c r="B101" s="2">
        <v>2016</v>
      </c>
      <c r="C101" s="2" t="s">
        <v>476</v>
      </c>
      <c r="D101" s="2" t="s">
        <v>298</v>
      </c>
      <c r="E101" s="2">
        <v>4.3236999999999997</v>
      </c>
      <c r="F101" s="2">
        <v>7.8395999999999999</v>
      </c>
      <c r="G101" s="2">
        <v>11.9398</v>
      </c>
      <c r="H101" s="2">
        <v>1.1953</v>
      </c>
      <c r="I101" s="2">
        <v>0.33389999999999997</v>
      </c>
      <c r="J101">
        <v>21.356372321764301</v>
      </c>
      <c r="K101">
        <v>-2.7042055374913598</v>
      </c>
      <c r="L101" s="2">
        <v>0.53669999999999995</v>
      </c>
      <c r="M101" s="2">
        <v>0.52639999999999998</v>
      </c>
      <c r="N101" s="2">
        <v>8.4201999999999995</v>
      </c>
      <c r="O101" s="2">
        <v>0.29549999999999998</v>
      </c>
      <c r="P101" s="2">
        <v>18.5578</v>
      </c>
      <c r="Q101" s="2">
        <v>7.1829000000000001</v>
      </c>
      <c r="R101" s="2">
        <v>30.4249378783304</v>
      </c>
      <c r="S101" s="2">
        <v>1.18422821257343</v>
      </c>
      <c r="T101" s="2">
        <v>2.4776873151443</v>
      </c>
      <c r="U101" s="2">
        <v>66.909700000000001</v>
      </c>
      <c r="V101" s="2">
        <v>19.872276236763401</v>
      </c>
      <c r="W101" s="2">
        <v>9.6341077591529292</v>
      </c>
      <c r="X101" s="2">
        <v>85.533032367721688</v>
      </c>
      <c r="Y101" s="2">
        <v>-6.1889806572563097</v>
      </c>
      <c r="Z101" s="4">
        <v>6.7</v>
      </c>
      <c r="AA101" s="4">
        <v>11.3</v>
      </c>
      <c r="AB101" s="2">
        <v>2</v>
      </c>
      <c r="AC101" s="2">
        <v>15.9</v>
      </c>
      <c r="AD101" s="2">
        <v>5.7000000000000028</v>
      </c>
      <c r="AE101" s="2">
        <v>0</v>
      </c>
    </row>
    <row r="102" spans="1:31" x14ac:dyDescent="0.25">
      <c r="A102" s="2" t="s">
        <v>475</v>
      </c>
      <c r="B102" s="2">
        <v>2018</v>
      </c>
      <c r="C102" s="2" t="s">
        <v>476</v>
      </c>
      <c r="D102" s="2" t="s">
        <v>298</v>
      </c>
      <c r="E102" s="2">
        <v>4.7918000000000003</v>
      </c>
      <c r="F102" s="2">
        <v>8.2538</v>
      </c>
      <c r="G102" s="2">
        <v>15.7011</v>
      </c>
      <c r="H102" s="2">
        <v>0.98670000000000002</v>
      </c>
      <c r="I102" s="2">
        <v>0.35070000000000001</v>
      </c>
      <c r="J102">
        <v>13.5047519298226</v>
      </c>
      <c r="K102">
        <v>3.5130823540538003</v>
      </c>
      <c r="L102" s="2">
        <v>0.55920000000000003</v>
      </c>
      <c r="M102" s="2">
        <v>0.50119999999999998</v>
      </c>
      <c r="N102" s="2">
        <v>7.3560999999999996</v>
      </c>
      <c r="O102" s="2">
        <v>0.25230000000000002</v>
      </c>
      <c r="P102" s="2">
        <v>14.399699999999999</v>
      </c>
      <c r="Q102" s="2">
        <v>-10.9726</v>
      </c>
      <c r="R102" s="2">
        <v>9.8496771532252794</v>
      </c>
      <c r="S102" s="2">
        <v>-0.66615345557461103</v>
      </c>
      <c r="T102" s="2">
        <v>-0.233006178568651</v>
      </c>
      <c r="U102" s="2">
        <v>65.596100000000007</v>
      </c>
      <c r="V102" s="2">
        <v>16.494486873482998</v>
      </c>
      <c r="W102" s="2">
        <v>11.0843490932994</v>
      </c>
      <c r="X102" s="2">
        <v>116.82792483315301</v>
      </c>
      <c r="Y102" s="2">
        <v>9.2890500542984888</v>
      </c>
      <c r="Z102" s="4">
        <v>6.6000000000000005</v>
      </c>
      <c r="AA102" s="4">
        <v>8.1</v>
      </c>
      <c r="AB102" s="2">
        <v>2.1</v>
      </c>
      <c r="AC102" s="2">
        <v>12.5</v>
      </c>
      <c r="AD102" s="2">
        <v>6.0999999999999943</v>
      </c>
      <c r="AE102" s="2">
        <v>0</v>
      </c>
    </row>
    <row r="103" spans="1:31" x14ac:dyDescent="0.25">
      <c r="A103" s="2" t="s">
        <v>475</v>
      </c>
      <c r="B103" s="2">
        <v>2020</v>
      </c>
      <c r="C103" s="2" t="s">
        <v>476</v>
      </c>
      <c r="D103" s="2" t="s">
        <v>298</v>
      </c>
      <c r="E103" s="2">
        <v>3.9918999999999998</v>
      </c>
      <c r="F103" s="2">
        <v>6.7108999999999996</v>
      </c>
      <c r="G103" s="2">
        <v>9.8068000000000008</v>
      </c>
      <c r="H103" s="2">
        <v>1.0861000000000001</v>
      </c>
      <c r="I103" s="2">
        <v>0.41820000000000002</v>
      </c>
      <c r="J103">
        <v>35.3283860957889</v>
      </c>
      <c r="K103">
        <v>14.911801685015499</v>
      </c>
      <c r="L103" s="2">
        <v>0.5927</v>
      </c>
      <c r="M103" s="2">
        <v>0.5363</v>
      </c>
      <c r="N103" s="2">
        <v>12.970499999999999</v>
      </c>
      <c r="O103" s="2">
        <v>0.27579999999999999</v>
      </c>
      <c r="P103" s="2">
        <v>23.000800000000002</v>
      </c>
      <c r="Q103" s="2">
        <v>3.9697</v>
      </c>
      <c r="R103" s="2">
        <v>-16.458459185935101</v>
      </c>
      <c r="S103" s="2">
        <v>12.8943827605923</v>
      </c>
      <c r="T103" s="2">
        <v>3.8711991330950601</v>
      </c>
      <c r="U103" s="2">
        <v>71.407300000000006</v>
      </c>
      <c r="V103" s="2">
        <v>23.87918252739</v>
      </c>
      <c r="W103" s="2">
        <v>14.2990068677494</v>
      </c>
      <c r="X103" s="2">
        <v>112.18157317517901</v>
      </c>
      <c r="Y103" s="2">
        <v>41.2217809660497</v>
      </c>
      <c r="Z103" s="4">
        <v>2.2999999999999998</v>
      </c>
      <c r="AA103" s="4">
        <v>10.100000000000001</v>
      </c>
      <c r="AB103" s="2">
        <v>2.5</v>
      </c>
      <c r="AC103" s="2">
        <v>16.100000000000001</v>
      </c>
      <c r="AD103" s="2">
        <v>2.4000000000000057</v>
      </c>
      <c r="AE103" s="2">
        <v>0</v>
      </c>
    </row>
    <row r="104" spans="1:31" x14ac:dyDescent="0.25">
      <c r="A104" s="2" t="s">
        <v>477</v>
      </c>
      <c r="B104" s="2">
        <v>2014</v>
      </c>
      <c r="C104" s="2" t="s">
        <v>478</v>
      </c>
      <c r="D104" s="2" t="s">
        <v>298</v>
      </c>
      <c r="E104" s="2">
        <v>9.5259</v>
      </c>
      <c r="F104" s="2">
        <v>9.5333000000000006</v>
      </c>
      <c r="G104" s="2">
        <v>166.17490000000001</v>
      </c>
      <c r="H104" s="2">
        <v>4.0204000000000004</v>
      </c>
      <c r="I104" s="2">
        <v>3.7469000000000001</v>
      </c>
      <c r="J104">
        <v>77.8751280371376</v>
      </c>
      <c r="K104">
        <v>-9.0580631039512802</v>
      </c>
      <c r="L104" s="2">
        <v>2.1682999999999999</v>
      </c>
      <c r="M104" s="2">
        <v>0.34689999999999999</v>
      </c>
      <c r="N104" s="2">
        <v>2.1602999999999999</v>
      </c>
      <c r="O104" s="2">
        <v>4.9799999999999997E-2</v>
      </c>
      <c r="P104" s="2">
        <v>5.7792000000000003</v>
      </c>
      <c r="Q104" s="2">
        <v>3.6453000000000002</v>
      </c>
      <c r="R104" s="2">
        <v>-1.6393983848839999</v>
      </c>
      <c r="S104" s="2">
        <v>15.56895548038</v>
      </c>
      <c r="T104" s="2">
        <v>7.46663996616783</v>
      </c>
      <c r="U104" s="2">
        <v>32.527500000000003</v>
      </c>
      <c r="V104" s="2">
        <v>27.483802759787899</v>
      </c>
      <c r="W104" s="2">
        <v>31.623625054725998</v>
      </c>
      <c r="X104" s="2">
        <v>96.329082927803796</v>
      </c>
      <c r="Y104" s="2">
        <v>-63.463960602737004</v>
      </c>
      <c r="Z104" s="4">
        <v>7.3</v>
      </c>
      <c r="AA104" s="4">
        <v>12.2</v>
      </c>
      <c r="AB104" s="2">
        <v>2</v>
      </c>
      <c r="AC104" s="2">
        <v>16.899999999999999</v>
      </c>
      <c r="AD104" s="2">
        <v>6.7000000000000028</v>
      </c>
      <c r="AE104" s="2">
        <v>0</v>
      </c>
    </row>
    <row r="105" spans="1:31" x14ac:dyDescent="0.25">
      <c r="A105" s="2" t="s">
        <v>477</v>
      </c>
      <c r="B105" s="2">
        <v>2016</v>
      </c>
      <c r="C105" s="2" t="s">
        <v>478</v>
      </c>
      <c r="D105" s="2" t="s">
        <v>298</v>
      </c>
      <c r="E105" s="2">
        <v>10.544</v>
      </c>
      <c r="F105" s="2">
        <v>10.4224</v>
      </c>
      <c r="G105" s="2">
        <v>282.30450000000002</v>
      </c>
      <c r="H105" s="2">
        <v>1.3339000000000001</v>
      </c>
      <c r="I105" s="2">
        <v>1.24</v>
      </c>
      <c r="J105">
        <v>45.988407280013199</v>
      </c>
      <c r="K105">
        <v>-6.1592096163869403</v>
      </c>
      <c r="L105" s="2">
        <v>2.2029999999999998</v>
      </c>
      <c r="M105" s="2">
        <v>0.19070000000000001</v>
      </c>
      <c r="N105" s="2">
        <v>2.0712000000000002</v>
      </c>
      <c r="O105" s="2">
        <v>3.39E-2</v>
      </c>
      <c r="P105" s="2">
        <v>3.9962</v>
      </c>
      <c r="Q105" s="2">
        <v>1.9617</v>
      </c>
      <c r="R105" s="2">
        <v>66.900421099205403</v>
      </c>
      <c r="S105" s="2">
        <v>5.90915391908751</v>
      </c>
      <c r="T105" s="2">
        <v>8.5040345232525301</v>
      </c>
      <c r="U105" s="2">
        <v>31.481300000000001</v>
      </c>
      <c r="V105" s="2">
        <v>20.054000348966799</v>
      </c>
      <c r="W105" s="2">
        <v>47.4668690084129</v>
      </c>
      <c r="X105" s="2">
        <v>90.539128755081492</v>
      </c>
      <c r="Y105" s="2">
        <v>-58.824432367830902</v>
      </c>
      <c r="Z105" s="4">
        <v>6.7</v>
      </c>
      <c r="AA105" s="4">
        <v>11.3</v>
      </c>
      <c r="AB105" s="2">
        <v>2</v>
      </c>
      <c r="AC105" s="2">
        <v>15.9</v>
      </c>
      <c r="AD105" s="2">
        <v>5.7000000000000028</v>
      </c>
      <c r="AE105" s="2">
        <v>0</v>
      </c>
    </row>
    <row r="106" spans="1:31" x14ac:dyDescent="0.25">
      <c r="A106" s="2" t="s">
        <v>477</v>
      </c>
      <c r="B106" s="2">
        <v>2018</v>
      </c>
      <c r="C106" s="2" t="s">
        <v>478</v>
      </c>
      <c r="D106" s="2" t="s">
        <v>298</v>
      </c>
      <c r="E106" s="2">
        <v>6.9619</v>
      </c>
      <c r="F106" s="2">
        <v>5.2450999999999999</v>
      </c>
      <c r="G106" s="2">
        <v>147.7901</v>
      </c>
      <c r="H106" s="2">
        <v>1.0667</v>
      </c>
      <c r="I106" s="2">
        <v>1.0005999999999999</v>
      </c>
      <c r="J106">
        <v>41.953087948849102</v>
      </c>
      <c r="K106">
        <v>-6.5914012137305997</v>
      </c>
      <c r="L106" s="2">
        <v>2.2084999999999999</v>
      </c>
      <c r="M106" s="2">
        <v>0.19289999999999999</v>
      </c>
      <c r="N106" s="2">
        <v>1.4554</v>
      </c>
      <c r="O106" s="2">
        <v>3.6499999999999998E-2</v>
      </c>
      <c r="P106" s="2">
        <v>3.9014000000000002</v>
      </c>
      <c r="Q106" s="2">
        <v>-4.9138000000000002</v>
      </c>
      <c r="R106" s="2">
        <v>331.84553635543801</v>
      </c>
      <c r="S106" s="2">
        <v>2.2505567165759399</v>
      </c>
      <c r="T106" s="2">
        <v>3.4001821261608298</v>
      </c>
      <c r="U106" s="2">
        <v>34.812600000000003</v>
      </c>
      <c r="V106" s="2">
        <v>16.021222840751999</v>
      </c>
      <c r="W106" s="2">
        <v>25.775088304590302</v>
      </c>
      <c r="X106" s="2">
        <v>88.283095308608296</v>
      </c>
      <c r="Y106" s="2">
        <v>-63.613797270228702</v>
      </c>
      <c r="Z106" s="4">
        <v>6.6000000000000005</v>
      </c>
      <c r="AA106" s="4">
        <v>8.1</v>
      </c>
      <c r="AB106" s="2">
        <v>2.1</v>
      </c>
      <c r="AC106" s="2">
        <v>12.5</v>
      </c>
      <c r="AD106" s="2">
        <v>6.0999999999999943</v>
      </c>
      <c r="AE106" s="2">
        <v>0</v>
      </c>
    </row>
    <row r="107" spans="1:31" x14ac:dyDescent="0.25">
      <c r="A107" s="2" t="s">
        <v>477</v>
      </c>
      <c r="B107" s="2">
        <v>2020</v>
      </c>
      <c r="C107" s="2" t="s">
        <v>478</v>
      </c>
      <c r="D107" s="2" t="s">
        <v>298</v>
      </c>
      <c r="E107" s="2">
        <v>9.0344999999999995</v>
      </c>
      <c r="F107" s="2">
        <v>9.0761000000000003</v>
      </c>
      <c r="G107" s="2">
        <v>381.77569999999997</v>
      </c>
      <c r="H107" s="2">
        <v>6.3212999999999999</v>
      </c>
      <c r="I107" s="2">
        <v>6.2352999999999996</v>
      </c>
      <c r="J107">
        <v>444.75119304917303</v>
      </c>
      <c r="K107">
        <v>-4.2553506658798801</v>
      </c>
      <c r="L107" s="2">
        <v>1.7235</v>
      </c>
      <c r="M107" s="2">
        <v>6.5799999999999997E-2</v>
      </c>
      <c r="N107" s="2">
        <v>1.1801999999999999</v>
      </c>
      <c r="O107" s="2">
        <v>0.02</v>
      </c>
      <c r="P107" s="2">
        <v>4.3261000000000003</v>
      </c>
      <c r="Q107" s="2">
        <v>-45.769199999999998</v>
      </c>
      <c r="R107" s="2">
        <v>49.934078081131801</v>
      </c>
      <c r="S107" s="2">
        <v>11.4116143765324</v>
      </c>
      <c r="T107" s="2">
        <v>2.5576742240821999</v>
      </c>
      <c r="U107" s="2">
        <v>40.215499999999999</v>
      </c>
      <c r="V107" s="2">
        <v>35.007649346301903</v>
      </c>
      <c r="W107" s="2">
        <v>62.4993830259261</v>
      </c>
      <c r="X107" s="2">
        <v>82.466583799606397</v>
      </c>
      <c r="Y107" s="2">
        <v>-90.321514682081101</v>
      </c>
      <c r="Z107" s="4">
        <v>2.2999999999999998</v>
      </c>
      <c r="AA107" s="4">
        <v>10.100000000000001</v>
      </c>
      <c r="AB107" s="2">
        <v>2.5</v>
      </c>
      <c r="AC107" s="2">
        <v>16.100000000000001</v>
      </c>
      <c r="AD107" s="2">
        <v>2.4000000000000057</v>
      </c>
      <c r="AE107" s="2">
        <v>0</v>
      </c>
    </row>
    <row r="108" spans="1:31" x14ac:dyDescent="0.25">
      <c r="A108" s="2" t="s">
        <v>479</v>
      </c>
      <c r="B108" s="2">
        <v>2020</v>
      </c>
      <c r="C108" s="2" t="s">
        <v>480</v>
      </c>
      <c r="D108" s="2" t="s">
        <v>318</v>
      </c>
      <c r="E108" s="2">
        <v>6.1191000000000004</v>
      </c>
      <c r="F108" s="2">
        <v>11.709199999999999</v>
      </c>
      <c r="G108" s="2">
        <v>12.711499999999999</v>
      </c>
      <c r="H108" s="2">
        <v>0.93810000000000004</v>
      </c>
      <c r="I108" s="2">
        <v>0.89839999999999998</v>
      </c>
      <c r="J108">
        <v>33.449287103471896</v>
      </c>
      <c r="K108">
        <v>8.5757576794484613</v>
      </c>
      <c r="L108" s="2">
        <v>14.9742</v>
      </c>
      <c r="M108" s="2">
        <v>0.99950000000000006</v>
      </c>
      <c r="N108" s="2">
        <v>0.57599999999999996</v>
      </c>
      <c r="O108" s="2">
        <v>0.1946</v>
      </c>
      <c r="P108" s="2">
        <v>3.0343</v>
      </c>
      <c r="Q108" s="2">
        <v>2.4948000000000001</v>
      </c>
      <c r="R108" s="2">
        <v>133.30487746459201</v>
      </c>
      <c r="S108" s="2">
        <v>18.676343320063399</v>
      </c>
      <c r="T108" s="2">
        <v>26.1775567462231</v>
      </c>
      <c r="U108" s="2">
        <v>63.3063</v>
      </c>
      <c r="V108" s="2">
        <v>43.3277674287257</v>
      </c>
      <c r="W108" s="2">
        <v>1.1861181957931599</v>
      </c>
      <c r="X108" s="2">
        <v>103.65198495909999</v>
      </c>
      <c r="Y108" s="2">
        <v>30.274205622584699</v>
      </c>
      <c r="Z108" s="4">
        <v>2.2999999999999998</v>
      </c>
      <c r="AA108" s="4">
        <v>10.100000000000001</v>
      </c>
      <c r="AB108" s="2">
        <v>2.5</v>
      </c>
      <c r="AC108" s="2">
        <v>16.100000000000001</v>
      </c>
      <c r="AD108" s="2">
        <v>2.4000000000000057</v>
      </c>
      <c r="AE108" s="2">
        <v>0</v>
      </c>
    </row>
    <row r="109" spans="1:31" x14ac:dyDescent="0.25">
      <c r="A109" s="2" t="s">
        <v>481</v>
      </c>
      <c r="B109" s="2">
        <v>2019</v>
      </c>
      <c r="C109" s="2" t="s">
        <v>482</v>
      </c>
      <c r="D109" s="2" t="s">
        <v>318</v>
      </c>
      <c r="E109" s="2">
        <v>4.7834000000000003</v>
      </c>
      <c r="F109" s="2">
        <v>5.5056000000000003</v>
      </c>
      <c r="G109" s="2">
        <v>10.504099999999999</v>
      </c>
      <c r="H109" s="2">
        <v>0.39829999999999999</v>
      </c>
      <c r="I109" s="2">
        <v>0.38950000000000001</v>
      </c>
      <c r="J109">
        <v>14.5132674606372</v>
      </c>
      <c r="K109">
        <v>7.3253220526382004</v>
      </c>
      <c r="L109" s="2">
        <v>39.7254</v>
      </c>
      <c r="M109" s="2">
        <v>1.5773999999999999</v>
      </c>
      <c r="N109" s="2">
        <v>0.39250000000000002</v>
      </c>
      <c r="O109" s="2">
        <v>0.22600000000000001</v>
      </c>
      <c r="P109" s="2">
        <v>3.8509000000000002</v>
      </c>
      <c r="Q109" s="2">
        <v>3.9666999999999999</v>
      </c>
      <c r="R109" s="2">
        <v>-40.622436152120798</v>
      </c>
      <c r="S109" s="2">
        <v>11.692721668928799</v>
      </c>
      <c r="T109" s="2">
        <v>18.4295273134558</v>
      </c>
      <c r="U109" s="2">
        <v>72.916499999999999</v>
      </c>
      <c r="V109" s="2">
        <v>32.159283974422998</v>
      </c>
      <c r="W109" s="2">
        <v>0.48387099425444002</v>
      </c>
      <c r="X109" s="2">
        <v>101.30620665352801</v>
      </c>
      <c r="Y109" s="2">
        <v>25.032180654352999</v>
      </c>
      <c r="Z109" s="4">
        <v>6</v>
      </c>
      <c r="AA109" s="4">
        <v>8.6999999999999993</v>
      </c>
      <c r="AB109" s="2">
        <v>2.9</v>
      </c>
      <c r="AC109" s="2">
        <v>15.6</v>
      </c>
      <c r="AD109" s="2">
        <v>4.7999999999999972</v>
      </c>
      <c r="AE109" s="2">
        <v>0</v>
      </c>
    </row>
    <row r="110" spans="1:31" x14ac:dyDescent="0.25">
      <c r="A110" s="5" t="s">
        <v>483</v>
      </c>
      <c r="B110" s="5">
        <v>2014</v>
      </c>
      <c r="C110" s="5" t="s">
        <v>484</v>
      </c>
      <c r="D110" s="5" t="s">
        <v>318</v>
      </c>
      <c r="E110" s="5">
        <v>12.625</v>
      </c>
      <c r="F110" s="5">
        <v>14.3993</v>
      </c>
      <c r="G110" s="5">
        <v>50.371699999999997</v>
      </c>
      <c r="H110" s="5">
        <v>0.28039999999999998</v>
      </c>
      <c r="I110" s="5">
        <v>0.25990000000000002</v>
      </c>
      <c r="J110">
        <v>15.441474689382101</v>
      </c>
      <c r="K110">
        <v>34.997903074549804</v>
      </c>
      <c r="L110" s="5">
        <v>22.591799999999999</v>
      </c>
      <c r="M110" s="5">
        <v>4.9291999999999998</v>
      </c>
      <c r="N110" s="5">
        <v>0.21199999999999999</v>
      </c>
      <c r="O110" s="5">
        <v>0.18140000000000001</v>
      </c>
      <c r="P110" s="5">
        <v>16.692799999999998</v>
      </c>
      <c r="Q110" s="5">
        <v>18.400400000000001</v>
      </c>
      <c r="R110" s="5">
        <v>31.5403253213242</v>
      </c>
      <c r="S110" s="5">
        <v>-1.7466249705077801</v>
      </c>
      <c r="T110" s="5">
        <v>10.175529829096099</v>
      </c>
      <c r="U110" s="5">
        <v>41.401400000000002</v>
      </c>
      <c r="V110" s="2">
        <v>27.196633945680198</v>
      </c>
      <c r="W110" s="5">
        <v>0.69409985897055204</v>
      </c>
      <c r="X110" s="2">
        <v>115.007877077016</v>
      </c>
      <c r="Y110" s="2">
        <v>79.184539227314801</v>
      </c>
      <c r="Z110" s="6">
        <v>7.3</v>
      </c>
      <c r="AA110" s="6">
        <v>12.2</v>
      </c>
      <c r="AB110" s="5">
        <v>2</v>
      </c>
      <c r="AC110" s="5">
        <v>16.899999999999999</v>
      </c>
      <c r="AD110" s="5">
        <v>10.299999999999997</v>
      </c>
      <c r="AE110" s="5">
        <v>0</v>
      </c>
    </row>
    <row r="111" spans="1:31" x14ac:dyDescent="0.25">
      <c r="A111" s="2" t="s">
        <v>485</v>
      </c>
      <c r="B111" s="2">
        <v>2017</v>
      </c>
      <c r="C111" s="2" t="s">
        <v>486</v>
      </c>
      <c r="D111" s="2" t="s">
        <v>330</v>
      </c>
      <c r="E111" s="2">
        <v>4.9433999999999996</v>
      </c>
      <c r="F111" s="2">
        <v>6.8788</v>
      </c>
      <c r="G111" s="2">
        <v>16.089500000000001</v>
      </c>
      <c r="H111" s="2">
        <v>1.1803999999999999</v>
      </c>
      <c r="I111" s="2">
        <v>1.1534</v>
      </c>
      <c r="J111">
        <v>15.903798081691301</v>
      </c>
      <c r="K111">
        <v>8.6336995443344904</v>
      </c>
      <c r="L111" s="2">
        <v>17.152699999999999</v>
      </c>
      <c r="M111" s="2">
        <v>0.70379999999999998</v>
      </c>
      <c r="N111" s="2">
        <v>0.27839999999999998</v>
      </c>
      <c r="O111" s="2">
        <v>0.16980000000000001</v>
      </c>
      <c r="P111" s="2">
        <v>1.2373000000000001</v>
      </c>
      <c r="Q111" s="2">
        <v>19.9086</v>
      </c>
      <c r="R111" s="2">
        <v>19.4533929354408</v>
      </c>
      <c r="S111" s="2">
        <v>5.9788844440228699</v>
      </c>
      <c r="T111" s="2">
        <v>7.1010164315083104</v>
      </c>
      <c r="U111" s="2">
        <v>61.173299999999998</v>
      </c>
      <c r="V111" s="2">
        <v>42.956397566027796</v>
      </c>
      <c r="W111" s="2">
        <v>0.61158600103314897</v>
      </c>
      <c r="X111" s="2">
        <v>73.13839199240671</v>
      </c>
      <c r="Y111" s="2">
        <v>32.0135007213647</v>
      </c>
      <c r="Z111" s="4">
        <v>6.9</v>
      </c>
      <c r="AA111" s="4">
        <v>8.2000000000000011</v>
      </c>
      <c r="AB111" s="2">
        <v>1.6</v>
      </c>
      <c r="AC111" s="2">
        <v>16.3</v>
      </c>
      <c r="AD111" s="2">
        <v>10.099999999999994</v>
      </c>
      <c r="AE111" s="2">
        <v>0</v>
      </c>
    </row>
    <row r="112" spans="1:31" x14ac:dyDescent="0.25">
      <c r="A112" s="2" t="s">
        <v>485</v>
      </c>
      <c r="B112" s="2">
        <v>2019</v>
      </c>
      <c r="C112" s="2" t="s">
        <v>486</v>
      </c>
      <c r="D112" s="2" t="s">
        <v>330</v>
      </c>
      <c r="E112" s="2">
        <v>5.3315999999999999</v>
      </c>
      <c r="F112" s="2">
        <v>6.9897</v>
      </c>
      <c r="G112" s="2">
        <v>20.936699999999998</v>
      </c>
      <c r="H112" s="2">
        <v>1.2422</v>
      </c>
      <c r="I112" s="2">
        <v>1.2237</v>
      </c>
      <c r="J112">
        <v>15.4514781913941</v>
      </c>
      <c r="K112">
        <v>7.6033545572706291</v>
      </c>
      <c r="L112" s="2">
        <v>22.013200000000001</v>
      </c>
      <c r="M112" s="2">
        <v>0.59140000000000004</v>
      </c>
      <c r="N112" s="2">
        <v>0.2064</v>
      </c>
      <c r="O112" s="2">
        <v>0.13980000000000001</v>
      </c>
      <c r="P112" s="2">
        <v>0.7651</v>
      </c>
      <c r="Q112" s="2">
        <v>-0.48980000000000001</v>
      </c>
      <c r="R112" s="2">
        <v>5.83602017830931</v>
      </c>
      <c r="S112" s="2">
        <v>9.4404627444078208</v>
      </c>
      <c r="T112" s="2">
        <v>4.6962931568947797</v>
      </c>
      <c r="U112" s="2">
        <v>64.040800000000004</v>
      </c>
      <c r="V112" s="2">
        <v>45.201543943083202</v>
      </c>
      <c r="W112" s="2">
        <v>0.52663910494886701</v>
      </c>
      <c r="X112" s="2">
        <v>71.811146605937509</v>
      </c>
      <c r="Y112" s="2">
        <v>36.3898425341227</v>
      </c>
      <c r="Z112" s="4">
        <v>6</v>
      </c>
      <c r="AA112" s="4">
        <v>8.6999999999999993</v>
      </c>
      <c r="AB112" s="2">
        <v>2.9</v>
      </c>
      <c r="AC112" s="2">
        <v>15.6</v>
      </c>
      <c r="AD112" s="2">
        <v>4.7999999999999972</v>
      </c>
      <c r="AE112" s="2">
        <v>0</v>
      </c>
    </row>
    <row r="113" spans="1:31" x14ac:dyDescent="0.25">
      <c r="A113" s="2" t="s">
        <v>487</v>
      </c>
      <c r="B113" s="2">
        <v>2021</v>
      </c>
      <c r="C113" s="2" t="s">
        <v>488</v>
      </c>
      <c r="D113" s="2" t="s">
        <v>341</v>
      </c>
      <c r="E113" s="2">
        <v>9.1331000000000007</v>
      </c>
      <c r="F113" s="2">
        <v>15.235099999999999</v>
      </c>
      <c r="G113" s="2">
        <v>6.2506000000000004</v>
      </c>
      <c r="H113" s="2">
        <v>1.0894999999999999</v>
      </c>
      <c r="I113" s="2">
        <v>1.0078</v>
      </c>
      <c r="J113">
        <v>48.685959997270601</v>
      </c>
      <c r="K113">
        <v>4.6794401311937097</v>
      </c>
      <c r="L113" s="2">
        <v>60.0762</v>
      </c>
      <c r="M113" s="2">
        <v>4.1837999999999997</v>
      </c>
      <c r="N113" s="2">
        <v>2.8885000000000001</v>
      </c>
      <c r="O113" s="2">
        <v>1.1981999999999999</v>
      </c>
      <c r="P113" s="2">
        <v>20.375800000000002</v>
      </c>
      <c r="Q113" s="2">
        <v>78.972800000000007</v>
      </c>
      <c r="R113" s="2">
        <v>12.5154505792827</v>
      </c>
      <c r="S113" s="2">
        <v>58.387607768715199</v>
      </c>
      <c r="T113" s="2">
        <v>32.562506974819399</v>
      </c>
      <c r="U113" s="2">
        <v>59.854900000000001</v>
      </c>
      <c r="V113" s="2">
        <v>34.921934307325401</v>
      </c>
      <c r="W113" s="2">
        <v>0.98906780830089902</v>
      </c>
      <c r="X113" s="2">
        <v>117.43876213039199</v>
      </c>
      <c r="Y113" s="2">
        <v>2.8848773311742604</v>
      </c>
      <c r="Z113" s="4">
        <v>8.4</v>
      </c>
      <c r="AA113" s="4">
        <v>9</v>
      </c>
      <c r="AB113" s="2">
        <v>0.9</v>
      </c>
      <c r="AC113" s="2">
        <v>20.9</v>
      </c>
      <c r="AD113" s="2">
        <v>10.400000000000006</v>
      </c>
      <c r="AE113" s="2">
        <v>0</v>
      </c>
    </row>
    <row r="114" spans="1:31" x14ac:dyDescent="0.25">
      <c r="A114" s="2" t="s">
        <v>489</v>
      </c>
      <c r="B114" s="2">
        <v>2015</v>
      </c>
      <c r="C114" s="2" t="s">
        <v>490</v>
      </c>
      <c r="D114" s="2" t="s">
        <v>341</v>
      </c>
      <c r="E114" s="2">
        <v>6.5957999999999997</v>
      </c>
      <c r="F114" s="2">
        <v>10.5062</v>
      </c>
      <c r="G114" s="2">
        <v>10.4079</v>
      </c>
      <c r="H114" s="2">
        <v>0.58779999999999999</v>
      </c>
      <c r="I114" s="2">
        <v>0.55469999999999997</v>
      </c>
      <c r="J114">
        <v>42.968066053217903</v>
      </c>
      <c r="K114">
        <v>19.9954184692462</v>
      </c>
      <c r="L114" s="2">
        <v>18.2866</v>
      </c>
      <c r="M114" s="2">
        <v>2.0266999999999999</v>
      </c>
      <c r="N114" s="2">
        <v>1.3631</v>
      </c>
      <c r="O114" s="2">
        <v>0.5585</v>
      </c>
      <c r="P114" s="2">
        <v>26.214099999999998</v>
      </c>
      <c r="Q114" s="2">
        <v>-16.551400000000001</v>
      </c>
      <c r="R114" s="2">
        <v>-13.479420707510499</v>
      </c>
      <c r="S114" s="2">
        <v>15.1295473200269</v>
      </c>
      <c r="T114" s="2">
        <v>31.2964986555147</v>
      </c>
      <c r="U114" s="2">
        <v>51.201700000000002</v>
      </c>
      <c r="V114" s="2">
        <v>4.5862003345228404</v>
      </c>
      <c r="W114" s="2">
        <v>1.2201129000706501</v>
      </c>
      <c r="X114" s="2">
        <v>114.494917552321</v>
      </c>
      <c r="Y114" s="2">
        <v>19.619130561884198</v>
      </c>
      <c r="Z114" s="4">
        <v>6.9099999999999993</v>
      </c>
      <c r="AA114" s="4">
        <v>13.3</v>
      </c>
      <c r="AB114" s="2">
        <v>1.4</v>
      </c>
      <c r="AC114" s="2">
        <v>17.600000000000001</v>
      </c>
      <c r="AD114" s="2">
        <v>9.7000000000000028</v>
      </c>
      <c r="AE114" s="2">
        <v>0</v>
      </c>
    </row>
    <row r="115" spans="1:31" x14ac:dyDescent="0.25">
      <c r="A115" s="2" t="s">
        <v>491</v>
      </c>
      <c r="B115" s="2">
        <v>2018</v>
      </c>
      <c r="C115" s="2" t="s">
        <v>492</v>
      </c>
      <c r="D115" s="2" t="s">
        <v>305</v>
      </c>
      <c r="E115" s="2">
        <v>6.4783999999999997</v>
      </c>
      <c r="F115" s="2">
        <v>9.8172999999999995</v>
      </c>
      <c r="G115" s="2">
        <v>28.644200000000001</v>
      </c>
      <c r="H115" s="2">
        <v>0.66459999999999997</v>
      </c>
      <c r="I115" s="2">
        <v>0.57769999999999999</v>
      </c>
      <c r="J115">
        <v>39.1861002551925</v>
      </c>
      <c r="K115">
        <v>19.561376058600999</v>
      </c>
      <c r="L115" s="2">
        <v>5.6670999999999996</v>
      </c>
      <c r="M115" s="2">
        <v>1.087</v>
      </c>
      <c r="N115" s="2">
        <v>0.54179999999999995</v>
      </c>
      <c r="O115" s="2">
        <v>0.2097</v>
      </c>
      <c r="P115" s="2">
        <v>5.3598999999999997</v>
      </c>
      <c r="Q115" s="2">
        <v>11.347099999999999</v>
      </c>
      <c r="R115" s="2">
        <v>10.105038922893399</v>
      </c>
      <c r="S115" s="2">
        <v>11.554910948778501</v>
      </c>
      <c r="T115" s="2">
        <v>7.8522504290754496</v>
      </c>
      <c r="U115" s="2">
        <v>46.692300000000003</v>
      </c>
      <c r="V115" s="2">
        <v>18.733141957843799</v>
      </c>
      <c r="W115" s="2">
        <v>1.39131824739815</v>
      </c>
      <c r="X115" s="2">
        <v>109.63613430206401</v>
      </c>
      <c r="Y115" s="2">
        <v>45.939446080216399</v>
      </c>
      <c r="Z115" s="4">
        <v>6.6000000000000005</v>
      </c>
      <c r="AA115" s="4">
        <v>8.1</v>
      </c>
      <c r="AB115" s="2">
        <v>2.1</v>
      </c>
      <c r="AC115" s="2">
        <v>12.5</v>
      </c>
      <c r="AD115" s="2">
        <v>6.0999999999999943</v>
      </c>
      <c r="AE115" s="2">
        <v>0</v>
      </c>
    </row>
    <row r="116" spans="1:31" x14ac:dyDescent="0.25">
      <c r="A116" s="2" t="s">
        <v>495</v>
      </c>
      <c r="B116" s="2">
        <v>2020</v>
      </c>
      <c r="C116" s="2" t="s">
        <v>496</v>
      </c>
      <c r="D116" s="2" t="s">
        <v>305</v>
      </c>
      <c r="E116" s="2">
        <v>7.8503999999999996</v>
      </c>
      <c r="F116" s="2">
        <v>10.1058</v>
      </c>
      <c r="G116" s="2">
        <v>64.968299999999999</v>
      </c>
      <c r="H116" s="2">
        <v>0.70660000000000001</v>
      </c>
      <c r="I116" s="2">
        <v>0.67120000000000002</v>
      </c>
      <c r="J116">
        <v>43.2820779057556</v>
      </c>
      <c r="K116">
        <v>9.0242221807628198</v>
      </c>
      <c r="L116" s="2">
        <v>4.8463000000000003</v>
      </c>
      <c r="M116" s="2">
        <v>0.87029999999999996</v>
      </c>
      <c r="N116" s="2">
        <v>1.1632</v>
      </c>
      <c r="O116" s="2">
        <v>0.1091</v>
      </c>
      <c r="P116" s="2">
        <v>4.6761999999999997</v>
      </c>
      <c r="Q116" s="2">
        <v>-1.5689</v>
      </c>
      <c r="R116" s="2">
        <v>25.9864358272721</v>
      </c>
      <c r="S116" s="2">
        <v>9.1750925093123392</v>
      </c>
      <c r="T116" s="2">
        <v>7.1814957163800299</v>
      </c>
      <c r="U116" s="2">
        <v>31.110700000000001</v>
      </c>
      <c r="V116" s="2">
        <v>12.606469130878201</v>
      </c>
      <c r="W116" s="2">
        <v>7.6051731982034401</v>
      </c>
      <c r="X116" s="2">
        <v>103.301391180051</v>
      </c>
      <c r="Y116" s="2">
        <v>26.8603145545719</v>
      </c>
      <c r="Z116" s="4">
        <v>2.2999999999999998</v>
      </c>
      <c r="AA116" s="4">
        <v>10.100000000000001</v>
      </c>
      <c r="AB116" s="2">
        <v>2.5</v>
      </c>
      <c r="AC116" s="2">
        <v>16.100000000000001</v>
      </c>
      <c r="AD116" s="2">
        <v>2.4000000000000057</v>
      </c>
      <c r="AE116" s="2">
        <v>0</v>
      </c>
    </row>
    <row r="117" spans="1:31" x14ac:dyDescent="0.25">
      <c r="A117" s="2" t="s">
        <v>497</v>
      </c>
      <c r="B117" s="2">
        <v>2014</v>
      </c>
      <c r="C117" s="2" t="s">
        <v>498</v>
      </c>
      <c r="D117" s="2" t="s">
        <v>334</v>
      </c>
      <c r="E117" s="2">
        <v>6.5556000000000001</v>
      </c>
      <c r="F117" s="2">
        <v>20.450500000000002</v>
      </c>
      <c r="G117" s="2">
        <v>5.2788000000000004</v>
      </c>
      <c r="H117" s="2">
        <v>0.37480000000000002</v>
      </c>
      <c r="I117" s="2">
        <v>0.29830000000000001</v>
      </c>
      <c r="J117">
        <v>19.3445996355787</v>
      </c>
      <c r="K117">
        <v>8.7088653345969398</v>
      </c>
      <c r="L117" s="2">
        <v>14.4709</v>
      </c>
      <c r="M117" s="2">
        <v>3.6328999999999998</v>
      </c>
      <c r="N117" s="2">
        <v>2.8551000000000002</v>
      </c>
      <c r="O117" s="2">
        <v>1.2134</v>
      </c>
      <c r="P117" s="2">
        <v>1738.5559000000001</v>
      </c>
      <c r="Q117" s="2">
        <v>1.8974</v>
      </c>
      <c r="R117" s="2">
        <v>5.78099371758403</v>
      </c>
      <c r="S117" s="2">
        <v>23.875037766829301</v>
      </c>
      <c r="T117" s="2">
        <v>22.800155872129999</v>
      </c>
      <c r="U117" s="2">
        <v>75.946700000000007</v>
      </c>
      <c r="V117" s="2">
        <v>0.40513038736533996</v>
      </c>
      <c r="W117" s="2">
        <v>0.51669811718560099</v>
      </c>
      <c r="X117" s="2">
        <v>115.189713287727</v>
      </c>
      <c r="Y117" s="2">
        <v>6.0321165145946205</v>
      </c>
      <c r="Z117" s="4">
        <v>7.3</v>
      </c>
      <c r="AA117" s="4">
        <v>12.2</v>
      </c>
      <c r="AB117" s="2">
        <v>2</v>
      </c>
      <c r="AC117" s="2">
        <v>16.899999999999999</v>
      </c>
      <c r="AD117" s="2">
        <v>10.299999999999997</v>
      </c>
      <c r="AE117" s="2">
        <v>0</v>
      </c>
    </row>
    <row r="118" spans="1:31" x14ac:dyDescent="0.25">
      <c r="A118" s="2" t="s">
        <v>497</v>
      </c>
      <c r="B118" s="2">
        <v>2016</v>
      </c>
      <c r="C118" s="2" t="s">
        <v>498</v>
      </c>
      <c r="D118" s="2" t="s">
        <v>334</v>
      </c>
      <c r="E118" s="2">
        <v>7.6816000000000004</v>
      </c>
      <c r="F118" s="2">
        <v>19.4758</v>
      </c>
      <c r="G118" s="2">
        <v>7.3483000000000001</v>
      </c>
      <c r="H118" s="2">
        <v>0.41539999999999999</v>
      </c>
      <c r="I118" s="2">
        <v>0.32329999999999998</v>
      </c>
      <c r="J118">
        <v>22.766985279152401</v>
      </c>
      <c r="K118">
        <v>12.669505370104</v>
      </c>
      <c r="L118" s="2">
        <v>15.3598</v>
      </c>
      <c r="M118" s="2">
        <v>4.4642999999999997</v>
      </c>
      <c r="N118" s="2">
        <v>2.4426000000000001</v>
      </c>
      <c r="O118" s="2">
        <v>0.99539999999999995</v>
      </c>
      <c r="P118" s="2">
        <v>2054.1594</v>
      </c>
      <c r="Q118" s="2">
        <v>0.879</v>
      </c>
      <c r="R118" s="2">
        <v>24.0125623583194</v>
      </c>
      <c r="S118" s="2">
        <v>0.20988486804117801</v>
      </c>
      <c r="T118" s="2">
        <v>46.597270941134703</v>
      </c>
      <c r="U118" s="2">
        <v>65.972200000000001</v>
      </c>
      <c r="V118" s="2">
        <v>10.774163643825501</v>
      </c>
      <c r="W118" s="2">
        <v>0.84933384380976795</v>
      </c>
      <c r="X118" s="2">
        <v>112.75614090658199</v>
      </c>
      <c r="Y118" s="2">
        <v>8.4060443568098098</v>
      </c>
      <c r="Z118" s="4">
        <v>6.7</v>
      </c>
      <c r="AA118" s="4">
        <v>11.3</v>
      </c>
      <c r="AB118" s="2">
        <v>2</v>
      </c>
      <c r="AC118" s="2">
        <v>15.9</v>
      </c>
      <c r="AD118" s="2">
        <v>7.7000000000000028</v>
      </c>
      <c r="AE118" s="2">
        <v>0</v>
      </c>
    </row>
    <row r="119" spans="1:31" x14ac:dyDescent="0.25">
      <c r="A119" s="2" t="s">
        <v>499</v>
      </c>
      <c r="B119" s="2">
        <v>2014</v>
      </c>
      <c r="C119" s="2" t="s">
        <v>500</v>
      </c>
      <c r="D119" s="2" t="s">
        <v>334</v>
      </c>
      <c r="E119" s="2">
        <v>5.1489000000000003</v>
      </c>
      <c r="F119" s="2">
        <v>7.4242999999999997</v>
      </c>
      <c r="G119" s="2">
        <v>2.7906</v>
      </c>
      <c r="H119" s="2">
        <v>0.9677</v>
      </c>
      <c r="I119" s="2">
        <v>0.90229999999999999</v>
      </c>
      <c r="J119">
        <v>76.603417571567306</v>
      </c>
      <c r="K119">
        <v>2.55119350497452</v>
      </c>
      <c r="L119" s="2">
        <v>41.823799999999999</v>
      </c>
      <c r="M119" s="2">
        <v>4.0483000000000002</v>
      </c>
      <c r="N119" s="2">
        <v>2.9773999999999998</v>
      </c>
      <c r="O119" s="2">
        <v>1.5410999999999999</v>
      </c>
      <c r="P119" s="2">
        <v>216.50290000000001</v>
      </c>
      <c r="Q119" s="2">
        <v>-10.545</v>
      </c>
      <c r="R119" s="2">
        <v>-13.7294758864169</v>
      </c>
      <c r="S119" s="2">
        <v>-4.6015838953692896</v>
      </c>
      <c r="T119" s="2">
        <v>9.45354844884654</v>
      </c>
      <c r="U119" s="2">
        <v>40.267699999999998</v>
      </c>
      <c r="V119" s="2">
        <v>0.20480052253441</v>
      </c>
      <c r="W119" s="2">
        <v>1.2020156177327099</v>
      </c>
      <c r="X119" s="2">
        <v>110.46656459545501</v>
      </c>
      <c r="Y119" s="2">
        <v>0.78315117610503293</v>
      </c>
      <c r="Z119" s="4">
        <v>7.3</v>
      </c>
      <c r="AA119" s="4">
        <v>12.2</v>
      </c>
      <c r="AB119" s="2">
        <v>2</v>
      </c>
      <c r="AC119" s="2">
        <v>16.899999999999999</v>
      </c>
      <c r="AD119" s="2">
        <v>10.299999999999997</v>
      </c>
      <c r="AE119" s="2">
        <v>0</v>
      </c>
    </row>
    <row r="120" spans="1:31" x14ac:dyDescent="0.25">
      <c r="A120" s="2" t="s">
        <v>501</v>
      </c>
      <c r="B120" s="2">
        <v>2016</v>
      </c>
      <c r="C120" s="2" t="s">
        <v>502</v>
      </c>
      <c r="D120" s="2" t="s">
        <v>503</v>
      </c>
      <c r="E120" s="2">
        <v>5.7173999999999996</v>
      </c>
      <c r="F120" s="2">
        <v>5.2662000000000004</v>
      </c>
      <c r="G120" s="2">
        <v>15.978999999999999</v>
      </c>
      <c r="H120" s="2">
        <v>0.48530000000000001</v>
      </c>
      <c r="I120" s="2">
        <v>0.35780000000000001</v>
      </c>
      <c r="J120">
        <v>15.1871909974546</v>
      </c>
      <c r="K120">
        <v>4.4533568688725005</v>
      </c>
      <c r="L120" s="2">
        <v>5.7028999999999996</v>
      </c>
      <c r="M120" s="2">
        <v>1.3116000000000001</v>
      </c>
      <c r="N120" s="2">
        <v>2.5388999999999999</v>
      </c>
      <c r="O120" s="2">
        <v>0.2923</v>
      </c>
      <c r="P120" s="2">
        <v>5.7451999999999996</v>
      </c>
      <c r="Q120" s="2">
        <v>-4.4584000000000001</v>
      </c>
      <c r="R120" s="2">
        <v>125.525017876175</v>
      </c>
      <c r="S120" s="2">
        <v>24.9498666936937</v>
      </c>
      <c r="T120" s="2">
        <v>6.48307297514331</v>
      </c>
      <c r="U120" s="2">
        <v>39.8429</v>
      </c>
      <c r="V120" s="2">
        <v>4.7456293532522595</v>
      </c>
      <c r="W120" s="2">
        <v>6.0930956844449904</v>
      </c>
      <c r="X120" s="2">
        <v>96.776419580775695</v>
      </c>
      <c r="Y120" s="2">
        <v>6.7432166230127297</v>
      </c>
      <c r="Z120" s="4">
        <v>6.7</v>
      </c>
      <c r="AA120" s="4">
        <v>11.3</v>
      </c>
      <c r="AB120" s="2">
        <v>2</v>
      </c>
      <c r="AC120" s="2">
        <v>15.9</v>
      </c>
      <c r="AD120" s="2">
        <v>7.7000000000000028</v>
      </c>
      <c r="AE120" s="2">
        <v>0</v>
      </c>
    </row>
    <row r="121" spans="1:31" x14ac:dyDescent="0.25">
      <c r="A121" s="2" t="s">
        <v>501</v>
      </c>
      <c r="B121" s="2">
        <v>2018</v>
      </c>
      <c r="C121" s="2" t="s">
        <v>502</v>
      </c>
      <c r="D121" s="2" t="s">
        <v>503</v>
      </c>
      <c r="E121" s="2">
        <v>4.3387000000000002</v>
      </c>
      <c r="F121" s="2">
        <v>3.802</v>
      </c>
      <c r="G121" s="2">
        <v>5.2893999999999997</v>
      </c>
      <c r="H121" s="2">
        <v>0.65969999999999995</v>
      </c>
      <c r="I121" s="2">
        <v>0.4884</v>
      </c>
      <c r="J121">
        <v>23.496293196570701</v>
      </c>
      <c r="K121">
        <v>3.4295515823833402</v>
      </c>
      <c r="L121" s="2">
        <v>9.8577999999999992</v>
      </c>
      <c r="M121" s="2">
        <v>2.9390000000000001</v>
      </c>
      <c r="N121" s="2">
        <v>5.7099000000000002</v>
      </c>
      <c r="O121" s="2">
        <v>0.54069999999999996</v>
      </c>
      <c r="P121" s="2">
        <v>14.860900000000001</v>
      </c>
      <c r="Q121" s="2">
        <v>37.765099999999997</v>
      </c>
      <c r="R121" s="2">
        <v>-42.076835392445403</v>
      </c>
      <c r="S121" s="2">
        <v>0.73734792073063904</v>
      </c>
      <c r="T121" s="2">
        <v>1.15023309969071</v>
      </c>
      <c r="U121" s="2">
        <v>39.603900000000003</v>
      </c>
      <c r="V121" s="2">
        <v>10.766105820659801</v>
      </c>
      <c r="W121" s="2">
        <v>6.0577738487166597</v>
      </c>
      <c r="X121" s="2">
        <v>85.269308395666897</v>
      </c>
      <c r="Y121" s="2">
        <v>2.5212721560890503</v>
      </c>
      <c r="Z121" s="4">
        <v>6.6000000000000005</v>
      </c>
      <c r="AA121" s="4">
        <v>8.1</v>
      </c>
      <c r="AB121" s="2">
        <v>2.1</v>
      </c>
      <c r="AC121" s="2">
        <v>12.5</v>
      </c>
      <c r="AD121" s="2">
        <v>6.7000000000000028</v>
      </c>
      <c r="AE121" s="2">
        <v>0</v>
      </c>
    </row>
    <row r="122" spans="1:31" x14ac:dyDescent="0.25">
      <c r="A122" s="2" t="s">
        <v>504</v>
      </c>
      <c r="B122" s="2">
        <v>2014</v>
      </c>
      <c r="C122" s="2" t="s">
        <v>505</v>
      </c>
      <c r="D122" s="2" t="s">
        <v>333</v>
      </c>
      <c r="E122" s="2">
        <v>0.78959999999999997</v>
      </c>
      <c r="F122" s="2">
        <v>3.0074999999999998</v>
      </c>
      <c r="G122" s="2">
        <v>-1.3393999999999999</v>
      </c>
      <c r="H122" s="2">
        <v>1.2024999999999999</v>
      </c>
      <c r="I122" s="2">
        <v>0.82169999999999999</v>
      </c>
      <c r="J122">
        <v>59.166666824956202</v>
      </c>
      <c r="K122">
        <v>-2.6234326207452199</v>
      </c>
      <c r="L122" s="2">
        <v>5.3815</v>
      </c>
      <c r="M122" s="2">
        <v>2.0916999999999999</v>
      </c>
      <c r="N122" s="2">
        <v>9.5111000000000008</v>
      </c>
      <c r="O122" s="2">
        <v>1.3248</v>
      </c>
      <c r="P122" s="2">
        <v>180.5411</v>
      </c>
      <c r="Q122" s="2">
        <v>3.4354</v>
      </c>
      <c r="R122" s="2">
        <v>690.04247241210703</v>
      </c>
      <c r="S122" s="2">
        <v>-1.02346892125593</v>
      </c>
      <c r="T122" s="2">
        <v>3.2814180740837098</v>
      </c>
      <c r="U122" s="2">
        <v>64.064400000000006</v>
      </c>
      <c r="V122" s="2">
        <v>12.823380966204901</v>
      </c>
      <c r="W122" s="2">
        <v>2.42993693820135</v>
      </c>
      <c r="X122" s="2">
        <v>116.17333589802701</v>
      </c>
      <c r="Y122" s="2">
        <v>-1.2682260693604199</v>
      </c>
      <c r="Z122" s="4">
        <v>7.3</v>
      </c>
      <c r="AA122" s="4">
        <v>12.2</v>
      </c>
      <c r="AB122" s="2">
        <v>2</v>
      </c>
      <c r="AC122" s="2">
        <v>16.899999999999999</v>
      </c>
      <c r="AD122" s="2">
        <v>10.299999999999997</v>
      </c>
      <c r="AE122" s="2">
        <v>0</v>
      </c>
    </row>
    <row r="123" spans="1:31" x14ac:dyDescent="0.25">
      <c r="A123" s="2" t="s">
        <v>504</v>
      </c>
      <c r="B123" s="2">
        <v>2016</v>
      </c>
      <c r="C123" s="2" t="s">
        <v>505</v>
      </c>
      <c r="D123" s="2" t="s">
        <v>333</v>
      </c>
      <c r="E123" s="2">
        <v>0.72889999999999999</v>
      </c>
      <c r="F123" s="2">
        <v>1.4645999999999999</v>
      </c>
      <c r="G123" s="2">
        <v>1.4E-3</v>
      </c>
      <c r="H123" s="2">
        <v>1.3406</v>
      </c>
      <c r="I123" s="2">
        <v>1.1064000000000001</v>
      </c>
      <c r="J123">
        <v>47.954492770046201</v>
      </c>
      <c r="K123">
        <v>5.7093017838297397</v>
      </c>
      <c r="L123" s="2">
        <v>8.9619999999999997</v>
      </c>
      <c r="M123" s="2">
        <v>2.1358000000000001</v>
      </c>
      <c r="N123" s="2">
        <v>11.400399999999999</v>
      </c>
      <c r="O123" s="2">
        <v>1.3192999999999999</v>
      </c>
      <c r="P123" s="2">
        <v>164.26</v>
      </c>
      <c r="Q123" s="2">
        <v>9.6620000000000008</v>
      </c>
      <c r="R123" s="2">
        <v>-34.906800821398598</v>
      </c>
      <c r="S123" s="2">
        <v>55.737944298625401</v>
      </c>
      <c r="T123" s="2">
        <v>115.564862736576</v>
      </c>
      <c r="U123" s="2">
        <v>49.024299999999997</v>
      </c>
      <c r="V123" s="2">
        <v>4.2212972702425393</v>
      </c>
      <c r="W123" s="2">
        <v>5.4570401748388697</v>
      </c>
      <c r="X123" s="2">
        <v>116.81826855438399</v>
      </c>
      <c r="Y123" s="2">
        <v>2.5838586986759799</v>
      </c>
      <c r="Z123" s="4">
        <v>6.7</v>
      </c>
      <c r="AA123" s="4">
        <v>11.3</v>
      </c>
      <c r="AB123" s="2">
        <v>2</v>
      </c>
      <c r="AC123" s="2">
        <v>15.9</v>
      </c>
      <c r="AD123" s="2">
        <v>7.7000000000000028</v>
      </c>
      <c r="AE123" s="2">
        <v>0</v>
      </c>
    </row>
    <row r="124" spans="1:31" x14ac:dyDescent="0.25">
      <c r="A124" s="2" t="s">
        <v>504</v>
      </c>
      <c r="B124" s="2">
        <v>2018</v>
      </c>
      <c r="C124" s="2" t="s">
        <v>505</v>
      </c>
      <c r="D124" s="2" t="s">
        <v>333</v>
      </c>
      <c r="E124" s="2">
        <v>7.9946000000000002</v>
      </c>
      <c r="F124" s="2">
        <v>16.6724</v>
      </c>
      <c r="G124" s="2">
        <v>5.5758999999999999</v>
      </c>
      <c r="H124" s="2">
        <v>1.4060999999999999</v>
      </c>
      <c r="I124" s="2">
        <v>1.1684000000000001</v>
      </c>
      <c r="J124">
        <v>69.402113987931401</v>
      </c>
      <c r="K124">
        <v>-12.470713258633801</v>
      </c>
      <c r="L124" s="2">
        <v>10.202999999999999</v>
      </c>
      <c r="M124" s="2">
        <v>2.2311999999999999</v>
      </c>
      <c r="N124" s="2">
        <v>16.566800000000001</v>
      </c>
      <c r="O124" s="2">
        <v>1.3733</v>
      </c>
      <c r="P124" s="2">
        <v>62.7746</v>
      </c>
      <c r="Q124" s="2">
        <v>30.376200000000001</v>
      </c>
      <c r="R124" s="2">
        <v>212.19729262943099</v>
      </c>
      <c r="S124" s="2">
        <v>26.825662808972702</v>
      </c>
      <c r="T124" s="2">
        <v>2.4806578551923701</v>
      </c>
      <c r="U124" s="2">
        <v>55.776800000000001</v>
      </c>
      <c r="V124" s="2">
        <v>8.8033254710215498</v>
      </c>
      <c r="W124" s="2">
        <v>5.8037593755919401</v>
      </c>
      <c r="X124" s="2">
        <v>115.572097753017</v>
      </c>
      <c r="Y124" s="2">
        <v>-5.6640517256093394</v>
      </c>
      <c r="Z124" s="4">
        <v>6.6000000000000005</v>
      </c>
      <c r="AA124" s="4">
        <v>8.1</v>
      </c>
      <c r="AB124" s="2">
        <v>2.1</v>
      </c>
      <c r="AC124" s="2">
        <v>12.5</v>
      </c>
      <c r="AD124" s="2">
        <v>6.7000000000000028</v>
      </c>
      <c r="AE124" s="2">
        <v>0</v>
      </c>
    </row>
    <row r="125" spans="1:31" x14ac:dyDescent="0.25">
      <c r="A125" s="2" t="s">
        <v>506</v>
      </c>
      <c r="B125" s="2">
        <v>2014</v>
      </c>
      <c r="C125" s="2" t="s">
        <v>507</v>
      </c>
      <c r="D125" s="2" t="s">
        <v>508</v>
      </c>
      <c r="E125" s="2">
        <v>8.5556999999999999</v>
      </c>
      <c r="F125" s="2">
        <v>11.039</v>
      </c>
      <c r="G125" s="2">
        <v>58.122900000000001</v>
      </c>
      <c r="H125" s="2">
        <v>0.49249999999999999</v>
      </c>
      <c r="I125" s="2">
        <v>0.48880000000000001</v>
      </c>
      <c r="J125">
        <v>36.093055672790705</v>
      </c>
      <c r="K125">
        <v>10.072265193157801</v>
      </c>
      <c r="L125" s="2">
        <v>42.910200000000003</v>
      </c>
      <c r="M125" s="2">
        <v>1.6408</v>
      </c>
      <c r="N125" s="2">
        <v>55.052900000000001</v>
      </c>
      <c r="O125" s="2">
        <v>0.12740000000000001</v>
      </c>
      <c r="P125" s="2">
        <v>18.242999999999999</v>
      </c>
      <c r="Q125" s="2">
        <v>24.752400000000002</v>
      </c>
      <c r="R125" s="2">
        <v>6.6471986258987696</v>
      </c>
      <c r="S125" s="2">
        <v>-4.4464063227832602</v>
      </c>
      <c r="T125" s="2">
        <v>-8.3188331621166096</v>
      </c>
      <c r="U125" s="2">
        <v>50.916699999999999</v>
      </c>
      <c r="V125" s="2">
        <v>30.760089718119097</v>
      </c>
      <c r="W125" s="2">
        <v>245.10364823536801</v>
      </c>
      <c r="X125" s="2">
        <v>101.76146719922801</v>
      </c>
      <c r="Y125" s="2">
        <v>38.973571126206004</v>
      </c>
      <c r="Z125" s="4">
        <v>7.3</v>
      </c>
      <c r="AA125" s="4">
        <v>12.2</v>
      </c>
      <c r="AB125" s="2">
        <v>2</v>
      </c>
      <c r="AC125" s="2">
        <v>16.899999999999999</v>
      </c>
      <c r="AD125" s="2">
        <v>10.299999999999997</v>
      </c>
      <c r="AE125" s="2">
        <v>0</v>
      </c>
    </row>
    <row r="126" spans="1:31" x14ac:dyDescent="0.25">
      <c r="A126" s="2" t="s">
        <v>506</v>
      </c>
      <c r="B126" s="2">
        <v>2016</v>
      </c>
      <c r="C126" s="2" t="s">
        <v>507</v>
      </c>
      <c r="D126" s="2" t="s">
        <v>508</v>
      </c>
      <c r="E126" s="2">
        <v>7.2942999999999998</v>
      </c>
      <c r="F126" s="2">
        <v>9.51</v>
      </c>
      <c r="G126" s="2">
        <v>49.84</v>
      </c>
      <c r="H126" s="2">
        <v>0.64949999999999997</v>
      </c>
      <c r="I126" s="2">
        <v>0.6462</v>
      </c>
      <c r="J126">
        <v>45.330628351938998</v>
      </c>
      <c r="K126">
        <v>9.5733848040318001</v>
      </c>
      <c r="L126" s="2">
        <v>64.884500000000003</v>
      </c>
      <c r="M126" s="2">
        <v>1.1318999999999999</v>
      </c>
      <c r="N126" s="2">
        <v>67.537199999999999</v>
      </c>
      <c r="O126" s="2">
        <v>0.1215</v>
      </c>
      <c r="P126" s="2">
        <v>10.964</v>
      </c>
      <c r="Q126" s="2">
        <v>6.0103</v>
      </c>
      <c r="R126" s="2">
        <v>-15.9682036665042</v>
      </c>
      <c r="S126" s="2">
        <v>-1.99078395784436</v>
      </c>
      <c r="T126" s="2">
        <v>-11.1317443101187</v>
      </c>
      <c r="U126" s="2">
        <v>51.038699999999999</v>
      </c>
      <c r="V126" s="2">
        <v>30.567507591802201</v>
      </c>
      <c r="W126" s="2">
        <v>336.62804147126502</v>
      </c>
      <c r="X126" s="2">
        <v>99.930889624219901</v>
      </c>
      <c r="Y126" s="2">
        <v>41.264383893421801</v>
      </c>
      <c r="Z126" s="4">
        <v>6.7</v>
      </c>
      <c r="AA126" s="4">
        <v>11.3</v>
      </c>
      <c r="AB126" s="2">
        <v>2</v>
      </c>
      <c r="AC126" s="2">
        <v>15.9</v>
      </c>
      <c r="AD126" s="2">
        <v>7.7000000000000028</v>
      </c>
      <c r="AE126" s="2">
        <v>0</v>
      </c>
    </row>
    <row r="127" spans="1:31" x14ac:dyDescent="0.25">
      <c r="A127" s="2" t="s">
        <v>506</v>
      </c>
      <c r="B127" s="2">
        <v>2018</v>
      </c>
      <c r="C127" s="2" t="s">
        <v>507</v>
      </c>
      <c r="D127" s="2" t="s">
        <v>508</v>
      </c>
      <c r="E127" s="2">
        <v>7.1090999999999998</v>
      </c>
      <c r="F127" s="2">
        <v>10.9018</v>
      </c>
      <c r="G127" s="2">
        <v>43.054000000000002</v>
      </c>
      <c r="H127" s="2">
        <v>0.62090000000000001</v>
      </c>
      <c r="I127" s="2">
        <v>0.61099999999999999</v>
      </c>
      <c r="J127">
        <v>34.6208858022041</v>
      </c>
      <c r="K127">
        <v>8.9345540170949107</v>
      </c>
      <c r="L127" s="2">
        <v>8.1674000000000007</v>
      </c>
      <c r="M127" s="2">
        <v>0.94040000000000001</v>
      </c>
      <c r="N127" s="2">
        <v>81.073599999999999</v>
      </c>
      <c r="O127" s="2">
        <v>0.13700000000000001</v>
      </c>
      <c r="P127" s="2">
        <v>9.9741</v>
      </c>
      <c r="Q127" s="2">
        <v>29.930900000000001</v>
      </c>
      <c r="R127" s="2">
        <v>9.9914002332751792</v>
      </c>
      <c r="S127" s="2">
        <v>14.272171702915699</v>
      </c>
      <c r="T127" s="2">
        <v>3.1842482291485199</v>
      </c>
      <c r="U127" s="2">
        <v>59.1417</v>
      </c>
      <c r="V127" s="2">
        <v>36.307797760796504</v>
      </c>
      <c r="W127" s="2">
        <v>235.40321422935199</v>
      </c>
      <c r="X127" s="2">
        <v>101.81468530094099</v>
      </c>
      <c r="Y127" s="2">
        <v>41.137753265498702</v>
      </c>
      <c r="Z127" s="4">
        <v>6.6000000000000005</v>
      </c>
      <c r="AA127" s="4">
        <v>8.1</v>
      </c>
      <c r="AB127" s="2">
        <v>2.1</v>
      </c>
      <c r="AC127" s="2">
        <v>12.5</v>
      </c>
      <c r="AD127" s="2">
        <v>6.7000000000000028</v>
      </c>
      <c r="AE127" s="2">
        <v>0</v>
      </c>
    </row>
    <row r="128" spans="1:31" x14ac:dyDescent="0.25">
      <c r="A128" s="2" t="s">
        <v>509</v>
      </c>
      <c r="B128" s="2">
        <v>2015</v>
      </c>
      <c r="C128" s="2" t="s">
        <v>510</v>
      </c>
      <c r="D128" s="2" t="s">
        <v>338</v>
      </c>
      <c r="E128" s="2">
        <v>10.1188</v>
      </c>
      <c r="F128" s="2">
        <v>18.1205</v>
      </c>
      <c r="G128" s="2">
        <v>2.7465000000000002</v>
      </c>
      <c r="H128" s="2">
        <v>0.97819999999999996</v>
      </c>
      <c r="I128" s="2">
        <v>0.69069999999999998</v>
      </c>
      <c r="J128">
        <v>35.826980877730605</v>
      </c>
      <c r="K128">
        <v>10.320015805891799</v>
      </c>
      <c r="L128" s="2">
        <v>12.178800000000001</v>
      </c>
      <c r="M128" s="2">
        <v>3.9264000000000001</v>
      </c>
      <c r="N128" s="2">
        <v>23.576499999999999</v>
      </c>
      <c r="O128" s="2">
        <v>2.4238</v>
      </c>
      <c r="P128" s="2">
        <v>104.7184</v>
      </c>
      <c r="Q128" s="2">
        <v>8.4674999999999994</v>
      </c>
      <c r="R128" s="2">
        <v>18.006562764649701</v>
      </c>
      <c r="S128" s="2">
        <v>23.291054729057901</v>
      </c>
      <c r="T128" s="2">
        <v>46.301335899055204</v>
      </c>
      <c r="U128" s="2">
        <v>71.109499999999997</v>
      </c>
      <c r="V128" s="2">
        <v>7.1180266008066502</v>
      </c>
      <c r="W128" s="2">
        <v>2.94685917496435</v>
      </c>
      <c r="X128" s="2">
        <v>121.754442440445</v>
      </c>
      <c r="Y128" s="2">
        <v>5.9374916945225298</v>
      </c>
      <c r="Z128" s="4">
        <v>6.9099999999999993</v>
      </c>
      <c r="AA128" s="4">
        <v>13.3</v>
      </c>
      <c r="AB128" s="2">
        <v>1.4</v>
      </c>
      <c r="AC128" s="2">
        <v>17.600000000000001</v>
      </c>
      <c r="AD128" s="2">
        <v>6.7000000000000028</v>
      </c>
      <c r="AE128" s="2">
        <v>0</v>
      </c>
    </row>
    <row r="129" spans="1:31" x14ac:dyDescent="0.25">
      <c r="A129" s="2" t="s">
        <v>511</v>
      </c>
      <c r="B129" s="2">
        <v>2015</v>
      </c>
      <c r="C129" s="2" t="s">
        <v>512</v>
      </c>
      <c r="D129" s="2" t="s">
        <v>589</v>
      </c>
      <c r="E129" s="2">
        <v>7.9249000000000001</v>
      </c>
      <c r="F129" s="2">
        <v>10.5097</v>
      </c>
      <c r="G129" s="2">
        <v>20.0015</v>
      </c>
      <c r="H129" s="2">
        <v>3.35</v>
      </c>
      <c r="I129" s="2">
        <v>3.1312000000000002</v>
      </c>
      <c r="J129">
        <v>193.47154270749101</v>
      </c>
      <c r="K129">
        <v>24.4250894791851</v>
      </c>
      <c r="L129" s="2">
        <v>5.7298</v>
      </c>
      <c r="M129" s="2">
        <v>0.91700000000000004</v>
      </c>
      <c r="N129" s="2">
        <v>3.6934</v>
      </c>
      <c r="O129" s="2">
        <v>0.36520000000000002</v>
      </c>
      <c r="P129" s="2">
        <v>6.2</v>
      </c>
      <c r="Q129" s="2">
        <v>9.1153999999999993</v>
      </c>
      <c r="R129" s="2">
        <v>-15.8261642718819</v>
      </c>
      <c r="S129" s="2">
        <v>18.138217663173201</v>
      </c>
      <c r="T129" s="2">
        <v>27.649913201058901</v>
      </c>
      <c r="U129" s="2">
        <v>26.307400000000001</v>
      </c>
      <c r="V129" s="2">
        <v>13.334692277085599</v>
      </c>
      <c r="W129" s="2">
        <v>7.8765090143712104</v>
      </c>
      <c r="X129" s="2">
        <v>96.841672720248596</v>
      </c>
      <c r="Y129" s="2">
        <v>19.060471026155103</v>
      </c>
      <c r="Z129" s="4">
        <v>6.9099999999999993</v>
      </c>
      <c r="AA129" s="4">
        <v>13.3</v>
      </c>
      <c r="AB129" s="2">
        <v>1.4</v>
      </c>
      <c r="AC129" s="2">
        <v>17.600000000000001</v>
      </c>
      <c r="AD129" s="2">
        <v>9.7000000000000028</v>
      </c>
      <c r="AE129" s="2">
        <v>0</v>
      </c>
    </row>
    <row r="130" spans="1:31" x14ac:dyDescent="0.25">
      <c r="A130" s="2" t="s">
        <v>513</v>
      </c>
      <c r="B130" s="2">
        <v>2016</v>
      </c>
      <c r="C130" s="2" t="s">
        <v>514</v>
      </c>
      <c r="D130" s="2" t="s">
        <v>515</v>
      </c>
      <c r="E130" s="2">
        <v>8.5850000000000009</v>
      </c>
      <c r="F130" s="2">
        <v>7.5031999999999996</v>
      </c>
      <c r="G130" s="2">
        <v>27.959900000000001</v>
      </c>
      <c r="H130" s="2">
        <v>3.8298999999999999</v>
      </c>
      <c r="I130" s="2">
        <v>2.4857</v>
      </c>
      <c r="J130">
        <v>64.080126764734004</v>
      </c>
      <c r="K130">
        <v>-28.720634624806003</v>
      </c>
      <c r="L130" s="2">
        <v>0.52639999999999998</v>
      </c>
      <c r="M130" s="2">
        <v>0.41049999999999998</v>
      </c>
      <c r="N130" s="2">
        <v>87.770200000000003</v>
      </c>
      <c r="O130" s="2">
        <v>0.23719999999999999</v>
      </c>
      <c r="P130" s="2">
        <v>1.2362</v>
      </c>
      <c r="Q130" s="2">
        <v>31.930599999999998</v>
      </c>
      <c r="R130" s="2">
        <v>113.949506289634</v>
      </c>
      <c r="S130" s="2">
        <v>193.874692184081</v>
      </c>
      <c r="T130" s="2">
        <v>174.689112690276</v>
      </c>
      <c r="U130" s="2">
        <v>31.002800000000001</v>
      </c>
      <c r="V130" s="2">
        <v>16.636446951438998</v>
      </c>
      <c r="W130" s="2">
        <v>305.72362062489901</v>
      </c>
      <c r="X130" s="2">
        <v>88.4972046698675</v>
      </c>
      <c r="Y130" s="2">
        <v>-56.018515646666103</v>
      </c>
      <c r="Z130" s="4">
        <v>6.7</v>
      </c>
      <c r="AA130" s="4">
        <v>11.3</v>
      </c>
      <c r="AB130" s="2">
        <v>2</v>
      </c>
      <c r="AC130" s="2">
        <v>15.9</v>
      </c>
      <c r="AD130" s="2">
        <v>7.7000000000000028</v>
      </c>
      <c r="AE130" s="2">
        <v>0</v>
      </c>
    </row>
    <row r="131" spans="1:31" x14ac:dyDescent="0.25">
      <c r="A131" s="2" t="s">
        <v>516</v>
      </c>
      <c r="B131" s="2">
        <v>2014</v>
      </c>
      <c r="C131" s="2" t="s">
        <v>517</v>
      </c>
      <c r="D131" s="2" t="s">
        <v>518</v>
      </c>
      <c r="E131" s="2">
        <v>4.7332999999999998</v>
      </c>
      <c r="F131" s="2">
        <v>6.6731999999999996</v>
      </c>
      <c r="G131" s="2">
        <v>13.297499999999999</v>
      </c>
      <c r="H131" s="2">
        <v>0.64739999999999998</v>
      </c>
      <c r="I131" s="2">
        <v>0.62639999999999996</v>
      </c>
      <c r="J131">
        <v>53.366770386304395</v>
      </c>
      <c r="K131">
        <v>31.042819873949799</v>
      </c>
      <c r="L131" s="2">
        <v>11.4343</v>
      </c>
      <c r="M131" s="2">
        <v>1.7856000000000001</v>
      </c>
      <c r="N131" s="2">
        <v>0.59699999999999998</v>
      </c>
      <c r="O131" s="2">
        <v>0.32900000000000001</v>
      </c>
      <c r="P131" s="2">
        <v>50.472799999999999</v>
      </c>
      <c r="Q131" s="2">
        <v>15.4275</v>
      </c>
      <c r="R131" s="2">
        <v>20.336889828019999</v>
      </c>
      <c r="S131" s="2">
        <v>63.720006626994397</v>
      </c>
      <c r="T131" s="2">
        <v>80.014166175538406</v>
      </c>
      <c r="U131" s="2">
        <v>33.164700000000003</v>
      </c>
      <c r="V131" s="2">
        <v>4.2231986243166704</v>
      </c>
      <c r="W131" s="2">
        <v>1.2676953389979699</v>
      </c>
      <c r="X131" s="2">
        <v>102.458181797856</v>
      </c>
      <c r="Y131" s="2">
        <v>43.432438832017198</v>
      </c>
      <c r="Z131" s="4">
        <v>7.3</v>
      </c>
      <c r="AA131" s="4">
        <v>12.2</v>
      </c>
      <c r="AB131" s="2">
        <v>2</v>
      </c>
      <c r="AC131" s="2">
        <v>16.899999999999999</v>
      </c>
      <c r="AD131" s="2">
        <v>10.299999999999997</v>
      </c>
      <c r="AE131" s="2">
        <v>0</v>
      </c>
    </row>
    <row r="132" spans="1:31" x14ac:dyDescent="0.25">
      <c r="A132" s="2" t="s">
        <v>519</v>
      </c>
      <c r="B132" s="2">
        <v>2014</v>
      </c>
      <c r="C132" s="2" t="s">
        <v>520</v>
      </c>
      <c r="D132" s="2" t="s">
        <v>322</v>
      </c>
      <c r="E132" s="2">
        <v>5.806</v>
      </c>
      <c r="F132" s="2">
        <v>5.2816000000000001</v>
      </c>
      <c r="G132" s="2">
        <v>11.4339</v>
      </c>
      <c r="H132" s="2">
        <v>6.1166</v>
      </c>
      <c r="I132" s="2">
        <v>4.4158999999999997</v>
      </c>
      <c r="J132">
        <v>139.83057263074198</v>
      </c>
      <c r="K132">
        <v>5.5268655540604703</v>
      </c>
      <c r="L132" s="2">
        <v>0.85319999999999996</v>
      </c>
      <c r="M132" s="2">
        <v>0.61570000000000003</v>
      </c>
      <c r="N132" s="2">
        <v>5.9462999999999999</v>
      </c>
      <c r="O132" s="2">
        <v>0.45429999999999998</v>
      </c>
      <c r="P132" s="2">
        <v>11.039899999999999</v>
      </c>
      <c r="Q132" s="2">
        <v>-10.831799999999999</v>
      </c>
      <c r="R132" s="2">
        <v>-48.1362354478429</v>
      </c>
      <c r="S132" s="2">
        <v>14.0716350673002</v>
      </c>
      <c r="T132" s="2">
        <v>-3.3764326451411302</v>
      </c>
      <c r="U132" s="2">
        <v>22.168600000000001</v>
      </c>
      <c r="V132" s="2">
        <v>10.846984149079701</v>
      </c>
      <c r="W132" s="2">
        <v>6.3227975415001598</v>
      </c>
      <c r="X132" s="2">
        <v>112.69008750288401</v>
      </c>
      <c r="Y132" s="2">
        <v>2.8744070149702798</v>
      </c>
      <c r="Z132" s="4">
        <v>7.3</v>
      </c>
      <c r="AA132" s="4">
        <v>12.2</v>
      </c>
      <c r="AB132" s="2">
        <v>2</v>
      </c>
      <c r="AC132" s="2">
        <v>16.899999999999999</v>
      </c>
      <c r="AD132" s="2">
        <v>10.299999999999997</v>
      </c>
      <c r="AE132" s="2">
        <v>0</v>
      </c>
    </row>
    <row r="133" spans="1:31" x14ac:dyDescent="0.25">
      <c r="A133" s="2" t="s">
        <v>519</v>
      </c>
      <c r="B133" s="2">
        <v>2016</v>
      </c>
      <c r="C133" s="2" t="s">
        <v>520</v>
      </c>
      <c r="D133" s="2" t="s">
        <v>322</v>
      </c>
      <c r="E133" s="2">
        <v>5.4964000000000004</v>
      </c>
      <c r="F133" s="2">
        <v>6.8497000000000003</v>
      </c>
      <c r="G133" s="2">
        <v>10.277699999999999</v>
      </c>
      <c r="H133" s="2">
        <v>1.8194999999999999</v>
      </c>
      <c r="I133" s="2">
        <v>1.1874</v>
      </c>
      <c r="J133">
        <v>27.870512557606801</v>
      </c>
      <c r="K133">
        <v>11.1936102951646</v>
      </c>
      <c r="L133" s="2">
        <v>1.0722</v>
      </c>
      <c r="M133" s="2">
        <v>0.83209999999999995</v>
      </c>
      <c r="N133" s="2">
        <v>3.2926000000000002</v>
      </c>
      <c r="O133" s="2">
        <v>0.37930000000000003</v>
      </c>
      <c r="P133" s="2">
        <v>5.8746999999999998</v>
      </c>
      <c r="Q133" s="2">
        <v>19.330400000000001</v>
      </c>
      <c r="R133" s="2">
        <v>146.915456445757</v>
      </c>
      <c r="S133" s="2">
        <v>58.5927449591167</v>
      </c>
      <c r="T133" s="2">
        <v>5.97581934606107</v>
      </c>
      <c r="U133" s="2">
        <v>26.749500000000001</v>
      </c>
      <c r="V133" s="2">
        <v>3.0390346255379499</v>
      </c>
      <c r="W133" s="2">
        <v>6.7016031542274401</v>
      </c>
      <c r="X133" s="2">
        <v>104.06261016485401</v>
      </c>
      <c r="Y133" s="2">
        <v>9.6825871353692996</v>
      </c>
      <c r="Z133" s="4">
        <v>6.7</v>
      </c>
      <c r="AA133" s="4">
        <v>11.3</v>
      </c>
      <c r="AB133" s="2">
        <v>2</v>
      </c>
      <c r="AC133" s="2">
        <v>15.9</v>
      </c>
      <c r="AD133" s="2">
        <v>7.7000000000000028</v>
      </c>
      <c r="AE133" s="2">
        <v>0</v>
      </c>
    </row>
    <row r="134" spans="1:31" x14ac:dyDescent="0.25">
      <c r="A134" s="2" t="s">
        <v>519</v>
      </c>
      <c r="B134" s="2">
        <v>2018</v>
      </c>
      <c r="C134" s="2" t="s">
        <v>520</v>
      </c>
      <c r="D134" s="2" t="s">
        <v>322</v>
      </c>
      <c r="E134" s="2">
        <v>5.6151999999999997</v>
      </c>
      <c r="F134" s="2">
        <v>7.7131999999999996</v>
      </c>
      <c r="G134" s="2">
        <v>9.0004000000000008</v>
      </c>
      <c r="H134" s="2">
        <v>1.5431999999999999</v>
      </c>
      <c r="I134" s="2">
        <v>1.1418999999999999</v>
      </c>
      <c r="J134">
        <v>10.9022491119433</v>
      </c>
      <c r="K134">
        <v>1.8141548266176502</v>
      </c>
      <c r="L134" s="2">
        <v>1.2881</v>
      </c>
      <c r="M134" s="2">
        <v>0.91649999999999998</v>
      </c>
      <c r="N134" s="2">
        <v>6.7061000000000002</v>
      </c>
      <c r="O134" s="2">
        <v>0.37430000000000002</v>
      </c>
      <c r="P134" s="2">
        <v>7.2153</v>
      </c>
      <c r="Q134" s="2">
        <v>13.0992</v>
      </c>
      <c r="R134" s="2">
        <v>5.88569592606855</v>
      </c>
      <c r="S134" s="2">
        <v>4.9594125087595202</v>
      </c>
      <c r="T134" s="2">
        <v>3.8203664251126601</v>
      </c>
      <c r="U134" s="2">
        <v>41.165999999999997</v>
      </c>
      <c r="V134" s="2">
        <v>8.5677009255020202</v>
      </c>
      <c r="W134" s="2">
        <v>10.845363335899</v>
      </c>
      <c r="X134" s="2">
        <v>107.959698517346</v>
      </c>
      <c r="Y134" s="2">
        <v>2.04329750921432</v>
      </c>
      <c r="Z134" s="4">
        <v>6.6000000000000005</v>
      </c>
      <c r="AA134" s="4">
        <v>8.1</v>
      </c>
      <c r="AB134" s="2">
        <v>2.1</v>
      </c>
      <c r="AC134" s="2">
        <v>12.5</v>
      </c>
      <c r="AD134" s="2">
        <v>6.7000000000000028</v>
      </c>
      <c r="AE134" s="2">
        <v>0</v>
      </c>
    </row>
    <row r="135" spans="1:31" x14ac:dyDescent="0.25">
      <c r="A135" s="2" t="s">
        <v>519</v>
      </c>
      <c r="B135" s="2">
        <v>2020</v>
      </c>
      <c r="C135" s="2" t="s">
        <v>520</v>
      </c>
      <c r="D135" s="2" t="s">
        <v>322</v>
      </c>
      <c r="E135" s="2">
        <v>3.3963000000000001</v>
      </c>
      <c r="F135" s="2">
        <v>4.7831000000000001</v>
      </c>
      <c r="G135" s="2">
        <v>5.4358000000000004</v>
      </c>
      <c r="H135" s="2">
        <v>1.8900999999999999</v>
      </c>
      <c r="I135" s="2">
        <v>0.98570000000000002</v>
      </c>
      <c r="J135">
        <v>49.976483987049001</v>
      </c>
      <c r="K135">
        <v>24.362495166836901</v>
      </c>
      <c r="L135" s="2">
        <v>1.3687</v>
      </c>
      <c r="M135" s="2">
        <v>1.4907999999999999</v>
      </c>
      <c r="N135" s="2">
        <v>6.9668000000000001</v>
      </c>
      <c r="O135" s="2">
        <v>0.5504</v>
      </c>
      <c r="P135" s="2">
        <v>8.4451999999999998</v>
      </c>
      <c r="Q135" s="2">
        <v>-4.2659000000000002</v>
      </c>
      <c r="R135" s="2">
        <v>233.446944748318</v>
      </c>
      <c r="S135" s="2">
        <v>-2.74345586971755</v>
      </c>
      <c r="T135" s="2">
        <v>-0.56998943291871995</v>
      </c>
      <c r="U135" s="2">
        <v>30.208400000000001</v>
      </c>
      <c r="V135" s="2">
        <v>10.2585785854089</v>
      </c>
      <c r="W135" s="2">
        <v>8.8498721204690405</v>
      </c>
      <c r="X135" s="2">
        <v>110.22822799991201</v>
      </c>
      <c r="Y135" s="2">
        <v>13.185691271422501</v>
      </c>
      <c r="Z135" s="4">
        <v>2.2999999999999998</v>
      </c>
      <c r="AA135" s="4">
        <v>10.100000000000001</v>
      </c>
      <c r="AB135" s="2">
        <v>2.5</v>
      </c>
      <c r="AC135" s="2">
        <v>16.100000000000001</v>
      </c>
      <c r="AD135" s="2">
        <v>-0.90000000000000568</v>
      </c>
      <c r="AE135" s="2">
        <v>0</v>
      </c>
    </row>
    <row r="136" spans="1:31" x14ac:dyDescent="0.25">
      <c r="A136" s="2" t="s">
        <v>521</v>
      </c>
      <c r="B136" s="2">
        <v>2014</v>
      </c>
      <c r="C136" s="2" t="s">
        <v>522</v>
      </c>
      <c r="D136" s="2" t="s">
        <v>322</v>
      </c>
      <c r="E136" s="2">
        <v>9.6775000000000002</v>
      </c>
      <c r="F136" s="2">
        <v>14.2453</v>
      </c>
      <c r="G136" s="2">
        <v>5.8239000000000001</v>
      </c>
      <c r="H136" s="2">
        <v>1.5916999999999999</v>
      </c>
      <c r="I136" s="2">
        <v>0.85860000000000003</v>
      </c>
      <c r="J136">
        <v>68.5968752335191</v>
      </c>
      <c r="K136">
        <v>6.09726350923507</v>
      </c>
      <c r="L136" s="2">
        <v>4.4802999999999997</v>
      </c>
      <c r="M136" s="2">
        <v>2.5562</v>
      </c>
      <c r="N136" s="2">
        <v>19.714500000000001</v>
      </c>
      <c r="O136" s="2">
        <v>1.3915</v>
      </c>
      <c r="P136" s="2">
        <v>99.245800000000003</v>
      </c>
      <c r="Q136" s="2">
        <v>-14.899800000000001</v>
      </c>
      <c r="R136" s="2">
        <v>-0.19400209075980199</v>
      </c>
      <c r="S136" s="2">
        <v>1.7865890094908601</v>
      </c>
      <c r="T136" s="2">
        <v>15.6386644426773</v>
      </c>
      <c r="U136" s="2">
        <v>41.933500000000002</v>
      </c>
      <c r="V136" s="2">
        <v>13.0224411175251</v>
      </c>
      <c r="W136" s="2">
        <v>8.4303530636250699</v>
      </c>
      <c r="X136" s="2">
        <v>109.68954641897699</v>
      </c>
      <c r="Y136" s="2">
        <v>1.8463437859848799</v>
      </c>
      <c r="Z136" s="4">
        <v>7.3</v>
      </c>
      <c r="AA136" s="4">
        <v>12.2</v>
      </c>
      <c r="AB136" s="2">
        <v>2</v>
      </c>
      <c r="AC136" s="2">
        <v>16.899999999999999</v>
      </c>
      <c r="AD136" s="2">
        <v>10.299999999999997</v>
      </c>
      <c r="AE136" s="2">
        <v>0</v>
      </c>
    </row>
    <row r="137" spans="1:31" x14ac:dyDescent="0.25">
      <c r="A137" s="2" t="s">
        <v>521</v>
      </c>
      <c r="B137" s="2">
        <v>2016</v>
      </c>
      <c r="C137" s="2" t="s">
        <v>522</v>
      </c>
      <c r="D137" s="2" t="s">
        <v>322</v>
      </c>
      <c r="E137" s="2">
        <v>4.7455999999999996</v>
      </c>
      <c r="F137" s="2">
        <v>5.1703000000000001</v>
      </c>
      <c r="G137" s="2">
        <v>3.0796999999999999</v>
      </c>
      <c r="H137" s="2">
        <v>0.98429999999999995</v>
      </c>
      <c r="I137" s="2">
        <v>0.52729999999999999</v>
      </c>
      <c r="J137">
        <v>35.868542468998101</v>
      </c>
      <c r="K137">
        <v>3.2450990520001999</v>
      </c>
      <c r="L137" s="2">
        <v>3.5265</v>
      </c>
      <c r="M137" s="2">
        <v>2.1648000000000001</v>
      </c>
      <c r="N137" s="2">
        <v>6.7239000000000004</v>
      </c>
      <c r="O137" s="2">
        <v>0.77569999999999995</v>
      </c>
      <c r="P137" s="2">
        <v>69.793300000000002</v>
      </c>
      <c r="Q137" s="2">
        <v>-10.806100000000001</v>
      </c>
      <c r="R137" s="2">
        <v>-48.057356864492199</v>
      </c>
      <c r="S137" s="2">
        <v>27.5356071388277</v>
      </c>
      <c r="T137" s="2">
        <v>21.439406114558299</v>
      </c>
      <c r="U137" s="2">
        <v>52.810499999999998</v>
      </c>
      <c r="V137" s="2">
        <v>22.0889275313735</v>
      </c>
      <c r="W137" s="2">
        <v>7.7868660964512504</v>
      </c>
      <c r="X137" s="2">
        <v>115.18466295701799</v>
      </c>
      <c r="Y137" s="2">
        <v>2.5393432073816702</v>
      </c>
      <c r="Z137" s="4">
        <v>6.7</v>
      </c>
      <c r="AA137" s="4">
        <v>11.3</v>
      </c>
      <c r="AB137" s="2">
        <v>2</v>
      </c>
      <c r="AC137" s="2">
        <v>15.9</v>
      </c>
      <c r="AD137" s="2">
        <v>7.7000000000000028</v>
      </c>
      <c r="AE137" s="2">
        <v>0</v>
      </c>
    </row>
    <row r="138" spans="1:31" x14ac:dyDescent="0.25">
      <c r="A138" s="2" t="s">
        <v>521</v>
      </c>
      <c r="B138" s="2">
        <v>2018</v>
      </c>
      <c r="C138" s="2" t="s">
        <v>522</v>
      </c>
      <c r="D138" s="2" t="s">
        <v>322</v>
      </c>
      <c r="E138" s="2">
        <v>9.1685999999999996</v>
      </c>
      <c r="F138" s="2">
        <v>15.185600000000001</v>
      </c>
      <c r="G138" s="2">
        <v>13.713900000000001</v>
      </c>
      <c r="H138" s="2">
        <v>1.6067</v>
      </c>
      <c r="I138" s="2">
        <v>0.75339999999999996</v>
      </c>
      <c r="J138">
        <v>57.959863377493505</v>
      </c>
      <c r="K138">
        <v>14.2753547189028</v>
      </c>
      <c r="L138" s="2">
        <v>1.4811000000000001</v>
      </c>
      <c r="M138" s="2">
        <v>1.0366</v>
      </c>
      <c r="N138" s="2">
        <v>17.6462</v>
      </c>
      <c r="O138" s="2">
        <v>0.61770000000000003</v>
      </c>
      <c r="P138" s="2">
        <v>47.817599999999999</v>
      </c>
      <c r="Q138" s="2">
        <v>7.6142000000000003</v>
      </c>
      <c r="R138" s="2">
        <v>2.30475159540048</v>
      </c>
      <c r="S138" s="2">
        <v>36.4660272322336</v>
      </c>
      <c r="T138" s="2">
        <v>32.766955360296599</v>
      </c>
      <c r="U138" s="2">
        <v>62.260899999999999</v>
      </c>
      <c r="V138" s="2">
        <v>19.9179660740621</v>
      </c>
      <c r="W138" s="2">
        <v>16.750217764867699</v>
      </c>
      <c r="X138" s="2">
        <v>108.45753682572401</v>
      </c>
      <c r="Y138" s="2">
        <v>22.433347167972101</v>
      </c>
      <c r="Z138" s="4">
        <v>6.6000000000000005</v>
      </c>
      <c r="AA138" s="4">
        <v>8.1</v>
      </c>
      <c r="AB138" s="2">
        <v>2.1</v>
      </c>
      <c r="AC138" s="2">
        <v>12.5</v>
      </c>
      <c r="AD138" s="2">
        <v>6.7000000000000028</v>
      </c>
      <c r="AE138" s="2">
        <v>0</v>
      </c>
    </row>
    <row r="139" spans="1:31" x14ac:dyDescent="0.25">
      <c r="A139" s="2" t="s">
        <v>521</v>
      </c>
      <c r="B139" s="2">
        <v>2020</v>
      </c>
      <c r="C139" s="2" t="s">
        <v>522</v>
      </c>
      <c r="D139" s="2" t="s">
        <v>322</v>
      </c>
      <c r="E139" s="2">
        <v>5.6818</v>
      </c>
      <c r="F139" s="2">
        <v>11.214499999999999</v>
      </c>
      <c r="G139" s="2">
        <v>11.356400000000001</v>
      </c>
      <c r="H139" s="2">
        <v>1.4149</v>
      </c>
      <c r="I139" s="2">
        <v>0.5403</v>
      </c>
      <c r="J139">
        <v>35.517492222910299</v>
      </c>
      <c r="K139">
        <v>-1.3228234588533099</v>
      </c>
      <c r="L139" s="2">
        <v>0.86380000000000001</v>
      </c>
      <c r="M139" s="2">
        <v>0.67610000000000003</v>
      </c>
      <c r="N139" s="2">
        <v>10.967499999999999</v>
      </c>
      <c r="O139" s="2">
        <v>0.41620000000000001</v>
      </c>
      <c r="P139" s="2">
        <v>35.5959</v>
      </c>
      <c r="Q139" s="2">
        <v>0.71450000000000002</v>
      </c>
      <c r="R139" s="2">
        <v>3.0487971678781101</v>
      </c>
      <c r="S139" s="2">
        <v>11.0739715751139</v>
      </c>
      <c r="T139" s="2">
        <v>2.0501891654636402</v>
      </c>
      <c r="U139" s="2">
        <v>64.305800000000005</v>
      </c>
      <c r="V139" s="2">
        <v>22.7534752273063</v>
      </c>
      <c r="W139" s="2">
        <v>7.8955719962387096</v>
      </c>
      <c r="X139" s="2">
        <v>96.294058914431105</v>
      </c>
      <c r="Y139" s="2">
        <v>-2.1675741345201098</v>
      </c>
      <c r="Z139" s="4">
        <v>2.2999999999999998</v>
      </c>
      <c r="AA139" s="4">
        <v>10.100000000000001</v>
      </c>
      <c r="AB139" s="2">
        <v>2.5</v>
      </c>
      <c r="AC139" s="2">
        <v>16.100000000000001</v>
      </c>
      <c r="AD139" s="2">
        <v>-0.90000000000000568</v>
      </c>
      <c r="AE139" s="2">
        <v>0</v>
      </c>
    </row>
    <row r="140" spans="1:31" x14ac:dyDescent="0.25">
      <c r="A140" s="2" t="s">
        <v>523</v>
      </c>
      <c r="B140" s="2">
        <v>2014</v>
      </c>
      <c r="C140" s="2" t="s">
        <v>524</v>
      </c>
      <c r="D140" s="2" t="s">
        <v>322</v>
      </c>
      <c r="E140" s="2">
        <v>7.6833</v>
      </c>
      <c r="F140" s="2">
        <v>10.2873</v>
      </c>
      <c r="G140" s="2">
        <v>1.2366999999999999</v>
      </c>
      <c r="H140" s="2">
        <v>1.7859</v>
      </c>
      <c r="I140" s="2">
        <v>1.2533000000000001</v>
      </c>
      <c r="J140">
        <v>72.251055765771895</v>
      </c>
      <c r="K140">
        <v>4.3880506270442705</v>
      </c>
      <c r="L140" s="2">
        <v>5.9683000000000002</v>
      </c>
      <c r="M140" s="2">
        <v>1.8729</v>
      </c>
      <c r="N140" s="2">
        <v>7.0289999999999999</v>
      </c>
      <c r="O140" s="2">
        <v>1.1273</v>
      </c>
      <c r="P140" s="2">
        <v>16.248999999999999</v>
      </c>
      <c r="Q140" s="2">
        <v>-16.765899999999998</v>
      </c>
      <c r="R140" s="2">
        <v>19.650137549956501</v>
      </c>
      <c r="S140" s="2">
        <v>11.0337153007225</v>
      </c>
      <c r="T140" s="2">
        <v>9.1484342325774204</v>
      </c>
      <c r="U140" s="2">
        <v>41.111199999999997</v>
      </c>
      <c r="V140" s="2">
        <v>8.3852209647224694</v>
      </c>
      <c r="W140" s="2">
        <v>3.8413259574624399</v>
      </c>
      <c r="X140" s="2">
        <v>94.820790634265791</v>
      </c>
      <c r="Y140" s="2">
        <v>1.6833250987261701</v>
      </c>
      <c r="Z140" s="4">
        <v>7.3</v>
      </c>
      <c r="AA140" s="4">
        <v>12.2</v>
      </c>
      <c r="AB140" s="2">
        <v>2</v>
      </c>
      <c r="AC140" s="2">
        <v>16.899999999999999</v>
      </c>
      <c r="AD140" s="2">
        <v>10.299999999999997</v>
      </c>
      <c r="AE140" s="2">
        <v>0</v>
      </c>
    </row>
    <row r="141" spans="1:31" x14ac:dyDescent="0.25">
      <c r="A141" s="2" t="s">
        <v>523</v>
      </c>
      <c r="B141" s="2">
        <v>2016</v>
      </c>
      <c r="C141" s="2" t="s">
        <v>524</v>
      </c>
      <c r="D141" s="2" t="s">
        <v>322</v>
      </c>
      <c r="E141" s="2">
        <v>6.9359999999999999</v>
      </c>
      <c r="F141" s="2">
        <v>9.1312999999999995</v>
      </c>
      <c r="G141" s="2">
        <v>-0.52390000000000003</v>
      </c>
      <c r="H141" s="2">
        <v>2.1804999999999999</v>
      </c>
      <c r="I141" s="2">
        <v>1.7044999999999999</v>
      </c>
      <c r="J141">
        <v>102.27581917926301</v>
      </c>
      <c r="K141">
        <v>8.8244313114488513</v>
      </c>
      <c r="L141" s="2">
        <v>7.1379000000000001</v>
      </c>
      <c r="M141" s="2">
        <v>1.9464999999999999</v>
      </c>
      <c r="N141" s="2">
        <v>7.6790000000000003</v>
      </c>
      <c r="O141" s="2">
        <v>1.0401</v>
      </c>
      <c r="P141" s="2">
        <v>19.872599999999998</v>
      </c>
      <c r="Q141" s="2">
        <v>20.8582</v>
      </c>
      <c r="R141" s="2">
        <v>6.8323573536218003</v>
      </c>
      <c r="S141" s="2">
        <v>6.3532095441669902</v>
      </c>
      <c r="T141" s="2">
        <v>8.6808052787024508</v>
      </c>
      <c r="U141" s="2">
        <v>47.4069</v>
      </c>
      <c r="V141" s="2">
        <v>22.753005900306398</v>
      </c>
      <c r="W141" s="2">
        <v>3.6931552502790002</v>
      </c>
      <c r="X141" s="2">
        <v>100.884409541477</v>
      </c>
      <c r="Y141" s="2">
        <v>4.1457520395076299</v>
      </c>
      <c r="Z141" s="4">
        <v>6.7</v>
      </c>
      <c r="AA141" s="4">
        <v>11.3</v>
      </c>
      <c r="AB141" s="2">
        <v>2</v>
      </c>
      <c r="AC141" s="2">
        <v>15.9</v>
      </c>
      <c r="AD141" s="2">
        <v>7.7000000000000028</v>
      </c>
      <c r="AE141" s="2">
        <v>0</v>
      </c>
    </row>
    <row r="142" spans="1:31" x14ac:dyDescent="0.25">
      <c r="A142" s="2" t="s">
        <v>525</v>
      </c>
      <c r="B142" s="2">
        <v>2016</v>
      </c>
      <c r="C142" s="2" t="s">
        <v>526</v>
      </c>
      <c r="D142" s="2" t="s">
        <v>336</v>
      </c>
      <c r="E142" s="2">
        <v>14.520200000000001</v>
      </c>
      <c r="F142" s="2">
        <v>18.257999999999999</v>
      </c>
      <c r="G142" s="2">
        <v>23.102</v>
      </c>
      <c r="H142" s="2">
        <v>1.5444</v>
      </c>
      <c r="I142" s="2">
        <v>1.2569999999999999</v>
      </c>
      <c r="J142">
        <v>83.420524541372302</v>
      </c>
      <c r="K142">
        <v>30.7506782958496</v>
      </c>
      <c r="L142" s="2">
        <v>3.5840999999999998</v>
      </c>
      <c r="M142" s="2">
        <v>1.2088000000000001</v>
      </c>
      <c r="N142" s="2">
        <v>1.9604999999999999</v>
      </c>
      <c r="O142" s="2">
        <v>0.60780000000000001</v>
      </c>
      <c r="P142" s="2">
        <v>5.1951999999999998</v>
      </c>
      <c r="Q142" s="2">
        <v>22.4544</v>
      </c>
      <c r="R142" s="2">
        <v>20.526107496885501</v>
      </c>
      <c r="S142" s="2">
        <v>20.295967443792499</v>
      </c>
      <c r="T142" s="2">
        <v>9.9032667442097502</v>
      </c>
      <c r="U142" s="2">
        <v>39.601399999999998</v>
      </c>
      <c r="V142" s="2">
        <v>7.1478763880355096</v>
      </c>
      <c r="W142" s="2">
        <v>1.9479359511296599</v>
      </c>
      <c r="X142" s="2">
        <v>103.97274186115</v>
      </c>
      <c r="Y142" s="2">
        <v>21.248219409031599</v>
      </c>
      <c r="Z142" s="4">
        <v>6.7</v>
      </c>
      <c r="AA142" s="4">
        <v>11.3</v>
      </c>
      <c r="AB142" s="2">
        <v>2</v>
      </c>
      <c r="AC142" s="2">
        <v>15.9</v>
      </c>
      <c r="AD142" s="2">
        <v>7.7000000000000028</v>
      </c>
      <c r="AE142" s="2">
        <v>0</v>
      </c>
    </row>
    <row r="143" spans="1:31" x14ac:dyDescent="0.25">
      <c r="A143" s="2" t="s">
        <v>525</v>
      </c>
      <c r="B143" s="2">
        <v>2018</v>
      </c>
      <c r="C143" s="2" t="s">
        <v>526</v>
      </c>
      <c r="D143" s="2" t="s">
        <v>336</v>
      </c>
      <c r="E143" s="2">
        <v>15.4169</v>
      </c>
      <c r="F143" s="2">
        <v>21.0273</v>
      </c>
      <c r="G143" s="2">
        <v>24.589500000000001</v>
      </c>
      <c r="H143" s="2">
        <v>1.2608999999999999</v>
      </c>
      <c r="I143" s="2">
        <v>0.99860000000000004</v>
      </c>
      <c r="J143">
        <v>60.3995276958305</v>
      </c>
      <c r="K143">
        <v>40.612807052586604</v>
      </c>
      <c r="L143" s="2">
        <v>3.7330000000000001</v>
      </c>
      <c r="M143" s="2">
        <v>1.3224</v>
      </c>
      <c r="N143" s="2">
        <v>1.6323000000000001</v>
      </c>
      <c r="O143" s="2">
        <v>0.61109999999999998</v>
      </c>
      <c r="P143" s="2">
        <v>5.5335000000000001</v>
      </c>
      <c r="Q143" s="2">
        <v>8.0648</v>
      </c>
      <c r="R143" s="2">
        <v>30.459220683784999</v>
      </c>
      <c r="S143" s="2">
        <v>8.7888857778912097</v>
      </c>
      <c r="T143" s="2">
        <v>6.2632543549631103</v>
      </c>
      <c r="U143" s="2">
        <v>41.462400000000002</v>
      </c>
      <c r="V143" s="2">
        <v>5.6326828253612504</v>
      </c>
      <c r="W143" s="2">
        <v>1.48223338617986</v>
      </c>
      <c r="X143" s="2">
        <v>112.380438437214</v>
      </c>
      <c r="Y143" s="2">
        <v>26.953739673641703</v>
      </c>
      <c r="Z143" s="4">
        <v>6.6000000000000005</v>
      </c>
      <c r="AA143" s="4">
        <v>8.1</v>
      </c>
      <c r="AB143" s="2">
        <v>2.1</v>
      </c>
      <c r="AC143" s="2">
        <v>12.5</v>
      </c>
      <c r="AD143" s="2">
        <v>6.7000000000000028</v>
      </c>
      <c r="AE143" s="2">
        <v>0</v>
      </c>
    </row>
    <row r="144" spans="1:31" x14ac:dyDescent="0.25">
      <c r="A144" s="2" t="s">
        <v>525</v>
      </c>
      <c r="B144" s="2">
        <v>2020</v>
      </c>
      <c r="C144" s="2" t="s">
        <v>526</v>
      </c>
      <c r="D144" s="2" t="s">
        <v>336</v>
      </c>
      <c r="E144" s="2">
        <v>8.2175999999999991</v>
      </c>
      <c r="F144" s="2">
        <v>12.1065</v>
      </c>
      <c r="G144" s="2">
        <v>16.409800000000001</v>
      </c>
      <c r="H144" s="2">
        <v>1.5299</v>
      </c>
      <c r="I144" s="2">
        <v>1.2594000000000001</v>
      </c>
      <c r="J144">
        <v>75.257716761838495</v>
      </c>
      <c r="K144">
        <v>31.3541887575362</v>
      </c>
      <c r="L144" s="2">
        <v>3.6705999999999999</v>
      </c>
      <c r="M144" s="2">
        <v>1.0958000000000001</v>
      </c>
      <c r="N144" s="2">
        <v>1.3833</v>
      </c>
      <c r="O144" s="2">
        <v>0.51539999999999997</v>
      </c>
      <c r="P144" s="2">
        <v>5.5358000000000001</v>
      </c>
      <c r="Q144" s="2">
        <v>-5.6733000000000002</v>
      </c>
      <c r="R144" s="2">
        <v>-10.342042639547399</v>
      </c>
      <c r="S144" s="2">
        <v>-1.03706671634695</v>
      </c>
      <c r="T144" s="2">
        <v>1.0488884318023499</v>
      </c>
      <c r="U144" s="2">
        <v>43.808300000000003</v>
      </c>
      <c r="V144" s="2">
        <v>12.2321437004889</v>
      </c>
      <c r="W144" s="2">
        <v>1.5148631915425399</v>
      </c>
      <c r="X144" s="2">
        <v>102.401038162397</v>
      </c>
      <c r="Y144" s="2">
        <v>24.361365533463299</v>
      </c>
      <c r="Z144" s="4">
        <v>2.2999999999999998</v>
      </c>
      <c r="AA144" s="4">
        <v>10.100000000000001</v>
      </c>
      <c r="AB144" s="2">
        <v>2.5</v>
      </c>
      <c r="AC144" s="2">
        <v>16.100000000000001</v>
      </c>
      <c r="AD144" s="2">
        <v>-0.90000000000000568</v>
      </c>
      <c r="AE144" s="2">
        <v>0</v>
      </c>
    </row>
    <row r="145" spans="1:31" x14ac:dyDescent="0.25">
      <c r="A145" s="2" t="s">
        <v>527</v>
      </c>
      <c r="B145" s="2">
        <v>2018</v>
      </c>
      <c r="C145" s="2" t="s">
        <v>528</v>
      </c>
      <c r="D145" s="2" t="s">
        <v>336</v>
      </c>
      <c r="E145" s="2">
        <v>7.8574000000000002</v>
      </c>
      <c r="F145" s="2">
        <v>10.4901</v>
      </c>
      <c r="G145" s="2">
        <v>1.5228999999999999</v>
      </c>
      <c r="H145" s="2">
        <v>1.2781</v>
      </c>
      <c r="I145" s="2">
        <v>0.94689999999999996</v>
      </c>
      <c r="J145">
        <v>37.903173804626398</v>
      </c>
      <c r="K145">
        <v>7.2302440090379001</v>
      </c>
      <c r="L145" s="2">
        <v>8.2140000000000004</v>
      </c>
      <c r="M145" s="2">
        <v>2.5306000000000002</v>
      </c>
      <c r="N145" s="2">
        <v>5.8802000000000003</v>
      </c>
      <c r="O145" s="2">
        <v>1.1868000000000001</v>
      </c>
      <c r="P145" s="2">
        <v>7.7816999999999998</v>
      </c>
      <c r="Q145" s="2">
        <v>111.2072</v>
      </c>
      <c r="R145" s="2">
        <v>186.37964622374801</v>
      </c>
      <c r="S145" s="2">
        <v>67.784216772192096</v>
      </c>
      <c r="T145" s="2">
        <v>-1.9867263278225999</v>
      </c>
      <c r="U145" s="2">
        <v>69.345600000000005</v>
      </c>
      <c r="V145" s="2">
        <v>30.834836935907301</v>
      </c>
      <c r="W145" s="2">
        <v>1.4179539060956501</v>
      </c>
      <c r="X145" s="2">
        <v>108.90380965321799</v>
      </c>
      <c r="Y145" s="2">
        <v>5.2940151860442501</v>
      </c>
      <c r="Z145" s="4">
        <v>6.6000000000000005</v>
      </c>
      <c r="AA145" s="4">
        <v>8.1</v>
      </c>
      <c r="AB145" s="2">
        <v>2.1</v>
      </c>
      <c r="AC145" s="2">
        <v>12.5</v>
      </c>
      <c r="AD145" s="2">
        <v>6.7000000000000028</v>
      </c>
      <c r="AE145" s="2">
        <v>0</v>
      </c>
    </row>
    <row r="146" spans="1:31" x14ac:dyDescent="0.25">
      <c r="A146" s="2" t="s">
        <v>527</v>
      </c>
      <c r="B146" s="2">
        <v>2020</v>
      </c>
      <c r="C146" s="2" t="s">
        <v>528</v>
      </c>
      <c r="D146" s="2" t="s">
        <v>336</v>
      </c>
      <c r="E146" s="2">
        <v>2.7238000000000002</v>
      </c>
      <c r="F146" s="2">
        <v>4.4413</v>
      </c>
      <c r="G146" s="2">
        <v>1.0169999999999999</v>
      </c>
      <c r="H146" s="2">
        <v>1.2756000000000001</v>
      </c>
      <c r="I146" s="2">
        <v>0.96709999999999996</v>
      </c>
      <c r="J146">
        <v>51.249770434207896</v>
      </c>
      <c r="K146">
        <v>8.4810812332691992</v>
      </c>
      <c r="L146" s="2">
        <v>6.0975999999999999</v>
      </c>
      <c r="M146" s="2">
        <v>1.8431</v>
      </c>
      <c r="N146" s="2">
        <v>3.9222000000000001</v>
      </c>
      <c r="O146" s="2">
        <v>0.84619999999999995</v>
      </c>
      <c r="P146" s="2">
        <v>6.3380999999999998</v>
      </c>
      <c r="Q146" s="2">
        <v>-22.407499999999999</v>
      </c>
      <c r="R146" s="2">
        <v>-85.964303411953395</v>
      </c>
      <c r="S146" s="2">
        <v>-1.15886297332087</v>
      </c>
      <c r="T146" s="2">
        <v>20.597503839431599</v>
      </c>
      <c r="U146" s="2">
        <v>65.398600000000002</v>
      </c>
      <c r="V146" s="2">
        <v>28.921362781118699</v>
      </c>
      <c r="W146" s="2">
        <v>1.69818791074108</v>
      </c>
      <c r="X146" s="2">
        <v>116.07992747040198</v>
      </c>
      <c r="Y146" s="2">
        <v>6.51652106318185</v>
      </c>
      <c r="Z146" s="4">
        <v>2.2999999999999998</v>
      </c>
      <c r="AA146" s="4">
        <v>10.100000000000001</v>
      </c>
      <c r="AB146" s="2">
        <v>2.5</v>
      </c>
      <c r="AC146" s="2">
        <v>16.100000000000001</v>
      </c>
      <c r="AD146" s="2">
        <v>-0.90000000000000568</v>
      </c>
      <c r="AE146" s="2">
        <v>0</v>
      </c>
    </row>
    <row r="147" spans="1:31" x14ac:dyDescent="0.25">
      <c r="A147" s="2" t="s">
        <v>529</v>
      </c>
      <c r="B147" s="2">
        <v>2014</v>
      </c>
      <c r="C147" s="2" t="s">
        <v>530</v>
      </c>
      <c r="D147" s="2" t="s">
        <v>321</v>
      </c>
      <c r="E147" s="2">
        <v>12.315200000000001</v>
      </c>
      <c r="F147" s="2">
        <v>34.046900000000001</v>
      </c>
      <c r="G147" s="2">
        <v>13.562799999999999</v>
      </c>
      <c r="H147" s="2">
        <v>0.91369999999999996</v>
      </c>
      <c r="I147" s="2">
        <v>0.74660000000000004</v>
      </c>
      <c r="J147">
        <v>69.866482968068993</v>
      </c>
      <c r="K147">
        <v>8.5456836678850596</v>
      </c>
      <c r="L147" s="2">
        <v>7.6570999999999998</v>
      </c>
      <c r="M147" s="2">
        <v>1.8404</v>
      </c>
      <c r="N147" s="2">
        <v>3.7385999999999999</v>
      </c>
      <c r="O147" s="2">
        <v>0.86</v>
      </c>
      <c r="P147" s="2">
        <v>92.920599999999993</v>
      </c>
      <c r="Q147" s="2">
        <v>34.2562</v>
      </c>
      <c r="R147" s="2">
        <v>125.667348387857</v>
      </c>
      <c r="S147" s="2">
        <v>27.604217756313599</v>
      </c>
      <c r="T147" s="2">
        <v>35.9555879854477</v>
      </c>
      <c r="U147" s="2">
        <v>63.472000000000001</v>
      </c>
      <c r="V147" s="2">
        <v>7.0449582565888003</v>
      </c>
      <c r="W147" s="2">
        <v>1.747640008873</v>
      </c>
      <c r="X147" s="2">
        <v>88.956824432989507</v>
      </c>
      <c r="Y147" s="2">
        <v>7.1436094165589505</v>
      </c>
      <c r="Z147" s="4">
        <v>7.3</v>
      </c>
      <c r="AA147" s="4">
        <v>12.2</v>
      </c>
      <c r="AB147" s="2">
        <v>2</v>
      </c>
      <c r="AC147" s="2">
        <v>16.899999999999999</v>
      </c>
      <c r="AD147" s="2">
        <v>10.299999999999997</v>
      </c>
      <c r="AE147" s="2">
        <v>0</v>
      </c>
    </row>
    <row r="148" spans="1:31" x14ac:dyDescent="0.25">
      <c r="A148" s="2" t="s">
        <v>531</v>
      </c>
      <c r="B148" s="2">
        <v>2019</v>
      </c>
      <c r="C148" s="2" t="s">
        <v>532</v>
      </c>
      <c r="D148" s="2" t="s">
        <v>321</v>
      </c>
      <c r="E148" s="2">
        <v>2.8521999999999998</v>
      </c>
      <c r="F148" s="2">
        <v>2.8839999999999999</v>
      </c>
      <c r="G148" s="2">
        <v>1.8102</v>
      </c>
      <c r="H148" s="2">
        <v>0.99019999999999997</v>
      </c>
      <c r="I148" s="2">
        <v>0.75349999999999995</v>
      </c>
      <c r="J148">
        <v>11.741693640686899</v>
      </c>
      <c r="K148">
        <v>11.080117131236699</v>
      </c>
      <c r="L148" s="2">
        <v>3.2804000000000002</v>
      </c>
      <c r="M148" s="2">
        <v>1.1498999999999999</v>
      </c>
      <c r="N148" s="2">
        <v>2.7435</v>
      </c>
      <c r="O148" s="2">
        <v>0.65469999999999995</v>
      </c>
      <c r="P148" s="2">
        <v>2.7406999999999999</v>
      </c>
      <c r="Q148" s="2">
        <v>-1.0500000000000001E-2</v>
      </c>
      <c r="R148" s="2">
        <v>-40.417828841123097</v>
      </c>
      <c r="S148" s="2">
        <v>0.55019277094303198</v>
      </c>
      <c r="T148" s="2">
        <v>2.8334211591232501</v>
      </c>
      <c r="U148" s="2">
        <v>68.001999999999995</v>
      </c>
      <c r="V148" s="2">
        <v>12.7842068838603</v>
      </c>
      <c r="W148" s="2">
        <v>1.26612390420069</v>
      </c>
      <c r="X148" s="2">
        <v>83.894910073447505</v>
      </c>
      <c r="Y148" s="2">
        <v>11.539985474859501</v>
      </c>
      <c r="Z148" s="4">
        <v>6</v>
      </c>
      <c r="AA148" s="4">
        <v>8.6999999999999993</v>
      </c>
      <c r="AB148" s="2">
        <v>2.9</v>
      </c>
      <c r="AC148" s="2">
        <v>15.6</v>
      </c>
      <c r="AD148" s="2">
        <v>5.5999999999999943</v>
      </c>
      <c r="AE148" s="2">
        <v>0</v>
      </c>
    </row>
    <row r="149" spans="1:31" x14ac:dyDescent="0.25">
      <c r="A149" s="2" t="s">
        <v>533</v>
      </c>
      <c r="B149" s="2">
        <v>2014</v>
      </c>
      <c r="C149" s="2" t="s">
        <v>534</v>
      </c>
      <c r="D149" s="2" t="s">
        <v>321</v>
      </c>
      <c r="E149" s="2">
        <v>5.5277000000000003</v>
      </c>
      <c r="F149" s="2">
        <v>9.2913999999999994</v>
      </c>
      <c r="G149" s="2">
        <v>12.0481</v>
      </c>
      <c r="H149" s="2">
        <v>1.3324</v>
      </c>
      <c r="I149" s="2">
        <v>1.2009000000000001</v>
      </c>
      <c r="J149">
        <v>92.144031543556807</v>
      </c>
      <c r="K149">
        <v>4.2162199789845403</v>
      </c>
      <c r="L149" s="2">
        <v>8.0729000000000006</v>
      </c>
      <c r="M149" s="2">
        <v>0.8367</v>
      </c>
      <c r="N149" s="2">
        <v>3.0868000000000002</v>
      </c>
      <c r="O149" s="2">
        <v>0.37259999999999999</v>
      </c>
      <c r="P149" s="2">
        <v>21.474900000000002</v>
      </c>
      <c r="Q149" s="2">
        <v>18.867899999999999</v>
      </c>
      <c r="R149" s="2">
        <v>15.032194364767699</v>
      </c>
      <c r="S149" s="2">
        <v>7.8360833489467998</v>
      </c>
      <c r="T149" s="2">
        <v>6.1984329113358596</v>
      </c>
      <c r="U149" s="2">
        <v>42.047199999999997</v>
      </c>
      <c r="V149" s="2">
        <v>9.5519148089769992</v>
      </c>
      <c r="W149" s="2">
        <v>4.5711026267642598</v>
      </c>
      <c r="X149" s="2">
        <v>119.37832506071101</v>
      </c>
      <c r="Y149" s="2">
        <v>1.5532848875657801</v>
      </c>
      <c r="Z149" s="4">
        <v>7.3</v>
      </c>
      <c r="AA149" s="4">
        <v>12.2</v>
      </c>
      <c r="AB149" s="2">
        <v>2</v>
      </c>
      <c r="AC149" s="2">
        <v>16.899999999999999</v>
      </c>
      <c r="AD149" s="2">
        <v>10.299999999999997</v>
      </c>
      <c r="AE149" s="2">
        <v>0</v>
      </c>
    </row>
    <row r="150" spans="1:31" x14ac:dyDescent="0.25">
      <c r="A150" s="2" t="s">
        <v>535</v>
      </c>
      <c r="B150" s="2">
        <v>2016</v>
      </c>
      <c r="C150" s="2" t="s">
        <v>536</v>
      </c>
      <c r="D150" s="2" t="s">
        <v>328</v>
      </c>
      <c r="E150" s="2">
        <v>3.7584</v>
      </c>
      <c r="F150" s="2">
        <v>3.2545000000000002</v>
      </c>
      <c r="G150" s="2">
        <v>5.57</v>
      </c>
      <c r="H150" s="2">
        <v>0.66930000000000001</v>
      </c>
      <c r="I150" s="2">
        <v>0.63759999999999994</v>
      </c>
      <c r="J150">
        <v>44.848886505114102</v>
      </c>
      <c r="K150">
        <v>12.3115719579549</v>
      </c>
      <c r="L150" s="2">
        <v>22.4651</v>
      </c>
      <c r="M150" s="2">
        <v>1.4490000000000001</v>
      </c>
      <c r="N150" s="2">
        <v>1.5472999999999999</v>
      </c>
      <c r="O150" s="2">
        <v>0.49559999999999998</v>
      </c>
      <c r="P150" s="2">
        <v>5.0856000000000003</v>
      </c>
      <c r="Q150" s="2">
        <v>10.597</v>
      </c>
      <c r="R150" s="2">
        <v>2063.95385930372</v>
      </c>
      <c r="S150" s="2">
        <v>23.5674976268931</v>
      </c>
      <c r="T150" s="2">
        <v>5.1379313890726896</v>
      </c>
      <c r="U150" s="2">
        <v>66.430199999999999</v>
      </c>
      <c r="V150" s="2">
        <v>12.632261487696599</v>
      </c>
      <c r="W150" s="2">
        <v>0.98098367561136302</v>
      </c>
      <c r="X150" s="2">
        <v>77.934905735742802</v>
      </c>
      <c r="Y150" s="2">
        <v>18.277144536007402</v>
      </c>
      <c r="Z150" s="4">
        <v>6.7</v>
      </c>
      <c r="AA150" s="4">
        <v>11.3</v>
      </c>
      <c r="AB150" s="2">
        <v>2</v>
      </c>
      <c r="AC150" s="2">
        <v>15.9</v>
      </c>
      <c r="AD150" s="2">
        <v>7.7000000000000028</v>
      </c>
      <c r="AE150" s="2">
        <v>0</v>
      </c>
    </row>
    <row r="151" spans="1:31" x14ac:dyDescent="0.25">
      <c r="A151" s="2" t="s">
        <v>537</v>
      </c>
      <c r="B151" s="2">
        <v>2015</v>
      </c>
      <c r="C151" s="2" t="s">
        <v>538</v>
      </c>
      <c r="D151" s="2" t="s">
        <v>328</v>
      </c>
      <c r="E151" s="2">
        <v>2.8313000000000001</v>
      </c>
      <c r="F151" s="2">
        <v>2.5524</v>
      </c>
      <c r="G151" s="2">
        <v>3.7719</v>
      </c>
      <c r="H151" s="2">
        <v>0.58030000000000004</v>
      </c>
      <c r="I151" s="2">
        <v>0.28179999999999999</v>
      </c>
      <c r="J151">
        <v>5.8867662305846302</v>
      </c>
      <c r="K151">
        <v>4.8491147063738103</v>
      </c>
      <c r="L151" s="2">
        <v>1.6069</v>
      </c>
      <c r="M151" s="2">
        <v>1.0162</v>
      </c>
      <c r="N151" s="2">
        <v>0.9335</v>
      </c>
      <c r="O151" s="2">
        <v>0.22220000000000001</v>
      </c>
      <c r="P151" s="2">
        <v>5.9336000000000002</v>
      </c>
      <c r="Q151" s="2">
        <v>-19.653300000000002</v>
      </c>
      <c r="R151" s="2">
        <v>35.0080505495227</v>
      </c>
      <c r="S151" s="2">
        <v>41.865784291511197</v>
      </c>
      <c r="T151" s="2">
        <v>46.657288060425103</v>
      </c>
      <c r="U151" s="2">
        <v>38.0015</v>
      </c>
      <c r="V151" s="2">
        <v>7.7307201961200809</v>
      </c>
      <c r="W151" s="2">
        <v>3.1631370614718599</v>
      </c>
      <c r="X151" s="2">
        <v>96.311503271543401</v>
      </c>
      <c r="Y151" s="2">
        <v>9.7285223715027396</v>
      </c>
      <c r="Z151" s="4">
        <v>6.9099999999999993</v>
      </c>
      <c r="AA151" s="4">
        <v>13.3</v>
      </c>
      <c r="AB151" s="2">
        <v>1.4</v>
      </c>
      <c r="AC151" s="2">
        <v>17.600000000000001</v>
      </c>
      <c r="AD151" s="2">
        <v>5.7000000000000028</v>
      </c>
      <c r="AE151" s="2">
        <v>0</v>
      </c>
    </row>
    <row r="152" spans="1:31" x14ac:dyDescent="0.25">
      <c r="A152" s="2" t="s">
        <v>537</v>
      </c>
      <c r="B152" s="2">
        <v>2020</v>
      </c>
      <c r="C152" s="2" t="s">
        <v>538</v>
      </c>
      <c r="D152" s="2" t="s">
        <v>328</v>
      </c>
      <c r="E152" s="2">
        <v>1.3735999999999999</v>
      </c>
      <c r="F152" s="2">
        <v>0.86529999999999996</v>
      </c>
      <c r="G152" s="2">
        <v>1.7189000000000001</v>
      </c>
      <c r="H152" s="2">
        <v>0.56579999999999997</v>
      </c>
      <c r="I152" s="2">
        <v>0.1903</v>
      </c>
      <c r="J152">
        <v>6.1471904782932203</v>
      </c>
      <c r="K152">
        <v>7.64562156671556</v>
      </c>
      <c r="L152" s="2">
        <v>1.8357000000000001</v>
      </c>
      <c r="M152" s="2">
        <v>1.3992</v>
      </c>
      <c r="N152" s="2">
        <v>0.95309999999999995</v>
      </c>
      <c r="O152" s="2">
        <v>0.24399999999999999</v>
      </c>
      <c r="P152" s="2">
        <v>60.063699999999997</v>
      </c>
      <c r="Q152" s="2">
        <v>-1.9938</v>
      </c>
      <c r="R152" s="2">
        <v>-36.975884077882498</v>
      </c>
      <c r="S152" s="2">
        <v>2.3887224265776301</v>
      </c>
      <c r="T152" s="2">
        <v>0.83618574959300396</v>
      </c>
      <c r="U152" s="2">
        <v>38.011400000000002</v>
      </c>
      <c r="V152" s="2">
        <v>9.7306344110455196</v>
      </c>
      <c r="W152" s="2">
        <v>3.6289802548393002</v>
      </c>
      <c r="X152" s="2">
        <v>89.881533863172706</v>
      </c>
      <c r="Y152" s="2">
        <v>12.050325110025099</v>
      </c>
      <c r="Z152" s="4">
        <v>2.2999999999999998</v>
      </c>
      <c r="AA152" s="4">
        <v>10.100000000000001</v>
      </c>
      <c r="AB152" s="2">
        <v>2.5</v>
      </c>
      <c r="AC152" s="2">
        <v>16.100000000000001</v>
      </c>
      <c r="AD152" s="2">
        <v>3.7000000000000028</v>
      </c>
      <c r="AE152" s="2">
        <v>0</v>
      </c>
    </row>
    <row r="153" spans="1:31" x14ac:dyDescent="0.25">
      <c r="A153" s="2" t="s">
        <v>539</v>
      </c>
      <c r="B153" s="2">
        <v>2016</v>
      </c>
      <c r="C153" s="2" t="s">
        <v>540</v>
      </c>
      <c r="D153" s="2" t="s">
        <v>328</v>
      </c>
      <c r="E153" s="2">
        <v>4.1212999999999997</v>
      </c>
      <c r="F153" s="2">
        <v>7.4493</v>
      </c>
      <c r="G153" s="2">
        <v>4.8159000000000001</v>
      </c>
      <c r="H153" s="2">
        <v>0.68010000000000004</v>
      </c>
      <c r="I153" s="2">
        <v>0.61140000000000005</v>
      </c>
      <c r="J153">
        <v>52.976723683086199</v>
      </c>
      <c r="K153">
        <v>13.216682162604402</v>
      </c>
      <c r="L153" s="2">
        <v>10.811199999999999</v>
      </c>
      <c r="M153" s="2">
        <v>1.2788999999999999</v>
      </c>
      <c r="N153" s="2">
        <v>0.71399999999999997</v>
      </c>
      <c r="O153" s="2">
        <v>0.40010000000000001</v>
      </c>
      <c r="P153" s="2">
        <v>14.2036</v>
      </c>
      <c r="Q153" s="2">
        <v>18.332799999999999</v>
      </c>
      <c r="R153" s="2">
        <v>133.090457537101</v>
      </c>
      <c r="S153" s="2">
        <v>7.7019080627145504</v>
      </c>
      <c r="T153" s="2">
        <v>16.6796201904051</v>
      </c>
      <c r="U153" s="2">
        <v>69.693799999999996</v>
      </c>
      <c r="V153" s="2">
        <v>22.476241132855399</v>
      </c>
      <c r="W153" s="2">
        <v>0.52768947790577503</v>
      </c>
      <c r="X153" s="2">
        <v>82.992230810070495</v>
      </c>
      <c r="Y153" s="2">
        <v>23.878497017543701</v>
      </c>
      <c r="Z153" s="4">
        <v>6.7</v>
      </c>
      <c r="AA153" s="4">
        <v>11.3</v>
      </c>
      <c r="AB153" s="2">
        <v>2</v>
      </c>
      <c r="AC153" s="2">
        <v>15.9</v>
      </c>
      <c r="AD153" s="2">
        <v>7.7000000000000028</v>
      </c>
      <c r="AE153" s="2">
        <v>0</v>
      </c>
    </row>
    <row r="154" spans="1:31" x14ac:dyDescent="0.25">
      <c r="A154" s="2" t="s">
        <v>541</v>
      </c>
      <c r="B154" s="2">
        <v>2017</v>
      </c>
      <c r="C154" s="2" t="s">
        <v>542</v>
      </c>
      <c r="D154" s="2" t="s">
        <v>543</v>
      </c>
      <c r="E154" s="2">
        <v>11.0977</v>
      </c>
      <c r="F154" s="2">
        <v>21.593599999999999</v>
      </c>
      <c r="G154" s="2">
        <v>31.439499999999999</v>
      </c>
      <c r="H154" s="2">
        <v>0.97319999999999995</v>
      </c>
      <c r="I154" s="2">
        <v>0.8135</v>
      </c>
      <c r="J154">
        <v>50.1909197052126</v>
      </c>
      <c r="K154">
        <v>17.246972275227098</v>
      </c>
      <c r="L154" s="2">
        <v>4.0552000000000001</v>
      </c>
      <c r="M154" s="2">
        <v>0.7581</v>
      </c>
      <c r="N154" s="2">
        <v>0.5837</v>
      </c>
      <c r="O154" s="2">
        <v>0.28039999999999998</v>
      </c>
      <c r="P154" s="2">
        <v>2.0350999999999999</v>
      </c>
      <c r="Q154" s="2">
        <v>55.6584</v>
      </c>
      <c r="R154" s="2">
        <v>25.242167117965</v>
      </c>
      <c r="S154" s="2">
        <v>18.093981665598001</v>
      </c>
      <c r="T154" s="2">
        <v>130.37165431065</v>
      </c>
      <c r="U154" s="2">
        <v>55.651400000000002</v>
      </c>
      <c r="V154" s="2">
        <v>11.512185405128101</v>
      </c>
      <c r="W154" s="2">
        <v>1.0036582426063601</v>
      </c>
      <c r="X154" s="2">
        <v>64.543727128938897</v>
      </c>
      <c r="Y154" s="2">
        <v>37.070810305099599</v>
      </c>
      <c r="Z154" s="4">
        <v>6.9</v>
      </c>
      <c r="AA154" s="4">
        <v>8.2000000000000011</v>
      </c>
      <c r="AB154" s="2">
        <v>1.6</v>
      </c>
      <c r="AC154" s="2">
        <v>16.3</v>
      </c>
      <c r="AD154" s="2">
        <v>7.7999999999999972</v>
      </c>
      <c r="AE154" s="2">
        <v>0</v>
      </c>
    </row>
    <row r="155" spans="1:31" x14ac:dyDescent="0.25">
      <c r="A155" s="2" t="s">
        <v>544</v>
      </c>
      <c r="B155" s="2">
        <v>2014</v>
      </c>
      <c r="C155" s="2" t="s">
        <v>545</v>
      </c>
      <c r="D155" s="2" t="s">
        <v>304</v>
      </c>
      <c r="E155" s="2">
        <v>3.0531999999999999</v>
      </c>
      <c r="F155" s="2">
        <v>6.2173999999999996</v>
      </c>
      <c r="G155" s="2">
        <v>1.3689</v>
      </c>
      <c r="H155" s="2">
        <v>1.1153</v>
      </c>
      <c r="I155" s="2">
        <v>0.93400000000000005</v>
      </c>
      <c r="J155">
        <v>62.492395735165097</v>
      </c>
      <c r="K155">
        <v>-4.5128506379469302</v>
      </c>
      <c r="L155" s="2">
        <v>10.251799999999999</v>
      </c>
      <c r="M155" s="2">
        <v>2.4597000000000002</v>
      </c>
      <c r="N155" s="2">
        <v>12.764799999999999</v>
      </c>
      <c r="O155" s="2">
        <v>1.4017999999999999</v>
      </c>
      <c r="P155" s="2">
        <v>29.896899999999999</v>
      </c>
      <c r="Q155" s="2">
        <v>41.68</v>
      </c>
      <c r="R155" s="2">
        <v>9.49781503091336</v>
      </c>
      <c r="S155" s="2">
        <v>46.8095068471631</v>
      </c>
      <c r="T155" s="2">
        <v>86.920072266716005</v>
      </c>
      <c r="U155" s="2">
        <v>70.520499999999998</v>
      </c>
      <c r="V155" s="2">
        <v>22.520936336598901</v>
      </c>
      <c r="W155" s="2">
        <v>3.2668176189482501</v>
      </c>
      <c r="X155" s="2">
        <v>105.3501369666</v>
      </c>
      <c r="Y155" s="2">
        <v>-2.7008156819026503</v>
      </c>
      <c r="Z155" s="4">
        <v>7.3</v>
      </c>
      <c r="AA155" s="4">
        <v>12.2</v>
      </c>
      <c r="AB155" s="2">
        <v>2</v>
      </c>
      <c r="AC155" s="2">
        <v>16.899999999999999</v>
      </c>
      <c r="AD155" s="2">
        <v>10.299999999999997</v>
      </c>
      <c r="AE155" s="2">
        <v>0</v>
      </c>
    </row>
    <row r="156" spans="1:31" x14ac:dyDescent="0.25">
      <c r="A156" s="2" t="s">
        <v>544</v>
      </c>
      <c r="B156" s="2">
        <v>2020</v>
      </c>
      <c r="C156" s="2" t="s">
        <v>545</v>
      </c>
      <c r="D156" s="2" t="s">
        <v>304</v>
      </c>
      <c r="E156" s="2">
        <v>7.1478000000000002</v>
      </c>
      <c r="F156" s="2">
        <v>12.4039</v>
      </c>
      <c r="G156" s="2">
        <v>5.1779000000000002</v>
      </c>
      <c r="H156" s="2">
        <v>1.1948000000000001</v>
      </c>
      <c r="I156" s="2">
        <v>1.0239</v>
      </c>
      <c r="J156">
        <v>64.974022592422898</v>
      </c>
      <c r="K156">
        <v>4.9413333528771499</v>
      </c>
      <c r="L156" s="2">
        <v>12.3742</v>
      </c>
      <c r="M156" s="2">
        <v>1.7952999999999999</v>
      </c>
      <c r="N156" s="2">
        <v>3.9466999999999999</v>
      </c>
      <c r="O156" s="2">
        <v>1.0347999999999999</v>
      </c>
      <c r="P156" s="2">
        <v>17.536200000000001</v>
      </c>
      <c r="Q156" s="2">
        <v>-37.0321</v>
      </c>
      <c r="R156" s="2">
        <v>9.5337129725499192</v>
      </c>
      <c r="S156" s="2">
        <v>0.15106780264606201</v>
      </c>
      <c r="T156" s="2">
        <v>9.2382232268557996</v>
      </c>
      <c r="U156" s="2">
        <v>63.704700000000003</v>
      </c>
      <c r="V156" s="2">
        <v>17.388983761508499</v>
      </c>
      <c r="W156" s="2">
        <v>1.4301121588054899</v>
      </c>
      <c r="X156" s="2">
        <v>104.48954378082701</v>
      </c>
      <c r="Y156" s="2">
        <v>3.0441789573072899</v>
      </c>
      <c r="Z156" s="4">
        <v>2.2999999999999998</v>
      </c>
      <c r="AA156" s="4">
        <v>10.100000000000001</v>
      </c>
      <c r="AB156" s="2">
        <v>2.5</v>
      </c>
      <c r="AC156" s="2">
        <v>16.100000000000001</v>
      </c>
      <c r="AD156" s="2">
        <v>3.7000000000000028</v>
      </c>
      <c r="AE156" s="2">
        <v>0</v>
      </c>
    </row>
    <row r="157" spans="1:31" x14ac:dyDescent="0.25">
      <c r="A157" s="2" t="s">
        <v>546</v>
      </c>
      <c r="B157" s="2">
        <v>2014</v>
      </c>
      <c r="C157" s="2" t="s">
        <v>547</v>
      </c>
      <c r="D157" s="2" t="s">
        <v>344</v>
      </c>
      <c r="E157" s="2">
        <v>10.508800000000001</v>
      </c>
      <c r="F157" s="2">
        <v>13.193</v>
      </c>
      <c r="G157" s="2">
        <v>4.1291000000000002</v>
      </c>
      <c r="H157" s="2">
        <v>1.0495000000000001</v>
      </c>
      <c r="I157" s="2">
        <v>0.60150000000000003</v>
      </c>
      <c r="J157">
        <v>33.165784834215302</v>
      </c>
      <c r="K157">
        <v>11.674149402571899</v>
      </c>
      <c r="L157" s="2">
        <v>14.397600000000001</v>
      </c>
      <c r="M157" s="2">
        <v>6.4739000000000004</v>
      </c>
      <c r="N157" s="2">
        <v>11.74</v>
      </c>
      <c r="O157" s="2">
        <v>2.2248999999999999</v>
      </c>
      <c r="P157" s="2">
        <v>149.43510000000001</v>
      </c>
      <c r="Q157" s="2">
        <v>0.89249999999999996</v>
      </c>
      <c r="R157" s="2">
        <v>4.89505454084299</v>
      </c>
      <c r="S157" s="2">
        <v>10.878050106997</v>
      </c>
      <c r="T157" s="2">
        <v>35.149630986039803</v>
      </c>
      <c r="U157" s="2">
        <v>34.4664</v>
      </c>
      <c r="V157" s="2">
        <v>3.6322520983189404</v>
      </c>
      <c r="W157" s="2">
        <v>3.45631272650279</v>
      </c>
      <c r="X157" s="2">
        <v>105.77638212742899</v>
      </c>
      <c r="Y157" s="2">
        <v>1.9195948860735601</v>
      </c>
      <c r="Z157" s="4">
        <v>7.3</v>
      </c>
      <c r="AA157" s="4">
        <v>12.2</v>
      </c>
      <c r="AB157" s="2">
        <v>2</v>
      </c>
      <c r="AC157" s="2">
        <v>16.899999999999999</v>
      </c>
      <c r="AD157" s="2">
        <v>10.299999999999997</v>
      </c>
      <c r="AE157" s="2">
        <v>0</v>
      </c>
    </row>
    <row r="158" spans="1:31" x14ac:dyDescent="0.25">
      <c r="A158" s="2" t="s">
        <v>546</v>
      </c>
      <c r="B158" s="2">
        <v>2016</v>
      </c>
      <c r="C158" s="2" t="s">
        <v>547</v>
      </c>
      <c r="D158" s="2" t="s">
        <v>344</v>
      </c>
      <c r="E158" s="2">
        <v>9.4182000000000006</v>
      </c>
      <c r="F158" s="2">
        <v>12.413</v>
      </c>
      <c r="G158" s="2">
        <v>5.3071999999999999</v>
      </c>
      <c r="H158" s="2">
        <v>1.0481</v>
      </c>
      <c r="I158" s="2">
        <v>0.55910000000000004</v>
      </c>
      <c r="J158">
        <v>36.4995588762864</v>
      </c>
      <c r="K158">
        <v>26.288161686355497</v>
      </c>
      <c r="L158" s="2">
        <v>14.7401</v>
      </c>
      <c r="M158" s="2">
        <v>6.3815</v>
      </c>
      <c r="N158" s="2">
        <v>8.5553000000000008</v>
      </c>
      <c r="O158" s="2">
        <v>1.6771</v>
      </c>
      <c r="P158" s="2">
        <v>139.9716</v>
      </c>
      <c r="Q158" s="2">
        <v>-1.1469</v>
      </c>
      <c r="R158" s="2">
        <v>5.83767803595034</v>
      </c>
      <c r="S158" s="2">
        <v>6.1559996953980898</v>
      </c>
      <c r="T158" s="2">
        <v>6.4817387294568798</v>
      </c>
      <c r="U158" s="2">
        <v>31.659600000000001</v>
      </c>
      <c r="V158" s="2">
        <v>8.2382332718169007</v>
      </c>
      <c r="W158" s="2">
        <v>3.4059178671912398</v>
      </c>
      <c r="X158" s="2">
        <v>105.20580911563</v>
      </c>
      <c r="Y158" s="2">
        <v>5.1108434521333796</v>
      </c>
      <c r="Z158" s="4">
        <v>6.7</v>
      </c>
      <c r="AA158" s="4">
        <v>11.3</v>
      </c>
      <c r="AB158" s="2">
        <v>2</v>
      </c>
      <c r="AC158" s="2">
        <v>15.9</v>
      </c>
      <c r="AD158" s="2">
        <v>7.7000000000000028</v>
      </c>
      <c r="AE158" s="2">
        <v>0</v>
      </c>
    </row>
    <row r="159" spans="1:31" x14ac:dyDescent="0.25">
      <c r="A159" s="2" t="s">
        <v>546</v>
      </c>
      <c r="B159" s="2">
        <v>2020</v>
      </c>
      <c r="C159" s="2" t="s">
        <v>547</v>
      </c>
      <c r="D159" s="2" t="s">
        <v>344</v>
      </c>
      <c r="E159" s="2">
        <v>8.0303000000000004</v>
      </c>
      <c r="F159" s="2">
        <v>15.003299999999999</v>
      </c>
      <c r="G159" s="2">
        <v>6.1277999999999997</v>
      </c>
      <c r="H159" s="2">
        <v>0.9103</v>
      </c>
      <c r="I159" s="2">
        <v>0.4199</v>
      </c>
      <c r="J159">
        <v>27.6536942989779</v>
      </c>
      <c r="K159">
        <v>9.7432832851258198</v>
      </c>
      <c r="L159" s="2">
        <v>7.8673999999999999</v>
      </c>
      <c r="M159" s="2">
        <v>4.7510000000000003</v>
      </c>
      <c r="N159" s="2">
        <v>5.1462000000000003</v>
      </c>
      <c r="O159" s="2">
        <v>1.2647999999999999</v>
      </c>
      <c r="P159" s="2">
        <v>124.8446</v>
      </c>
      <c r="Q159" s="2">
        <v>33.869</v>
      </c>
      <c r="R159" s="2">
        <v>-5.3859017560429896</v>
      </c>
      <c r="S159" s="2">
        <v>70.425789153335003</v>
      </c>
      <c r="T159" s="2">
        <v>52.8923650550975</v>
      </c>
      <c r="U159" s="2">
        <v>53.061700000000002</v>
      </c>
      <c r="V159" s="2">
        <v>23.897504331949097</v>
      </c>
      <c r="W159" s="2">
        <v>1.7799430147461399</v>
      </c>
      <c r="X159" s="2">
        <v>103.46136345167301</v>
      </c>
      <c r="Y159" s="2">
        <v>5.15197627705209</v>
      </c>
      <c r="Z159" s="4">
        <v>2.2999999999999998</v>
      </c>
      <c r="AA159" s="4">
        <v>10.100000000000001</v>
      </c>
      <c r="AB159" s="2">
        <v>2.5</v>
      </c>
      <c r="AC159" s="2">
        <v>16.100000000000001</v>
      </c>
      <c r="AD159" s="2">
        <v>-0.90000000000000568</v>
      </c>
      <c r="AE159" s="2">
        <v>0</v>
      </c>
    </row>
    <row r="160" spans="1:31" x14ac:dyDescent="0.25">
      <c r="A160" s="2" t="s">
        <v>551</v>
      </c>
      <c r="B160" s="2">
        <v>2020</v>
      </c>
      <c r="C160" s="2" t="s">
        <v>552</v>
      </c>
      <c r="D160" s="2" t="s">
        <v>307</v>
      </c>
      <c r="E160" s="2">
        <v>35.376300000000001</v>
      </c>
      <c r="F160" s="2">
        <v>74.682900000000004</v>
      </c>
      <c r="G160" s="2">
        <v>54.061</v>
      </c>
      <c r="H160" s="2">
        <v>0.89439999999999997</v>
      </c>
      <c r="I160" s="2">
        <v>0.40799999999999997</v>
      </c>
      <c r="J160">
        <v>33.514983277883296</v>
      </c>
      <c r="K160">
        <v>41.0207429007027</v>
      </c>
      <c r="L160" s="2">
        <v>1.5612999999999999</v>
      </c>
      <c r="M160" s="2">
        <v>1.9227000000000001</v>
      </c>
      <c r="N160" s="2">
        <v>1.4542999999999999</v>
      </c>
      <c r="O160" s="2">
        <v>0.64129999999999998</v>
      </c>
      <c r="P160" s="2">
        <v>3205.6354999999999</v>
      </c>
      <c r="Q160" s="2">
        <v>178.43270000000001</v>
      </c>
      <c r="R160" s="2">
        <v>379.36511938628399</v>
      </c>
      <c r="S160" s="2">
        <v>131.868354463999</v>
      </c>
      <c r="T160" s="2">
        <v>118.138552588626</v>
      </c>
      <c r="U160" s="2">
        <v>46.092500000000001</v>
      </c>
      <c r="V160" s="2">
        <v>10.5837786417448</v>
      </c>
      <c r="W160" s="2">
        <v>1.1294153985151401</v>
      </c>
      <c r="X160" s="2">
        <v>101.228013933981</v>
      </c>
      <c r="Y160" s="2">
        <v>41.199289525067002</v>
      </c>
      <c r="Z160" s="4">
        <v>2.2999999999999998</v>
      </c>
      <c r="AA160" s="4">
        <v>10.100000000000001</v>
      </c>
      <c r="AB160" s="2">
        <v>2.5</v>
      </c>
      <c r="AC160" s="2">
        <v>16.100000000000001</v>
      </c>
      <c r="AD160" s="2">
        <v>-0.90000000000000568</v>
      </c>
      <c r="AE160" s="2">
        <v>0</v>
      </c>
    </row>
    <row r="161" spans="1:31" x14ac:dyDescent="0.25">
      <c r="A161" s="2" t="s">
        <v>553</v>
      </c>
      <c r="B161" s="2">
        <v>2014</v>
      </c>
      <c r="C161" s="2" t="s">
        <v>554</v>
      </c>
      <c r="D161" s="2" t="s">
        <v>307</v>
      </c>
      <c r="E161" s="2">
        <v>12.989800000000001</v>
      </c>
      <c r="F161" s="2">
        <v>19.890899999999998</v>
      </c>
      <c r="G161" s="2">
        <v>7.2480000000000002</v>
      </c>
      <c r="H161" s="2">
        <v>1.161</v>
      </c>
      <c r="I161" s="2">
        <v>0.27350000000000002</v>
      </c>
      <c r="J161">
        <v>4.6073299316392298</v>
      </c>
      <c r="K161">
        <v>44.631400614101103</v>
      </c>
      <c r="L161" s="2">
        <v>4.2281000000000004</v>
      </c>
      <c r="M161" s="2">
        <v>3.5468000000000002</v>
      </c>
      <c r="N161" s="2">
        <v>5.3156999999999996</v>
      </c>
      <c r="O161" s="2">
        <v>1.544</v>
      </c>
      <c r="P161" s="2">
        <v>623.06050000000005</v>
      </c>
      <c r="Q161" s="2">
        <v>8.1293000000000006</v>
      </c>
      <c r="R161" s="2">
        <v>372.15846261046102</v>
      </c>
      <c r="S161" s="2">
        <v>5.8278822239014199</v>
      </c>
      <c r="T161" s="2">
        <v>18.853802638775299</v>
      </c>
      <c r="U161" s="2">
        <v>40.427900000000001</v>
      </c>
      <c r="V161" s="2">
        <v>4.4636078989634305</v>
      </c>
      <c r="W161" s="2">
        <v>1.88057759878693</v>
      </c>
      <c r="X161" s="2">
        <v>98.494627238887603</v>
      </c>
      <c r="Y161" s="2">
        <v>12.018021083553</v>
      </c>
      <c r="Z161" s="4">
        <v>7.3</v>
      </c>
      <c r="AA161" s="4">
        <v>12.2</v>
      </c>
      <c r="AB161" s="2">
        <v>2</v>
      </c>
      <c r="AC161" s="2">
        <v>16.899999999999999</v>
      </c>
      <c r="AD161" s="2">
        <v>10.299999999999997</v>
      </c>
      <c r="AE161" s="2">
        <v>0</v>
      </c>
    </row>
    <row r="162" spans="1:31" x14ac:dyDescent="0.25">
      <c r="A162" s="2" t="s">
        <v>553</v>
      </c>
      <c r="B162" s="2">
        <v>2016</v>
      </c>
      <c r="C162" s="2" t="s">
        <v>554</v>
      </c>
      <c r="D162" s="2" t="s">
        <v>307</v>
      </c>
      <c r="E162" s="2">
        <v>32.924900000000001</v>
      </c>
      <c r="F162" s="2">
        <v>44.722200000000001</v>
      </c>
      <c r="G162" s="2">
        <v>21.061800000000002</v>
      </c>
      <c r="H162" s="2">
        <v>1.8755999999999999</v>
      </c>
      <c r="I162" s="2">
        <v>0.80310000000000004</v>
      </c>
      <c r="J162">
        <v>9.5601251631446402</v>
      </c>
      <c r="K162">
        <v>145.671191817325</v>
      </c>
      <c r="L162" s="2">
        <v>4.3827999999999996</v>
      </c>
      <c r="M162" s="2">
        <v>3.4554999999999998</v>
      </c>
      <c r="N162" s="2">
        <v>5.7237</v>
      </c>
      <c r="O162" s="2">
        <v>1.6005</v>
      </c>
      <c r="P162" s="2">
        <v>365.70170000000002</v>
      </c>
      <c r="Q162" s="2">
        <v>22.982800000000001</v>
      </c>
      <c r="R162" s="2">
        <v>84.403922508015995</v>
      </c>
      <c r="S162" s="2">
        <v>26.586817495718101</v>
      </c>
      <c r="T162" s="2">
        <v>36.816441228998897</v>
      </c>
      <c r="U162" s="2">
        <v>24.2742</v>
      </c>
      <c r="V162" s="2">
        <v>0.54020538630575998</v>
      </c>
      <c r="W162" s="2">
        <v>2.7597123353139899</v>
      </c>
      <c r="X162" s="2">
        <v>98.229199993659705</v>
      </c>
      <c r="Y162" s="2">
        <v>24.686522043134097</v>
      </c>
      <c r="Z162" s="4">
        <v>6.7</v>
      </c>
      <c r="AA162" s="4">
        <v>11.3</v>
      </c>
      <c r="AB162" s="2">
        <v>2</v>
      </c>
      <c r="AC162" s="2">
        <v>15.9</v>
      </c>
      <c r="AD162" s="2">
        <v>7.7000000000000028</v>
      </c>
      <c r="AE162" s="2">
        <v>0</v>
      </c>
    </row>
    <row r="163" spans="1:31" x14ac:dyDescent="0.25">
      <c r="A163" s="2" t="s">
        <v>553</v>
      </c>
      <c r="B163" s="2">
        <v>2018</v>
      </c>
      <c r="C163" s="2" t="s">
        <v>554</v>
      </c>
      <c r="D163" s="2" t="s">
        <v>307</v>
      </c>
      <c r="E163" s="2">
        <v>8.8757999999999999</v>
      </c>
      <c r="F163" s="2">
        <v>11.7807</v>
      </c>
      <c r="G163" s="2">
        <v>7.6473000000000004</v>
      </c>
      <c r="H163" s="2">
        <v>1.6414</v>
      </c>
      <c r="I163" s="2">
        <v>0.67100000000000004</v>
      </c>
      <c r="J163">
        <v>13.949124956861001</v>
      </c>
      <c r="K163">
        <v>35.3411564120413</v>
      </c>
      <c r="L163" s="2">
        <v>3.9302999999999999</v>
      </c>
      <c r="M163" s="2">
        <v>2.7604000000000002</v>
      </c>
      <c r="N163" s="2">
        <v>3.5024000000000002</v>
      </c>
      <c r="O163" s="2">
        <v>1.1115999999999999</v>
      </c>
      <c r="P163" s="2">
        <v>331.61130000000003</v>
      </c>
      <c r="Q163" s="2">
        <v>2.8269000000000002</v>
      </c>
      <c r="R163" s="2">
        <v>-39.189792571132799</v>
      </c>
      <c r="S163" s="2">
        <v>10.0131981752704</v>
      </c>
      <c r="T163" s="2">
        <v>5.98448258461472</v>
      </c>
      <c r="U163" s="2">
        <v>34.062100000000001</v>
      </c>
      <c r="V163" s="2">
        <v>9.4416156425465996</v>
      </c>
      <c r="W163" s="2">
        <v>1.9492219938633599</v>
      </c>
      <c r="X163" s="2">
        <v>98.843166208120607</v>
      </c>
      <c r="Y163" s="2">
        <v>11.346829300052901</v>
      </c>
      <c r="Z163" s="4">
        <v>6.6000000000000005</v>
      </c>
      <c r="AA163" s="4">
        <v>8.1</v>
      </c>
      <c r="AB163" s="2">
        <v>2.1</v>
      </c>
      <c r="AC163" s="2">
        <v>12.5</v>
      </c>
      <c r="AD163" s="2">
        <v>6.7000000000000028</v>
      </c>
      <c r="AE163" s="2">
        <v>0</v>
      </c>
    </row>
    <row r="164" spans="1:31" x14ac:dyDescent="0.25">
      <c r="A164" s="2" t="s">
        <v>553</v>
      </c>
      <c r="B164" s="2">
        <v>2020</v>
      </c>
      <c r="C164" s="2" t="s">
        <v>554</v>
      </c>
      <c r="D164" s="2" t="s">
        <v>307</v>
      </c>
      <c r="E164" s="2">
        <v>11.422700000000001</v>
      </c>
      <c r="F164" s="2">
        <v>16.3386</v>
      </c>
      <c r="G164" s="2">
        <v>11.191800000000001</v>
      </c>
      <c r="H164" s="2">
        <v>1.3724000000000001</v>
      </c>
      <c r="I164" s="2">
        <v>0.57999999999999996</v>
      </c>
      <c r="J164">
        <v>24.081123935945399</v>
      </c>
      <c r="K164">
        <v>25.720907283662804</v>
      </c>
      <c r="L164" s="2">
        <v>4.6669999999999998</v>
      </c>
      <c r="M164" s="2">
        <v>3.0495000000000001</v>
      </c>
      <c r="N164" s="2">
        <v>2.9249000000000001</v>
      </c>
      <c r="O164" s="2">
        <v>1.026</v>
      </c>
      <c r="P164" s="2">
        <v>230.63159999999999</v>
      </c>
      <c r="Q164" s="2">
        <v>2.4584999999999999</v>
      </c>
      <c r="R164" s="2">
        <v>-48.188009170840999</v>
      </c>
      <c r="S164" s="2">
        <v>22.753038904191101</v>
      </c>
      <c r="T164" s="2">
        <v>1.4986636026529601</v>
      </c>
      <c r="U164" s="2">
        <v>40.884300000000003</v>
      </c>
      <c r="V164" s="2">
        <v>20.0160073037509</v>
      </c>
      <c r="W164" s="2">
        <v>1.6692692169197101</v>
      </c>
      <c r="X164" s="2">
        <v>88.5583815724179</v>
      </c>
      <c r="Y164" s="2">
        <v>11.2984837221052</v>
      </c>
      <c r="Z164" s="4">
        <v>2.2999999999999998</v>
      </c>
      <c r="AA164" s="4">
        <v>10.100000000000001</v>
      </c>
      <c r="AB164" s="2">
        <v>2.5</v>
      </c>
      <c r="AC164" s="2">
        <v>16.100000000000001</v>
      </c>
      <c r="AD164" s="2">
        <v>-0.90000000000000568</v>
      </c>
      <c r="AE164" s="2">
        <v>0</v>
      </c>
    </row>
    <row r="165" spans="1:31" x14ac:dyDescent="0.25">
      <c r="A165" s="2" t="s">
        <v>555</v>
      </c>
      <c r="B165" s="2">
        <v>2017</v>
      </c>
      <c r="C165" s="2" t="s">
        <v>556</v>
      </c>
      <c r="D165" s="2" t="s">
        <v>307</v>
      </c>
      <c r="E165" s="2">
        <v>4.8712999999999997</v>
      </c>
      <c r="F165" s="2">
        <v>10.2623</v>
      </c>
      <c r="G165" s="2">
        <v>3.9260000000000002</v>
      </c>
      <c r="H165" s="2">
        <v>1.1886000000000001</v>
      </c>
      <c r="I165" s="2">
        <v>0.75439999999999996</v>
      </c>
      <c r="J165">
        <v>50.991111881426797</v>
      </c>
      <c r="K165">
        <v>0.70990946403519095</v>
      </c>
      <c r="L165" s="2">
        <v>4.4326999999999996</v>
      </c>
      <c r="M165" s="2">
        <v>1.7721</v>
      </c>
      <c r="N165" s="2">
        <v>7.6115000000000004</v>
      </c>
      <c r="O165" s="2">
        <v>1.1776</v>
      </c>
      <c r="P165" s="2">
        <v>28.6249</v>
      </c>
      <c r="Q165" s="2">
        <v>12.714399999999999</v>
      </c>
      <c r="R165" s="2">
        <v>518.87660322108297</v>
      </c>
      <c r="S165" s="2">
        <v>14.088893310887</v>
      </c>
      <c r="T165" s="2">
        <v>23.945234971497399</v>
      </c>
      <c r="U165" s="2">
        <v>58.174799999999998</v>
      </c>
      <c r="V165" s="2">
        <v>0.80604778704342506</v>
      </c>
      <c r="W165" s="2">
        <v>2.8286678845864102</v>
      </c>
      <c r="X165" s="2">
        <v>120.863787838608</v>
      </c>
      <c r="Y165" s="2">
        <v>0.37378583345171201</v>
      </c>
      <c r="Z165" s="4">
        <v>6.9</v>
      </c>
      <c r="AA165" s="4">
        <v>8.2000000000000011</v>
      </c>
      <c r="AB165" s="2">
        <v>1.6</v>
      </c>
      <c r="AC165" s="2">
        <v>16.3</v>
      </c>
      <c r="AD165" s="2">
        <v>7.7999999999999972</v>
      </c>
      <c r="AE165" s="2">
        <v>0</v>
      </c>
    </row>
    <row r="166" spans="1:31" x14ac:dyDescent="0.25">
      <c r="A166" s="2" t="s">
        <v>555</v>
      </c>
      <c r="B166" s="2">
        <v>2019</v>
      </c>
      <c r="C166" s="2" t="s">
        <v>556</v>
      </c>
      <c r="D166" s="2" t="s">
        <v>307</v>
      </c>
      <c r="E166" s="2">
        <v>3.9847999999999999</v>
      </c>
      <c r="F166" s="2">
        <v>8.7216000000000005</v>
      </c>
      <c r="G166" s="2">
        <v>4.1398999999999999</v>
      </c>
      <c r="H166" s="2">
        <v>1.1758999999999999</v>
      </c>
      <c r="I166" s="2">
        <v>0.82569999999999999</v>
      </c>
      <c r="J166">
        <v>65.977937506162505</v>
      </c>
      <c r="K166">
        <v>13.2356573543923</v>
      </c>
      <c r="L166" s="2">
        <v>4.2233000000000001</v>
      </c>
      <c r="M166" s="2">
        <v>1.4262999999999999</v>
      </c>
      <c r="N166" s="2">
        <v>7.7022000000000004</v>
      </c>
      <c r="O166" s="2">
        <v>1.0041</v>
      </c>
      <c r="P166" s="2">
        <v>30.131599999999999</v>
      </c>
      <c r="Q166" s="2">
        <v>2.2145999999999999</v>
      </c>
      <c r="R166" s="2">
        <v>0.84641123521372397</v>
      </c>
      <c r="S166" s="2">
        <v>0.74627277523028901</v>
      </c>
      <c r="T166" s="2">
        <v>9.4292508586631598</v>
      </c>
      <c r="U166" s="2">
        <v>59.882300000000001</v>
      </c>
      <c r="V166" s="2">
        <v>2.0791180992420699</v>
      </c>
      <c r="W166" s="2">
        <v>2.80185736040674</v>
      </c>
      <c r="X166" s="2">
        <v>115.60309908282301</v>
      </c>
      <c r="Y166" s="2">
        <v>7.9231053237659195</v>
      </c>
      <c r="Z166" s="4">
        <v>6</v>
      </c>
      <c r="AA166" s="4">
        <v>8.6999999999999993</v>
      </c>
      <c r="AB166" s="2">
        <v>2.9</v>
      </c>
      <c r="AC166" s="2">
        <v>15.6</v>
      </c>
      <c r="AD166" s="2">
        <v>5.5</v>
      </c>
      <c r="AE166" s="2">
        <v>0</v>
      </c>
    </row>
    <row r="167" spans="1:31" x14ac:dyDescent="0.25">
      <c r="A167" s="2" t="s">
        <v>555</v>
      </c>
      <c r="B167" s="2">
        <v>2021</v>
      </c>
      <c r="C167" s="2" t="s">
        <v>556</v>
      </c>
      <c r="D167" s="2" t="s">
        <v>307</v>
      </c>
      <c r="E167" s="2">
        <v>3.2513000000000001</v>
      </c>
      <c r="F167" s="2">
        <v>4.8540000000000001</v>
      </c>
      <c r="G167" s="2">
        <v>2.8420999999999998</v>
      </c>
      <c r="H167" s="2">
        <v>1.2137</v>
      </c>
      <c r="I167" s="2">
        <v>0.75839999999999996</v>
      </c>
      <c r="J167">
        <v>54.188844963301399</v>
      </c>
      <c r="K167">
        <v>0.62455362104861201</v>
      </c>
      <c r="L167" s="2">
        <v>4.7704000000000004</v>
      </c>
      <c r="M167" s="2">
        <v>1.8472999999999999</v>
      </c>
      <c r="N167" s="2">
        <v>7.6204000000000001</v>
      </c>
      <c r="O167" s="2">
        <v>1.1709000000000001</v>
      </c>
      <c r="P167" s="2">
        <v>28.3901</v>
      </c>
      <c r="Q167" s="2">
        <v>16.051100000000002</v>
      </c>
      <c r="R167" s="2">
        <v>-31.6248058780027</v>
      </c>
      <c r="S167" s="2">
        <v>15.6675045070715</v>
      </c>
      <c r="T167" s="2">
        <v>3.7916012239386299</v>
      </c>
      <c r="U167" s="2">
        <v>56.039299999999997</v>
      </c>
      <c r="V167" s="2">
        <v>6.3399464386809408</v>
      </c>
      <c r="W167" s="2">
        <v>2.8298152189783998</v>
      </c>
      <c r="X167" s="2">
        <v>107.69038414922201</v>
      </c>
      <c r="Y167" s="2">
        <v>0.32063895704050799</v>
      </c>
      <c r="Z167" s="4">
        <v>8.4</v>
      </c>
      <c r="AA167" s="4">
        <v>9</v>
      </c>
      <c r="AB167" s="2">
        <v>0.9</v>
      </c>
      <c r="AC167" s="2">
        <v>20.9</v>
      </c>
      <c r="AD167" s="2">
        <v>11</v>
      </c>
      <c r="AE167" s="2">
        <v>0</v>
      </c>
    </row>
    <row r="168" spans="1:31" x14ac:dyDescent="0.25">
      <c r="A168" s="2" t="s">
        <v>548</v>
      </c>
      <c r="B168" s="2">
        <v>2016</v>
      </c>
      <c r="C168" s="2" t="s">
        <v>549</v>
      </c>
      <c r="D168" s="2" t="s">
        <v>550</v>
      </c>
      <c r="E168" s="2">
        <v>18.3871</v>
      </c>
      <c r="F168" s="2">
        <v>18.095199999999998</v>
      </c>
      <c r="G168" s="2">
        <v>30.587399999999999</v>
      </c>
      <c r="H168" s="2">
        <v>3.9315000000000002</v>
      </c>
      <c r="I168" s="2">
        <v>2.9214000000000002</v>
      </c>
      <c r="J168">
        <v>272.70090193278298</v>
      </c>
      <c r="K168">
        <v>102.96882347143499</v>
      </c>
      <c r="L168" s="2">
        <v>1.1666000000000001</v>
      </c>
      <c r="M168" s="2">
        <v>0.87139999999999995</v>
      </c>
      <c r="N168" s="2">
        <v>7.2545999999999999</v>
      </c>
      <c r="O168" s="2">
        <v>0.61839999999999995</v>
      </c>
      <c r="P168" s="2">
        <v>1029.9527</v>
      </c>
      <c r="Q168" s="2">
        <v>16.877199999999998</v>
      </c>
      <c r="R168" s="2">
        <v>25.758187696291898</v>
      </c>
      <c r="S168" s="2">
        <v>3.5566799108697902</v>
      </c>
      <c r="T168" s="2">
        <v>7.3769925529343103</v>
      </c>
      <c r="U168" s="2">
        <v>18.644100000000002</v>
      </c>
      <c r="V168" s="2">
        <v>0.62904071814560003</v>
      </c>
      <c r="W168" s="2">
        <v>9.4373518118562796</v>
      </c>
      <c r="X168" s="2">
        <v>95.075854846577798</v>
      </c>
      <c r="Y168" s="2">
        <v>31.612348364554201</v>
      </c>
      <c r="Z168" s="4">
        <v>6.7</v>
      </c>
      <c r="AA168" s="4">
        <v>11.3</v>
      </c>
      <c r="AB168" s="2">
        <v>2</v>
      </c>
      <c r="AC168" s="2">
        <v>15.9</v>
      </c>
      <c r="AD168" s="2">
        <v>7.7000000000000028</v>
      </c>
      <c r="AE168" s="2">
        <v>0</v>
      </c>
    </row>
    <row r="169" spans="1:31" x14ac:dyDescent="0.25">
      <c r="A169" s="2" t="s">
        <v>548</v>
      </c>
      <c r="B169" s="2">
        <v>2018</v>
      </c>
      <c r="C169" s="2" t="s">
        <v>549</v>
      </c>
      <c r="D169" s="2" t="s">
        <v>550</v>
      </c>
      <c r="E169" s="2">
        <v>20.975000000000001</v>
      </c>
      <c r="F169" s="2">
        <v>21.693000000000001</v>
      </c>
      <c r="G169" s="2">
        <v>35.823900000000002</v>
      </c>
      <c r="H169" s="2">
        <v>2.8611</v>
      </c>
      <c r="I169" s="2">
        <v>2.2646000000000002</v>
      </c>
      <c r="J169">
        <v>217.07596814572199</v>
      </c>
      <c r="K169">
        <v>78.418864464980402</v>
      </c>
      <c r="L169" s="2">
        <v>0.97119999999999995</v>
      </c>
      <c r="M169" s="2">
        <v>0.87729999999999997</v>
      </c>
      <c r="N169" s="2">
        <v>12.0946</v>
      </c>
      <c r="O169" s="2">
        <v>0.61639999999999995</v>
      </c>
      <c r="P169" s="2">
        <v>1423.5142000000001</v>
      </c>
      <c r="Q169" s="2">
        <v>26.378900000000002</v>
      </c>
      <c r="R169" s="2">
        <v>34.9128795048344</v>
      </c>
      <c r="S169" s="2">
        <v>14.4219628467813</v>
      </c>
      <c r="T169" s="2">
        <v>11.8197197119388</v>
      </c>
      <c r="U169" s="2">
        <v>24.245699999999999</v>
      </c>
      <c r="V169" s="2">
        <v>0.28858103132659702</v>
      </c>
      <c r="W169" s="2">
        <v>16.6308272721121</v>
      </c>
      <c r="X169" s="2">
        <v>113.58029159543</v>
      </c>
      <c r="Y169" s="2">
        <v>32.920434220722399</v>
      </c>
      <c r="Z169" s="4">
        <v>6.6000000000000005</v>
      </c>
      <c r="AA169" s="4">
        <v>8.1</v>
      </c>
      <c r="AB169" s="2">
        <v>2.1</v>
      </c>
      <c r="AC169" s="2">
        <v>12.5</v>
      </c>
      <c r="AD169" s="2">
        <v>6.7000000000000028</v>
      </c>
      <c r="AE169" s="2">
        <v>0</v>
      </c>
    </row>
    <row r="170" spans="1:31" x14ac:dyDescent="0.25">
      <c r="A170" s="2" t="s">
        <v>557</v>
      </c>
      <c r="B170" s="2">
        <v>2014</v>
      </c>
      <c r="C170" s="2" t="s">
        <v>558</v>
      </c>
      <c r="D170" s="2" t="s">
        <v>346</v>
      </c>
      <c r="E170" s="2">
        <v>9.0556000000000001</v>
      </c>
      <c r="F170" s="2">
        <v>14.335599999999999</v>
      </c>
      <c r="G170" s="2">
        <v>2.4335</v>
      </c>
      <c r="H170" s="2">
        <v>1.0353000000000001</v>
      </c>
      <c r="I170" s="2">
        <v>0.67200000000000004</v>
      </c>
      <c r="J170">
        <v>48.967836335825702</v>
      </c>
      <c r="K170">
        <v>15.3411882734871</v>
      </c>
      <c r="L170" s="2">
        <v>12.7661</v>
      </c>
      <c r="M170" s="2">
        <v>5.2286000000000001</v>
      </c>
      <c r="N170" s="2">
        <v>7.9367999999999999</v>
      </c>
      <c r="O170" s="2">
        <v>2.6762000000000001</v>
      </c>
      <c r="P170" s="2">
        <v>42.536200000000001</v>
      </c>
      <c r="Q170" s="2">
        <v>1.4393</v>
      </c>
      <c r="R170" s="2">
        <v>14.597273249955901</v>
      </c>
      <c r="S170" s="2">
        <v>14.208667095266</v>
      </c>
      <c r="T170" s="2">
        <v>2.85309216928019</v>
      </c>
      <c r="U170" s="2">
        <v>61.151000000000003</v>
      </c>
      <c r="V170" s="2">
        <v>12.232551870022998</v>
      </c>
      <c r="W170" s="2">
        <v>1.21165123170075</v>
      </c>
      <c r="X170" s="2">
        <v>101.204378024696</v>
      </c>
      <c r="Y170" s="2">
        <v>3.7620838291245198</v>
      </c>
      <c r="Z170" s="4">
        <v>7.3</v>
      </c>
      <c r="AA170" s="4">
        <v>12.2</v>
      </c>
      <c r="AB170" s="2">
        <v>2</v>
      </c>
      <c r="AC170" s="2">
        <v>16.899999999999999</v>
      </c>
      <c r="AD170" s="2">
        <v>6.7000000000000028</v>
      </c>
      <c r="AE170" s="2">
        <v>0</v>
      </c>
    </row>
    <row r="171" spans="1:31" x14ac:dyDescent="0.25">
      <c r="A171" s="2" t="s">
        <v>559</v>
      </c>
      <c r="B171" s="2">
        <v>2018</v>
      </c>
      <c r="C171" s="2" t="s">
        <v>560</v>
      </c>
      <c r="D171" s="2" t="s">
        <v>346</v>
      </c>
      <c r="E171" s="2">
        <v>1.2794000000000001</v>
      </c>
      <c r="F171" s="2">
        <v>0.32500000000000001</v>
      </c>
      <c r="G171" s="2">
        <v>3.6089000000000002</v>
      </c>
      <c r="H171" s="2">
        <v>0.89249999999999996</v>
      </c>
      <c r="I171" s="2">
        <v>0.77059999999999995</v>
      </c>
      <c r="J171">
        <v>52.793233291990106</v>
      </c>
      <c r="K171">
        <v>10.133527117995101</v>
      </c>
      <c r="L171" s="2">
        <v>5.6806000000000001</v>
      </c>
      <c r="M171" s="2">
        <v>0.8619</v>
      </c>
      <c r="N171" s="2">
        <v>0.64870000000000005</v>
      </c>
      <c r="O171" s="2">
        <v>0.15970000000000001</v>
      </c>
      <c r="P171" s="2">
        <v>7.508</v>
      </c>
      <c r="Q171" s="2">
        <v>45.484000000000002</v>
      </c>
      <c r="R171" s="2">
        <v>-95.551796199999998</v>
      </c>
      <c r="S171" s="2">
        <v>16.957081841401202</v>
      </c>
      <c r="T171" s="2">
        <v>-3.58938364650519</v>
      </c>
      <c r="U171" s="2">
        <v>47.306699999999999</v>
      </c>
      <c r="V171" s="2">
        <v>25.595288246750801</v>
      </c>
      <c r="W171" s="2">
        <v>1.85824608536781</v>
      </c>
      <c r="X171" s="2">
        <v>96.488822197443497</v>
      </c>
      <c r="Y171" s="2">
        <v>32.368046420916599</v>
      </c>
      <c r="Z171" s="4">
        <v>6.6000000000000005</v>
      </c>
      <c r="AA171" s="4">
        <v>8.1</v>
      </c>
      <c r="AB171" s="2">
        <v>2.1</v>
      </c>
      <c r="AC171" s="2">
        <v>12.5</v>
      </c>
      <c r="AD171" s="2">
        <v>6.0999999999999943</v>
      </c>
      <c r="AE171" s="2">
        <v>0</v>
      </c>
    </row>
    <row r="172" spans="1:31" x14ac:dyDescent="0.25">
      <c r="A172" s="2" t="s">
        <v>561</v>
      </c>
      <c r="B172" s="2">
        <v>2015</v>
      </c>
      <c r="C172" s="2" t="s">
        <v>562</v>
      </c>
      <c r="D172" s="2" t="s">
        <v>301</v>
      </c>
      <c r="E172" s="2">
        <v>3.5028999999999999</v>
      </c>
      <c r="F172" s="2">
        <v>5.1848999999999998</v>
      </c>
      <c r="G172" s="2">
        <v>0.1804</v>
      </c>
      <c r="H172" s="2">
        <v>1.8317000000000001</v>
      </c>
      <c r="I172" s="2">
        <v>1.6052</v>
      </c>
      <c r="J172">
        <v>122.99901236556201</v>
      </c>
      <c r="K172">
        <v>53.208681623389694</v>
      </c>
      <c r="L172" s="2">
        <v>6.0869999999999997</v>
      </c>
      <c r="M172" s="2">
        <v>1.2870999999999999</v>
      </c>
      <c r="N172" s="2">
        <v>1.4363999999999999</v>
      </c>
      <c r="O172" s="2">
        <v>0.56430000000000002</v>
      </c>
      <c r="P172" s="2">
        <v>4.7362000000000002</v>
      </c>
      <c r="Q172" s="2">
        <v>13.0228</v>
      </c>
      <c r="R172" s="2">
        <v>-19.122375012938701</v>
      </c>
      <c r="S172" s="2">
        <v>37.828224763587301</v>
      </c>
      <c r="T172" s="2">
        <v>62.610710501877698</v>
      </c>
      <c r="U172" s="2">
        <v>38.746499999999997</v>
      </c>
      <c r="V172" s="2">
        <v>10.4272835790002</v>
      </c>
      <c r="W172" s="2">
        <v>1.9353145909348499</v>
      </c>
      <c r="X172" s="2">
        <v>118.706768532076</v>
      </c>
      <c r="Y172" s="2">
        <v>42.3464090834171</v>
      </c>
      <c r="Z172" s="4">
        <v>6.9099999999999993</v>
      </c>
      <c r="AA172" s="4">
        <v>13.3</v>
      </c>
      <c r="AB172" s="2">
        <v>1.4</v>
      </c>
      <c r="AC172" s="2">
        <v>17.600000000000001</v>
      </c>
      <c r="AD172" s="2">
        <v>5.7000000000000028</v>
      </c>
      <c r="AE172" s="2">
        <v>0</v>
      </c>
    </row>
    <row r="173" spans="1:31" x14ac:dyDescent="0.25">
      <c r="A173" s="2" t="s">
        <v>561</v>
      </c>
      <c r="B173" s="2">
        <v>2017</v>
      </c>
      <c r="C173" s="2" t="s">
        <v>562</v>
      </c>
      <c r="D173" s="2" t="s">
        <v>301</v>
      </c>
      <c r="E173" s="2">
        <v>3.9283999999999999</v>
      </c>
      <c r="F173" s="2">
        <v>5.718</v>
      </c>
      <c r="G173" s="2">
        <v>6.3118999999999996</v>
      </c>
      <c r="H173" s="2">
        <v>1.1040000000000001</v>
      </c>
      <c r="I173" s="2">
        <v>0.94689999999999996</v>
      </c>
      <c r="J173">
        <v>48.683574299774804</v>
      </c>
      <c r="K173">
        <v>12.658263964499699</v>
      </c>
      <c r="L173" s="2">
        <v>8.2615999999999996</v>
      </c>
      <c r="M173" s="2">
        <v>1.3573</v>
      </c>
      <c r="N173" s="2">
        <v>2.1741000000000001</v>
      </c>
      <c r="O173" s="2">
        <v>0.54600000000000004</v>
      </c>
      <c r="P173" s="2">
        <v>5.2907999999999999</v>
      </c>
      <c r="Q173" s="2">
        <v>30.485600000000002</v>
      </c>
      <c r="R173" s="2">
        <v>41.819461739456003</v>
      </c>
      <c r="S173" s="2">
        <v>36.776606763108198</v>
      </c>
      <c r="T173" s="2">
        <v>5.2027017683814796</v>
      </c>
      <c r="U173" s="2">
        <v>51.184800000000003</v>
      </c>
      <c r="V173" s="2">
        <v>16.789377418239201</v>
      </c>
      <c r="W173" s="2">
        <v>2.1858268878861802</v>
      </c>
      <c r="X173" s="2">
        <v>94.285684113165303</v>
      </c>
      <c r="Y173" s="2">
        <v>13.7106391783958</v>
      </c>
      <c r="Z173" s="4">
        <v>6.9</v>
      </c>
      <c r="AA173" s="4">
        <v>8.2000000000000011</v>
      </c>
      <c r="AB173" s="2">
        <v>1.6</v>
      </c>
      <c r="AC173" s="2">
        <v>16.3</v>
      </c>
      <c r="AD173" s="2">
        <v>6.2000000000000028</v>
      </c>
      <c r="AE173" s="2">
        <v>0</v>
      </c>
    </row>
    <row r="174" spans="1:31" x14ac:dyDescent="0.25">
      <c r="A174" s="2" t="s">
        <v>561</v>
      </c>
      <c r="B174" s="2">
        <v>2019</v>
      </c>
      <c r="C174" s="2" t="s">
        <v>562</v>
      </c>
      <c r="D174" s="2" t="s">
        <v>301</v>
      </c>
      <c r="E174" s="2">
        <v>2.7090999999999998</v>
      </c>
      <c r="F174" s="2">
        <v>3.1467999999999998</v>
      </c>
      <c r="G174" s="2">
        <v>3.3140000000000001</v>
      </c>
      <c r="H174" s="2">
        <v>0.70540000000000003</v>
      </c>
      <c r="I174" s="2">
        <v>0.54179999999999995</v>
      </c>
      <c r="J174">
        <v>15.773868586082601</v>
      </c>
      <c r="K174">
        <v>12.287547406179399</v>
      </c>
      <c r="L174" s="2">
        <v>7.7915999999999999</v>
      </c>
      <c r="M174" s="2">
        <v>2.093</v>
      </c>
      <c r="N174" s="2">
        <v>1.0533999999999999</v>
      </c>
      <c r="O174" s="2">
        <v>0.48259999999999997</v>
      </c>
      <c r="P174" s="2">
        <v>5.1319999999999997</v>
      </c>
      <c r="Q174" s="2">
        <v>4.5608000000000004</v>
      </c>
      <c r="R174" s="2">
        <v>-15.7046083767938</v>
      </c>
      <c r="S174" s="2">
        <v>9.0178044812849301</v>
      </c>
      <c r="T174" s="2">
        <v>2.7014078743209602</v>
      </c>
      <c r="U174" s="2">
        <v>59.195099999999996</v>
      </c>
      <c r="V174" s="2">
        <v>28.013458768045901</v>
      </c>
      <c r="W174" s="2">
        <v>0.94552586753864099</v>
      </c>
      <c r="X174" s="2">
        <v>111.965268555514</v>
      </c>
      <c r="Y174" s="2">
        <v>15.721106681188902</v>
      </c>
      <c r="Z174" s="4">
        <v>6</v>
      </c>
      <c r="AA174" s="4">
        <v>8.6999999999999993</v>
      </c>
      <c r="AB174" s="2">
        <v>2.9</v>
      </c>
      <c r="AC174" s="2">
        <v>15.6</v>
      </c>
      <c r="AD174" s="2">
        <v>4.7999999999999972</v>
      </c>
      <c r="AE174" s="2">
        <v>0</v>
      </c>
    </row>
    <row r="175" spans="1:31" x14ac:dyDescent="0.25">
      <c r="A175" s="2" t="s">
        <v>561</v>
      </c>
      <c r="B175" s="2">
        <v>2021</v>
      </c>
      <c r="C175" s="2" t="s">
        <v>562</v>
      </c>
      <c r="D175" s="2" t="s">
        <v>301</v>
      </c>
      <c r="E175" s="2">
        <v>2.9112</v>
      </c>
      <c r="F175" s="2">
        <v>4.5073999999999996</v>
      </c>
      <c r="G175" s="2">
        <v>5.0979000000000001</v>
      </c>
      <c r="H175" s="2">
        <v>0.82330000000000003</v>
      </c>
      <c r="I175" s="2">
        <v>0.64739999999999998</v>
      </c>
      <c r="J175">
        <v>19.209204184928598</v>
      </c>
      <c r="K175">
        <v>11.0909334060078</v>
      </c>
      <c r="L175" s="2">
        <v>7.2571000000000003</v>
      </c>
      <c r="M175" s="2">
        <v>1.9883999999999999</v>
      </c>
      <c r="N175" s="2">
        <v>1.2482</v>
      </c>
      <c r="O175" s="2">
        <v>0.41339999999999999</v>
      </c>
      <c r="P175" s="2">
        <v>5.3841999999999999</v>
      </c>
      <c r="Q175" s="2">
        <v>8.8651999999999997</v>
      </c>
      <c r="R175" s="2">
        <v>4.6073016405324898</v>
      </c>
      <c r="S175" s="2">
        <v>9.3457537853224295</v>
      </c>
      <c r="T175" s="2">
        <v>3.8854421533423502</v>
      </c>
      <c r="U175" s="2">
        <v>56.643500000000003</v>
      </c>
      <c r="V175" s="2">
        <v>30.5255648706861</v>
      </c>
      <c r="W175" s="2">
        <v>1.4352736401350401</v>
      </c>
      <c r="X175" s="2">
        <v>103.32071961290099</v>
      </c>
      <c r="Y175" s="2">
        <v>15.875346847473901</v>
      </c>
      <c r="Z175" s="4">
        <v>8.4</v>
      </c>
      <c r="AA175" s="4">
        <v>9</v>
      </c>
      <c r="AB175" s="2">
        <v>0.9</v>
      </c>
      <c r="AC175" s="2">
        <v>20.9</v>
      </c>
      <c r="AD175" s="2">
        <v>10.400000000000006</v>
      </c>
      <c r="AE175" s="2">
        <v>0</v>
      </c>
    </row>
    <row r="176" spans="1:31" x14ac:dyDescent="0.25">
      <c r="A176" s="2" t="s">
        <v>563</v>
      </c>
      <c r="B176" s="2">
        <v>2015</v>
      </c>
      <c r="C176" s="2" t="s">
        <v>564</v>
      </c>
      <c r="D176" s="2" t="s">
        <v>301</v>
      </c>
      <c r="E176" s="2">
        <v>4.6239999999999997</v>
      </c>
      <c r="F176" s="2">
        <v>12.107200000000001</v>
      </c>
      <c r="G176" s="2">
        <v>1.2783</v>
      </c>
      <c r="H176" s="2">
        <v>0.99590000000000001</v>
      </c>
      <c r="I176" s="2">
        <v>0.8286</v>
      </c>
      <c r="J176">
        <v>36.052740508272102</v>
      </c>
      <c r="K176">
        <v>9.9750922018882093</v>
      </c>
      <c r="L176" s="2">
        <v>9.4606999999999992</v>
      </c>
      <c r="M176" s="2">
        <v>1.9202999999999999</v>
      </c>
      <c r="N176" s="2">
        <v>4.5309999999999997</v>
      </c>
      <c r="O176" s="2">
        <v>1.0249999999999999</v>
      </c>
      <c r="P176" s="2">
        <v>7.8582000000000001</v>
      </c>
      <c r="Q176" s="2">
        <v>3.5821999999999998</v>
      </c>
      <c r="R176" s="2">
        <v>-23.689644997184999</v>
      </c>
      <c r="S176" s="2">
        <v>20.325762213862301</v>
      </c>
      <c r="T176" s="2">
        <v>33.063870545739199</v>
      </c>
      <c r="U176" s="2">
        <v>66.328599999999994</v>
      </c>
      <c r="V176" s="2">
        <v>18.0329338991112</v>
      </c>
      <c r="W176" s="2">
        <v>1.4449440491535599</v>
      </c>
      <c r="X176" s="2">
        <v>107.67532009768399</v>
      </c>
      <c r="Y176" s="2">
        <v>7.0702922395427397</v>
      </c>
      <c r="Z176" s="4">
        <v>6.9099999999999993</v>
      </c>
      <c r="AA176" s="4">
        <v>13.3</v>
      </c>
      <c r="AB176" s="2">
        <v>1.4</v>
      </c>
      <c r="AC176" s="2">
        <v>17.600000000000001</v>
      </c>
      <c r="AD176" s="2">
        <v>5.7000000000000028</v>
      </c>
      <c r="AE176" s="2">
        <v>0</v>
      </c>
    </row>
    <row r="177" spans="1:31" x14ac:dyDescent="0.25">
      <c r="A177" s="2" t="s">
        <v>565</v>
      </c>
      <c r="B177" s="2">
        <v>2017</v>
      </c>
      <c r="C177" s="2" t="s">
        <v>566</v>
      </c>
      <c r="D177" s="2" t="s">
        <v>301</v>
      </c>
      <c r="E177" s="2">
        <v>7.85</v>
      </c>
      <c r="F177" s="2">
        <v>12.391500000000001</v>
      </c>
      <c r="G177" s="2">
        <v>8.3033999999999999</v>
      </c>
      <c r="H177" s="2">
        <v>1.4581</v>
      </c>
      <c r="I177" s="2">
        <v>1.1567000000000001</v>
      </c>
      <c r="J177">
        <v>54.910548338440101</v>
      </c>
      <c r="K177">
        <v>4.5432955772578598</v>
      </c>
      <c r="L177" s="2">
        <v>4.5145999999999997</v>
      </c>
      <c r="M177" s="2">
        <v>1.2174</v>
      </c>
      <c r="N177" s="2">
        <v>5.8673999999999999</v>
      </c>
      <c r="O177" s="2">
        <v>0.7903</v>
      </c>
      <c r="P177" s="2">
        <v>4.1345000000000001</v>
      </c>
      <c r="Q177" s="2">
        <v>27.543600000000001</v>
      </c>
      <c r="R177" s="2">
        <v>33.538351422587397</v>
      </c>
      <c r="S177" s="2">
        <v>24.995076346145101</v>
      </c>
      <c r="T177" s="2">
        <v>11.715317770368699</v>
      </c>
      <c r="U177" s="2">
        <v>52.671500000000002</v>
      </c>
      <c r="V177" s="2">
        <v>9.5283805774320989</v>
      </c>
      <c r="W177" s="2">
        <v>3.3465092860528398</v>
      </c>
      <c r="X177" s="2">
        <v>85.1672012337647</v>
      </c>
      <c r="Y177" s="2">
        <v>3.3643433914714</v>
      </c>
      <c r="Z177" s="4">
        <v>6.9</v>
      </c>
      <c r="AA177" s="4">
        <v>8.2000000000000011</v>
      </c>
      <c r="AB177" s="2">
        <v>1.6</v>
      </c>
      <c r="AC177" s="2">
        <v>16.3</v>
      </c>
      <c r="AD177" s="2">
        <v>6.2000000000000028</v>
      </c>
      <c r="AE177" s="2">
        <v>0</v>
      </c>
    </row>
    <row r="178" spans="1:31" x14ac:dyDescent="0.25">
      <c r="A178" s="2" t="s">
        <v>567</v>
      </c>
      <c r="B178" s="2">
        <v>2015</v>
      </c>
      <c r="C178" s="2" t="s">
        <v>568</v>
      </c>
      <c r="D178" s="2" t="s">
        <v>301</v>
      </c>
      <c r="E178" s="2">
        <v>3.5886</v>
      </c>
      <c r="F178" s="2">
        <v>3.3584999999999998</v>
      </c>
      <c r="G178" s="2">
        <v>2.7</v>
      </c>
      <c r="H178" s="2">
        <v>1.7858000000000001</v>
      </c>
      <c r="I178" s="2">
        <v>1.2302999999999999</v>
      </c>
      <c r="J178">
        <v>17.808804884470799</v>
      </c>
      <c r="K178">
        <v>-20.6808954665673</v>
      </c>
      <c r="L178" s="2">
        <v>5.9462000000000002</v>
      </c>
      <c r="M178" s="2">
        <v>1.7289000000000001</v>
      </c>
      <c r="N178" s="2">
        <v>13.9786</v>
      </c>
      <c r="O178" s="2">
        <v>1.0170999999999999</v>
      </c>
      <c r="P178" s="2">
        <v>4.5575000000000001</v>
      </c>
      <c r="Q178" s="2">
        <v>261.2901</v>
      </c>
      <c r="R178" s="2">
        <v>54.129095080130803</v>
      </c>
      <c r="S178" s="2">
        <v>159.244965335816</v>
      </c>
      <c r="T178" s="2">
        <v>212.72179783416999</v>
      </c>
      <c r="U178" s="2">
        <v>30.717700000000001</v>
      </c>
      <c r="V178" s="2">
        <v>1.0943451212816999</v>
      </c>
      <c r="W178" s="2">
        <v>14.388859232215999</v>
      </c>
      <c r="X178" s="2">
        <v>104.27985588519</v>
      </c>
      <c r="Y178" s="2">
        <v>-9.0141721870387208</v>
      </c>
      <c r="Z178" s="4">
        <v>6.9099999999999993</v>
      </c>
      <c r="AA178" s="4">
        <v>13.3</v>
      </c>
      <c r="AB178" s="2">
        <v>1.4</v>
      </c>
      <c r="AC178" s="2">
        <v>17.600000000000001</v>
      </c>
      <c r="AD178" s="2">
        <v>5.7000000000000028</v>
      </c>
      <c r="AE178" s="2">
        <v>0</v>
      </c>
    </row>
    <row r="179" spans="1:31" x14ac:dyDescent="0.25">
      <c r="A179" s="2" t="s">
        <v>569</v>
      </c>
      <c r="B179" s="2">
        <v>2015</v>
      </c>
      <c r="C179" s="2" t="s">
        <v>570</v>
      </c>
      <c r="D179" s="2" t="s">
        <v>301</v>
      </c>
      <c r="E179" s="2">
        <v>8.1715</v>
      </c>
      <c r="F179" s="2">
        <v>12.0063</v>
      </c>
      <c r="G179" s="2">
        <v>7.9283000000000001</v>
      </c>
      <c r="H179" s="2">
        <v>1.5321</v>
      </c>
      <c r="I179" s="2">
        <v>1.2041999999999999</v>
      </c>
      <c r="J179">
        <v>39.5481927342802</v>
      </c>
      <c r="K179">
        <v>27.865200457413096</v>
      </c>
      <c r="L179" s="2">
        <v>5.0277000000000003</v>
      </c>
      <c r="M179" s="2">
        <v>1.5165999999999999</v>
      </c>
      <c r="N179" s="2">
        <v>2.6318000000000001</v>
      </c>
      <c r="O179" s="2">
        <v>0.88619999999999999</v>
      </c>
      <c r="P179" s="2">
        <v>2.9636</v>
      </c>
      <c r="Q179" s="2">
        <v>2.5905</v>
      </c>
      <c r="R179" s="2">
        <v>5.8476475918385002</v>
      </c>
      <c r="S179" s="2">
        <v>6.5641384420247899</v>
      </c>
      <c r="T179" s="2">
        <v>6.5988257744030197</v>
      </c>
      <c r="U179" s="2">
        <v>45.763399999999997</v>
      </c>
      <c r="V179" s="2">
        <v>8.0544791624341698</v>
      </c>
      <c r="W179" s="2">
        <v>1.5568840252056999</v>
      </c>
      <c r="X179" s="2">
        <v>107.437236767504</v>
      </c>
      <c r="Y179" s="2">
        <v>14.846391913482501</v>
      </c>
      <c r="Z179" s="4">
        <v>6.9099999999999993</v>
      </c>
      <c r="AA179" s="4">
        <v>13.3</v>
      </c>
      <c r="AB179" s="2">
        <v>1.4</v>
      </c>
      <c r="AC179" s="2">
        <v>17.600000000000001</v>
      </c>
      <c r="AD179" s="2">
        <v>5.7000000000000028</v>
      </c>
      <c r="AE179" s="2">
        <v>0</v>
      </c>
    </row>
    <row r="180" spans="1:31" x14ac:dyDescent="0.25">
      <c r="A180" s="2" t="s">
        <v>571</v>
      </c>
      <c r="B180" s="2">
        <v>2020</v>
      </c>
      <c r="C180" s="2" t="s">
        <v>572</v>
      </c>
      <c r="D180" s="2" t="s">
        <v>316</v>
      </c>
      <c r="E180" s="2">
        <v>4.1410999999999998</v>
      </c>
      <c r="F180" s="2">
        <v>6.0964999999999998</v>
      </c>
      <c r="G180" s="2">
        <v>7.0625999999999998</v>
      </c>
      <c r="H180" s="2">
        <v>2.1594000000000002</v>
      </c>
      <c r="I180" s="2">
        <v>1.6253</v>
      </c>
      <c r="J180">
        <v>59.6507298385106</v>
      </c>
      <c r="K180">
        <v>2.1771993562822298</v>
      </c>
      <c r="L180" s="2">
        <v>3.1255999999999999</v>
      </c>
      <c r="M180" s="2">
        <v>0.95040000000000002</v>
      </c>
      <c r="N180" s="2">
        <v>2.2387000000000001</v>
      </c>
      <c r="O180" s="2">
        <v>0.55489999999999995</v>
      </c>
      <c r="P180" s="2">
        <v>2.383</v>
      </c>
      <c r="Q180" s="2">
        <v>5.8226000000000004</v>
      </c>
      <c r="R180" s="2">
        <v>-30.611958863340298</v>
      </c>
      <c r="S180" s="2">
        <v>15.096638768729401</v>
      </c>
      <c r="T180" s="2">
        <v>2.9501930916647598</v>
      </c>
      <c r="U180" s="2">
        <v>40.806199999999997</v>
      </c>
      <c r="V180" s="2">
        <v>13.204954433267199</v>
      </c>
      <c r="W180" s="2">
        <v>2.5406512191081601</v>
      </c>
      <c r="X180" s="2">
        <v>87.218979293573796</v>
      </c>
      <c r="Y180" s="2">
        <v>1.71338165555317</v>
      </c>
      <c r="Z180" s="4">
        <v>2.2999999999999998</v>
      </c>
      <c r="AA180" s="4">
        <v>10.100000000000001</v>
      </c>
      <c r="AB180" s="2">
        <v>2.5</v>
      </c>
      <c r="AC180" s="2">
        <v>16.100000000000001</v>
      </c>
      <c r="AD180" s="2">
        <v>2.4000000000000057</v>
      </c>
      <c r="AE180" s="2">
        <v>0</v>
      </c>
    </row>
    <row r="181" spans="1:31" x14ac:dyDescent="0.25">
      <c r="A181" s="2" t="s">
        <v>573</v>
      </c>
      <c r="B181" s="2">
        <v>2018</v>
      </c>
      <c r="C181" s="2" t="s">
        <v>574</v>
      </c>
      <c r="D181" s="2" t="s">
        <v>575</v>
      </c>
      <c r="E181" s="2">
        <v>10.4039</v>
      </c>
      <c r="F181" s="2">
        <v>11.077500000000001</v>
      </c>
      <c r="G181" s="2">
        <v>29.860600000000002</v>
      </c>
      <c r="H181" s="2">
        <v>3.4213</v>
      </c>
      <c r="I181" s="2">
        <v>3.2063000000000001</v>
      </c>
      <c r="J181">
        <v>127.624879172585</v>
      </c>
      <c r="K181">
        <v>23.840781893019098</v>
      </c>
      <c r="L181" s="2">
        <v>5.3388999999999998</v>
      </c>
      <c r="M181" s="2">
        <v>0.62990000000000002</v>
      </c>
      <c r="N181" s="2">
        <v>8.0395000000000003</v>
      </c>
      <c r="O181" s="2">
        <v>0.3548</v>
      </c>
      <c r="P181" s="2">
        <v>1.3898999999999999</v>
      </c>
      <c r="Q181" s="2">
        <v>32.870899999999999</v>
      </c>
      <c r="R181" s="2">
        <v>20.732388164606899</v>
      </c>
      <c r="S181" s="2">
        <v>18.647610816845201</v>
      </c>
      <c r="T181" s="2">
        <v>12.9178246810879</v>
      </c>
      <c r="U181" s="2">
        <v>16.4344</v>
      </c>
      <c r="V181" s="2">
        <v>0.72070288522698001</v>
      </c>
      <c r="W181" s="2">
        <v>18.035070518220099</v>
      </c>
      <c r="X181" s="2">
        <v>82.871117249932198</v>
      </c>
      <c r="Y181" s="2">
        <v>11.9853687349478</v>
      </c>
      <c r="Z181" s="4">
        <v>6.6000000000000005</v>
      </c>
      <c r="AA181" s="4">
        <v>8.1</v>
      </c>
      <c r="AB181" s="2">
        <v>2.1</v>
      </c>
      <c r="AC181" s="2">
        <v>12.5</v>
      </c>
      <c r="AD181" s="2">
        <v>6.0999999999999943</v>
      </c>
      <c r="AE181" s="2">
        <v>0</v>
      </c>
    </row>
    <row r="182" spans="1:31" x14ac:dyDescent="0.25">
      <c r="A182" s="2" t="s">
        <v>576</v>
      </c>
      <c r="B182" s="2">
        <v>2014</v>
      </c>
      <c r="C182" s="2" t="s">
        <v>577</v>
      </c>
      <c r="D182" s="2" t="s">
        <v>300</v>
      </c>
      <c r="E182" s="2">
        <v>8.0168999999999997</v>
      </c>
      <c r="F182" s="2">
        <v>15.760999999999999</v>
      </c>
      <c r="G182" s="2">
        <v>10.364800000000001</v>
      </c>
      <c r="H182" s="2">
        <v>1.3346</v>
      </c>
      <c r="I182" s="2">
        <v>0.30170000000000002</v>
      </c>
      <c r="J182">
        <v>8.7452208322435396</v>
      </c>
      <c r="K182">
        <v>-19.424711520963999</v>
      </c>
      <c r="L182" s="2">
        <v>0.76390000000000002</v>
      </c>
      <c r="M182" s="2">
        <v>0.78790000000000004</v>
      </c>
      <c r="N182" s="2">
        <v>13.375400000000001</v>
      </c>
      <c r="O182" s="2">
        <v>0.58040000000000003</v>
      </c>
      <c r="P182" s="2">
        <v>6.8895</v>
      </c>
      <c r="Q182" s="2">
        <v>89.841499999999996</v>
      </c>
      <c r="R182" s="2">
        <v>56.895164600660401</v>
      </c>
      <c r="S182" s="2">
        <v>48.8308547522224</v>
      </c>
      <c r="T182" s="2">
        <v>14.1334408913518</v>
      </c>
      <c r="U182" s="2">
        <v>66.211200000000005</v>
      </c>
      <c r="V182" s="2">
        <v>8.8652930938646701</v>
      </c>
      <c r="W182" s="2">
        <v>7.5472525704984497</v>
      </c>
      <c r="X182" s="2">
        <v>35.728283390399604</v>
      </c>
      <c r="Y182" s="2">
        <v>-26.5063421020437</v>
      </c>
      <c r="Z182" s="4">
        <v>7.3</v>
      </c>
      <c r="AA182" s="4">
        <v>12.2</v>
      </c>
      <c r="AB182" s="2">
        <v>2</v>
      </c>
      <c r="AC182" s="2">
        <v>16.899999999999999</v>
      </c>
      <c r="AD182" s="2">
        <v>6.7000000000000028</v>
      </c>
      <c r="AE182" s="2">
        <v>0</v>
      </c>
    </row>
    <row r="183" spans="1:31" x14ac:dyDescent="0.25">
      <c r="A183" s="2" t="s">
        <v>576</v>
      </c>
      <c r="B183" s="2">
        <v>2016</v>
      </c>
      <c r="C183" s="2" t="s">
        <v>577</v>
      </c>
      <c r="D183" s="2" t="s">
        <v>300</v>
      </c>
      <c r="E183" s="2">
        <v>4.5801999999999996</v>
      </c>
      <c r="F183" s="2">
        <v>5.6494</v>
      </c>
      <c r="G183" s="2">
        <v>8.7021999999999995</v>
      </c>
      <c r="H183" s="2">
        <v>1.8511</v>
      </c>
      <c r="I183" s="2">
        <v>0.61329999999999996</v>
      </c>
      <c r="J183">
        <v>22.287343726616701</v>
      </c>
      <c r="K183">
        <v>-11.5551104064443</v>
      </c>
      <c r="L183" s="2">
        <v>0.51549999999999996</v>
      </c>
      <c r="M183" s="2">
        <v>0.49630000000000002</v>
      </c>
      <c r="N183" s="2">
        <v>15.6928</v>
      </c>
      <c r="O183" s="2">
        <v>0.40439999999999998</v>
      </c>
      <c r="P183" s="2">
        <v>3.4982000000000002</v>
      </c>
      <c r="Q183" s="2">
        <v>40.369199999999999</v>
      </c>
      <c r="R183" s="2">
        <v>31.795108220690999</v>
      </c>
      <c r="S183" s="2">
        <v>40.0494130168222</v>
      </c>
      <c r="T183" s="2">
        <v>4.2303413293535304</v>
      </c>
      <c r="U183" s="2">
        <v>56.253900000000002</v>
      </c>
      <c r="V183" s="2">
        <v>11.2416954544177</v>
      </c>
      <c r="W183" s="2">
        <v>20.424558627582801</v>
      </c>
      <c r="X183" s="2">
        <v>51.690557857602606</v>
      </c>
      <c r="Y183" s="2">
        <v>-18.693969291241199</v>
      </c>
      <c r="Z183" s="4">
        <v>6.7</v>
      </c>
      <c r="AA183" s="4">
        <v>11.3</v>
      </c>
      <c r="AB183" s="2">
        <v>2</v>
      </c>
      <c r="AC183" s="2">
        <v>15.9</v>
      </c>
      <c r="AD183" s="2">
        <v>5.7000000000000028</v>
      </c>
      <c r="AE183" s="2">
        <v>0</v>
      </c>
    </row>
    <row r="184" spans="1:31" x14ac:dyDescent="0.25">
      <c r="A184" s="2" t="s">
        <v>576</v>
      </c>
      <c r="B184" s="2">
        <v>2018</v>
      </c>
      <c r="C184" s="2" t="s">
        <v>577</v>
      </c>
      <c r="D184" s="2" t="s">
        <v>300</v>
      </c>
      <c r="E184" s="2">
        <v>5.6877000000000004</v>
      </c>
      <c r="F184" s="2">
        <v>10.560499999999999</v>
      </c>
      <c r="G184" s="2">
        <v>13.811299999999999</v>
      </c>
      <c r="H184" s="2">
        <v>1.7292000000000001</v>
      </c>
      <c r="I184" s="2">
        <v>0.92830000000000001</v>
      </c>
      <c r="J184">
        <v>27.1087927880655</v>
      </c>
      <c r="K184">
        <v>-5.2306999978503406</v>
      </c>
      <c r="L184" s="2">
        <v>0.45739999999999997</v>
      </c>
      <c r="M184" s="2">
        <v>0.3957</v>
      </c>
      <c r="N184" s="2">
        <v>8.4123999999999999</v>
      </c>
      <c r="O184" s="2">
        <v>0.29330000000000001</v>
      </c>
      <c r="P184" s="2">
        <v>1.4673</v>
      </c>
      <c r="Q184" s="2">
        <v>-1.7738</v>
      </c>
      <c r="R184" s="2">
        <v>29.423155402211201</v>
      </c>
      <c r="S184" s="2">
        <v>21.8905320140261</v>
      </c>
      <c r="T184" s="2">
        <v>11.6310833975115</v>
      </c>
      <c r="U184" s="2">
        <v>65.569999999999993</v>
      </c>
      <c r="V184" s="2">
        <v>22.639515294857198</v>
      </c>
      <c r="W184" s="2">
        <v>10.765718685405</v>
      </c>
      <c r="X184" s="2">
        <v>76.1939874509996</v>
      </c>
      <c r="Y184" s="2">
        <v>-12.889960536332101</v>
      </c>
      <c r="Z184" s="4">
        <v>6.6000000000000005</v>
      </c>
      <c r="AA184" s="4">
        <v>8.1</v>
      </c>
      <c r="AB184" s="2">
        <v>2.1</v>
      </c>
      <c r="AC184" s="2">
        <v>12.5</v>
      </c>
      <c r="AD184" s="2">
        <v>6.0999999999999943</v>
      </c>
      <c r="AE184" s="2">
        <v>0</v>
      </c>
    </row>
    <row r="185" spans="1:31" x14ac:dyDescent="0.25">
      <c r="A185" s="2" t="s">
        <v>576</v>
      </c>
      <c r="B185" s="2">
        <v>2020</v>
      </c>
      <c r="C185" s="2" t="s">
        <v>577</v>
      </c>
      <c r="D185" s="2" t="s">
        <v>300</v>
      </c>
      <c r="E185" s="2">
        <v>7.33</v>
      </c>
      <c r="F185" s="2">
        <v>18.8797</v>
      </c>
      <c r="G185" s="2">
        <v>29.2074</v>
      </c>
      <c r="H185" s="2">
        <v>1.3024</v>
      </c>
      <c r="I185" s="2">
        <v>1.2636000000000001</v>
      </c>
      <c r="J185">
        <v>14.3033190402105</v>
      </c>
      <c r="K185">
        <v>1.2890070880481801</v>
      </c>
      <c r="L185" s="2">
        <v>0.28899999999999998</v>
      </c>
      <c r="M185" s="2">
        <v>0.28660000000000002</v>
      </c>
      <c r="N185" s="2">
        <v>7.0271999999999997</v>
      </c>
      <c r="O185" s="2">
        <v>0.19839999999999999</v>
      </c>
      <c r="P185" s="2">
        <v>0.92090000000000005</v>
      </c>
      <c r="Q185" s="2">
        <v>-25.144300000000001</v>
      </c>
      <c r="R185" s="2">
        <v>66.823875161414605</v>
      </c>
      <c r="S185" s="2">
        <v>19.162185841693201</v>
      </c>
      <c r="T185" s="2">
        <v>19.597414592327599</v>
      </c>
      <c r="U185" s="2">
        <v>69.656400000000005</v>
      </c>
      <c r="V185" s="2">
        <v>17.2818043079021</v>
      </c>
      <c r="W185" s="2">
        <v>12.0502812320274</v>
      </c>
      <c r="X185" s="2">
        <v>116.98749202648899</v>
      </c>
      <c r="Y185" s="2">
        <v>4.9207932423112499</v>
      </c>
      <c r="Z185" s="4">
        <v>2.2999999999999998</v>
      </c>
      <c r="AA185" s="4">
        <v>10.100000000000001</v>
      </c>
      <c r="AB185" s="2">
        <v>2.5</v>
      </c>
      <c r="AC185" s="2">
        <v>16.100000000000001</v>
      </c>
      <c r="AD185" s="2">
        <v>2.4000000000000057</v>
      </c>
      <c r="AE185" s="2">
        <v>0</v>
      </c>
    </row>
    <row r="186" spans="1:31" x14ac:dyDescent="0.25">
      <c r="A186" s="2" t="s">
        <v>578</v>
      </c>
      <c r="B186" s="2">
        <v>2015</v>
      </c>
      <c r="C186" s="2" t="s">
        <v>579</v>
      </c>
      <c r="D186" s="2" t="s">
        <v>580</v>
      </c>
      <c r="E186" s="2">
        <v>10.2956</v>
      </c>
      <c r="F186" s="2">
        <v>14.115600000000001</v>
      </c>
      <c r="G186" s="2">
        <v>26.150099999999998</v>
      </c>
      <c r="H186" s="2">
        <v>0.7611</v>
      </c>
      <c r="I186" s="2">
        <v>0.61029999999999995</v>
      </c>
      <c r="J186">
        <v>40.887248755775303</v>
      </c>
      <c r="K186">
        <v>9.2460685908366003</v>
      </c>
      <c r="L186" s="2">
        <v>3.8778999999999999</v>
      </c>
      <c r="M186" s="2">
        <v>1.4843</v>
      </c>
      <c r="N186" s="2">
        <v>2.6869999999999998</v>
      </c>
      <c r="O186" s="2">
        <v>0.34289999999999998</v>
      </c>
      <c r="P186" s="2">
        <v>7.7821999999999996</v>
      </c>
      <c r="Q186" s="2">
        <v>4.7236000000000002</v>
      </c>
      <c r="R186" s="2">
        <v>21.1331626481354</v>
      </c>
      <c r="S186" s="2">
        <v>8.1090842731790609</v>
      </c>
      <c r="T186" s="2">
        <v>9.0358919685165198</v>
      </c>
      <c r="U186" s="2">
        <v>45.8934</v>
      </c>
      <c r="V186" s="2">
        <v>17.283798597660898</v>
      </c>
      <c r="W186" s="2">
        <v>4.3296889135881997</v>
      </c>
      <c r="X186" s="2">
        <v>114.54615901673</v>
      </c>
      <c r="Y186" s="2">
        <v>12.8564772335766</v>
      </c>
      <c r="Z186" s="4">
        <v>6.9099999999999993</v>
      </c>
      <c r="AA186" s="4">
        <v>13.3</v>
      </c>
      <c r="AB186" s="2">
        <v>1.4</v>
      </c>
      <c r="AC186" s="2">
        <v>17.600000000000001</v>
      </c>
      <c r="AD186" s="2">
        <v>9.7000000000000028</v>
      </c>
      <c r="AE186" s="2">
        <v>0</v>
      </c>
    </row>
    <row r="187" spans="1:31" x14ac:dyDescent="0.25">
      <c r="A187" s="2" t="s">
        <v>578</v>
      </c>
      <c r="B187" s="2">
        <v>2018</v>
      </c>
      <c r="C187" s="2" t="s">
        <v>579</v>
      </c>
      <c r="D187" s="2" t="s">
        <v>580</v>
      </c>
      <c r="E187" s="2">
        <v>6.5853000000000002</v>
      </c>
      <c r="F187" s="2">
        <v>10.1602</v>
      </c>
      <c r="G187" s="2">
        <v>14.188499999999999</v>
      </c>
      <c r="H187" s="2">
        <v>1.0044</v>
      </c>
      <c r="I187" s="2">
        <v>0.82099999999999995</v>
      </c>
      <c r="J187">
        <v>55.096916649038597</v>
      </c>
      <c r="K187">
        <v>7.9821783861154909</v>
      </c>
      <c r="L187" s="2">
        <v>3.4333999999999998</v>
      </c>
      <c r="M187" s="2">
        <v>1.5075000000000001</v>
      </c>
      <c r="N187" s="2">
        <v>3.6539000000000001</v>
      </c>
      <c r="O187" s="2">
        <v>0.37609999999999999</v>
      </c>
      <c r="P187" s="2">
        <v>7.2530000000000001</v>
      </c>
      <c r="Q187" s="2">
        <v>34.595399999999998</v>
      </c>
      <c r="R187" s="2">
        <v>-15.7694832885464</v>
      </c>
      <c r="S187" s="2">
        <v>13.845752645651199</v>
      </c>
      <c r="T187" s="2">
        <v>10.466625269974299</v>
      </c>
      <c r="U187" s="2">
        <v>52.385399999999997</v>
      </c>
      <c r="V187" s="2">
        <v>27.002686229689399</v>
      </c>
      <c r="W187" s="2">
        <v>4.73452438836381</v>
      </c>
      <c r="X187" s="2">
        <v>109.00605388868601</v>
      </c>
      <c r="Y187" s="2">
        <v>11.839122773617399</v>
      </c>
      <c r="Z187" s="4">
        <v>6.6000000000000005</v>
      </c>
      <c r="AA187" s="4">
        <v>8.1</v>
      </c>
      <c r="AB187" s="2">
        <v>2.1</v>
      </c>
      <c r="AC187" s="2">
        <v>12.5</v>
      </c>
      <c r="AD187" s="2">
        <v>11.099999999999994</v>
      </c>
      <c r="AE187" s="2">
        <v>0</v>
      </c>
    </row>
    <row r="188" spans="1:31" x14ac:dyDescent="0.25">
      <c r="A188" s="2" t="s">
        <v>578</v>
      </c>
      <c r="B188" s="2">
        <v>2020</v>
      </c>
      <c r="C188" s="2" t="s">
        <v>579</v>
      </c>
      <c r="D188" s="2" t="s">
        <v>580</v>
      </c>
      <c r="E188" s="2">
        <v>6.7070999999999996</v>
      </c>
      <c r="F188" s="2">
        <v>10.6348</v>
      </c>
      <c r="G188" s="2">
        <v>15.5777</v>
      </c>
      <c r="H188" s="2">
        <v>1.0085</v>
      </c>
      <c r="I188" s="2">
        <v>0.80100000000000005</v>
      </c>
      <c r="J188">
        <v>48.9471080108016</v>
      </c>
      <c r="K188">
        <v>6.8425891712193998</v>
      </c>
      <c r="L188" s="2">
        <v>2.9508000000000001</v>
      </c>
      <c r="M188" s="2">
        <v>1.3325</v>
      </c>
      <c r="N188" s="2">
        <v>3.899</v>
      </c>
      <c r="O188" s="2">
        <v>0.37930000000000003</v>
      </c>
      <c r="P188" s="2">
        <v>6.7859999999999996</v>
      </c>
      <c r="Q188" s="2">
        <v>6.2488000000000001</v>
      </c>
      <c r="R188" s="2">
        <v>5.2479597807874496</v>
      </c>
      <c r="S188" s="2">
        <v>9.9400936148945096</v>
      </c>
      <c r="T188" s="2">
        <v>16.0168605336384</v>
      </c>
      <c r="U188" s="2">
        <v>45.051400000000001</v>
      </c>
      <c r="V188" s="2">
        <v>15.3407985717248</v>
      </c>
      <c r="W188" s="2">
        <v>5.6452214351331298</v>
      </c>
      <c r="X188" s="2">
        <v>105.46409285572</v>
      </c>
      <c r="Y188" s="2">
        <v>8.5121443719962393</v>
      </c>
      <c r="Z188" s="4">
        <v>2.2999999999999998</v>
      </c>
      <c r="AA188" s="4">
        <v>10.100000000000001</v>
      </c>
      <c r="AB188" s="2">
        <v>2.5</v>
      </c>
      <c r="AC188" s="2">
        <v>16.100000000000001</v>
      </c>
      <c r="AD188" s="2">
        <v>-0.90000000000000568</v>
      </c>
      <c r="AE188" s="2">
        <v>0</v>
      </c>
    </row>
    <row r="189" spans="1:31" x14ac:dyDescent="0.25">
      <c r="A189" s="2" t="s">
        <v>581</v>
      </c>
      <c r="B189" s="2">
        <v>2015</v>
      </c>
      <c r="C189" s="2" t="s">
        <v>582</v>
      </c>
      <c r="D189" s="2" t="s">
        <v>302</v>
      </c>
      <c r="E189" s="2">
        <v>12.796099999999999</v>
      </c>
      <c r="F189" s="2">
        <v>14.048500000000001</v>
      </c>
      <c r="G189" s="2">
        <v>17.297499999999999</v>
      </c>
      <c r="H189" s="2">
        <v>3.1907000000000001</v>
      </c>
      <c r="I189" s="2">
        <v>2.8462999999999998</v>
      </c>
      <c r="J189">
        <v>126.41549711181399</v>
      </c>
      <c r="K189">
        <v>10.230647614189101</v>
      </c>
      <c r="L189" s="2">
        <v>1.6176999999999999</v>
      </c>
      <c r="M189" s="2">
        <v>1.1915</v>
      </c>
      <c r="N189" s="2">
        <v>4.0332999999999997</v>
      </c>
      <c r="O189" s="2">
        <v>0.70369999999999999</v>
      </c>
      <c r="P189" s="2">
        <v>2.4679000000000002</v>
      </c>
      <c r="Q189" s="2">
        <v>16.867100000000001</v>
      </c>
      <c r="R189" s="2">
        <v>19.445791815223899</v>
      </c>
      <c r="S189" s="2">
        <v>112.67513260737699</v>
      </c>
      <c r="T189" s="2">
        <v>140.430425675945</v>
      </c>
      <c r="U189" s="2">
        <v>18.272500000000001</v>
      </c>
      <c r="V189" s="2">
        <v>0.64962806064228906</v>
      </c>
      <c r="W189" s="2">
        <v>5.4904029186642598</v>
      </c>
      <c r="X189" s="2">
        <v>85.685895147511701</v>
      </c>
      <c r="Y189" s="2">
        <v>3.6137657806278902</v>
      </c>
      <c r="Z189" s="4">
        <v>6.9099999999999993</v>
      </c>
      <c r="AA189" s="4">
        <v>13.3</v>
      </c>
      <c r="AB189" s="2">
        <v>1.4</v>
      </c>
      <c r="AC189" s="2">
        <v>17.600000000000001</v>
      </c>
      <c r="AD189" s="2">
        <v>9.7000000000000028</v>
      </c>
      <c r="AE189" s="2">
        <v>0</v>
      </c>
    </row>
    <row r="190" spans="1:31" x14ac:dyDescent="0.25">
      <c r="A190" s="2" t="s">
        <v>581</v>
      </c>
      <c r="B190" s="2">
        <v>2020</v>
      </c>
      <c r="C190" s="2" t="s">
        <v>582</v>
      </c>
      <c r="D190" s="2" t="s">
        <v>302</v>
      </c>
      <c r="E190" s="2">
        <v>7.5617999999999999</v>
      </c>
      <c r="F190" s="2">
        <v>8.2027999999999999</v>
      </c>
      <c r="G190" s="2">
        <v>10.0817</v>
      </c>
      <c r="H190" s="2">
        <v>2.4419</v>
      </c>
      <c r="I190" s="2">
        <v>1.8362000000000001</v>
      </c>
      <c r="J190">
        <v>48.1319589758521</v>
      </c>
      <c r="K190">
        <v>7.0544824074633601</v>
      </c>
      <c r="L190" s="2">
        <v>2.4418000000000002</v>
      </c>
      <c r="M190" s="2">
        <v>1.2924</v>
      </c>
      <c r="N190" s="2">
        <v>2.8919999999999999</v>
      </c>
      <c r="O190" s="2">
        <v>0.69740000000000002</v>
      </c>
      <c r="P190" s="2">
        <v>2.7593999999999999</v>
      </c>
      <c r="Q190" s="2">
        <v>30.135000000000002</v>
      </c>
      <c r="R190" s="2">
        <v>37.030647006555199</v>
      </c>
      <c r="S190" s="2">
        <v>20.804291352457501</v>
      </c>
      <c r="T190" s="2">
        <v>6.0082740517312301</v>
      </c>
      <c r="U190" s="2">
        <v>27.3857</v>
      </c>
      <c r="V190" s="2">
        <v>4.3984286543506999</v>
      </c>
      <c r="W190" s="2">
        <v>2.9663539061467499</v>
      </c>
      <c r="X190" s="2">
        <v>95.154274312602311</v>
      </c>
      <c r="Y190" s="2">
        <v>3.0311096726775202</v>
      </c>
      <c r="Z190" s="4">
        <v>2.2999999999999998</v>
      </c>
      <c r="AA190" s="4">
        <v>10.100000000000001</v>
      </c>
      <c r="AB190" s="2">
        <v>2.5</v>
      </c>
      <c r="AC190" s="2">
        <v>16.100000000000001</v>
      </c>
      <c r="AD190" s="2">
        <v>-0.90000000000000568</v>
      </c>
      <c r="AE190" s="2">
        <v>0</v>
      </c>
    </row>
    <row r="191" spans="1:31" x14ac:dyDescent="0.25">
      <c r="A191" s="2" t="s">
        <v>20</v>
      </c>
      <c r="B191" s="2">
        <v>2022</v>
      </c>
      <c r="C191" s="2" t="s">
        <v>174</v>
      </c>
      <c r="D191" s="2" t="s">
        <v>295</v>
      </c>
      <c r="E191" s="2">
        <v>2.4116</v>
      </c>
      <c r="F191" s="2">
        <v>9.4952000000000005</v>
      </c>
      <c r="G191" s="2">
        <v>7.7786</v>
      </c>
      <c r="H191" s="2">
        <v>1.3218000000000001</v>
      </c>
      <c r="I191" s="2">
        <v>0.37680000000000002</v>
      </c>
      <c r="J191">
        <f>0.120250160674316*(100)</f>
        <v>12.025016067431601</v>
      </c>
      <c r="K191" s="8">
        <f>0.0484*(100)</f>
        <v>4.84</v>
      </c>
      <c r="L191" s="2">
        <v>0.4</v>
      </c>
      <c r="M191" s="2">
        <v>0.34489999999999998</v>
      </c>
      <c r="N191" s="2">
        <v>30.807600000000001</v>
      </c>
      <c r="O191" s="2">
        <v>0.29849999999999999</v>
      </c>
      <c r="P191" s="2">
        <v>39.2425</v>
      </c>
      <c r="Q191" s="2">
        <v>28.0548</v>
      </c>
      <c r="R191" s="2">
        <v>-31.079536933561609</v>
      </c>
      <c r="S191" s="2">
        <v>-2.5701000000000001</v>
      </c>
      <c r="T191" s="2">
        <v>5.4047999999999998</v>
      </c>
      <c r="U191" s="2">
        <v>79.068299999999994</v>
      </c>
      <c r="V191" s="2">
        <v>14.066341780416526</v>
      </c>
      <c r="W191" s="2">
        <v>12.11254282</v>
      </c>
      <c r="X191" s="2">
        <v>89.22</v>
      </c>
      <c r="Y191" s="2">
        <v>12.65</v>
      </c>
      <c r="Z191" s="4">
        <v>3</v>
      </c>
      <c r="AA191" s="4">
        <v>11.799999999999999</v>
      </c>
      <c r="AB191" s="2">
        <v>2</v>
      </c>
      <c r="AC191" s="2">
        <v>13.03</v>
      </c>
      <c r="AD191" s="2">
        <v>-5.0999999999999943</v>
      </c>
      <c r="AE191" s="2">
        <v>1</v>
      </c>
    </row>
    <row r="192" spans="1:31" x14ac:dyDescent="0.25">
      <c r="A192" s="2" t="s">
        <v>26</v>
      </c>
      <c r="B192" s="2">
        <v>2022</v>
      </c>
      <c r="C192" s="2" t="s">
        <v>180</v>
      </c>
      <c r="D192" s="2" t="s">
        <v>295</v>
      </c>
      <c r="E192" s="2">
        <v>-6.5301999999999998</v>
      </c>
      <c r="F192" s="2">
        <v>-83.460099999999997</v>
      </c>
      <c r="G192" s="2">
        <v>-102.1694</v>
      </c>
      <c r="H192" s="2">
        <v>1.0752999999999999</v>
      </c>
      <c r="I192" s="2">
        <v>0.6885</v>
      </c>
      <c r="J192">
        <f>0.0385427706983932*(100)</f>
        <v>3.8542770698393203</v>
      </c>
      <c r="K192">
        <f>-0.004*(100)</f>
        <v>-0.4</v>
      </c>
      <c r="L192" s="2">
        <v>0.13350000000000001</v>
      </c>
      <c r="M192" s="2">
        <v>0.10050000000000001</v>
      </c>
      <c r="N192" s="2">
        <v>4.7492000000000001</v>
      </c>
      <c r="O192" s="2">
        <v>8.9599999999999999E-2</v>
      </c>
      <c r="P192" s="2">
        <v>0.72189999999999999</v>
      </c>
      <c r="Q192" s="2">
        <v>-57.334800000000001</v>
      </c>
      <c r="R192" s="2">
        <v>-3868.326368680142</v>
      </c>
      <c r="S192" s="2">
        <v>-10.304399999999999</v>
      </c>
      <c r="T192" s="2">
        <v>-93.508700000000005</v>
      </c>
      <c r="U192" s="2">
        <v>94.609899999999996</v>
      </c>
      <c r="V192" s="2">
        <v>12.212235970601078</v>
      </c>
      <c r="W192" s="2">
        <v>0.21648035920703704</v>
      </c>
      <c r="X192" s="2">
        <v>87.78</v>
      </c>
      <c r="Y192" s="2">
        <v>-3.96</v>
      </c>
      <c r="Z192" s="4">
        <v>3</v>
      </c>
      <c r="AA192" s="4">
        <v>11.799999999999999</v>
      </c>
      <c r="AB192" s="2">
        <v>2</v>
      </c>
      <c r="AC192" s="2">
        <v>13.03</v>
      </c>
      <c r="AD192" s="2">
        <v>-5.0999999999999943</v>
      </c>
      <c r="AE192" s="2">
        <v>1</v>
      </c>
    </row>
    <row r="193" spans="1:31" x14ac:dyDescent="0.25">
      <c r="A193" s="2" t="s">
        <v>22</v>
      </c>
      <c r="B193" s="2">
        <v>2022</v>
      </c>
      <c r="C193" s="2" t="s">
        <v>176</v>
      </c>
      <c r="D193" s="2" t="s">
        <v>296</v>
      </c>
      <c r="E193" s="2">
        <v>-4.7408000000000001</v>
      </c>
      <c r="F193" s="2">
        <v>-84.068399999999997</v>
      </c>
      <c r="G193" s="2">
        <v>-65.462299999999999</v>
      </c>
      <c r="H193" s="2">
        <v>1.0381</v>
      </c>
      <c r="I193" s="2">
        <v>0.22470000000000001</v>
      </c>
      <c r="J193">
        <f>0.0376346819725808*(100)</f>
        <v>3.7634681972580797</v>
      </c>
      <c r="K193">
        <f>0.0154*(100)</f>
        <v>1.54</v>
      </c>
      <c r="L193" s="2">
        <v>0.1598</v>
      </c>
      <c r="M193" s="2">
        <v>0.13619999999999999</v>
      </c>
      <c r="N193" s="2">
        <v>10.0076</v>
      </c>
      <c r="O193" s="2">
        <v>9.6500000000000002E-2</v>
      </c>
      <c r="P193" s="2">
        <v>7.6557000000000004</v>
      </c>
      <c r="Q193" s="2">
        <v>-3.2562000000000002</v>
      </c>
      <c r="R193" s="2">
        <v>-10541.10128565125</v>
      </c>
      <c r="S193" s="2">
        <v>-4.7827000000000002</v>
      </c>
      <c r="T193" s="2">
        <v>-64.063999999999993</v>
      </c>
      <c r="U193" s="2">
        <v>89.957400000000007</v>
      </c>
      <c r="V193" s="2">
        <v>22.529336221785336</v>
      </c>
      <c r="W193" s="2">
        <v>3.2761728588014116</v>
      </c>
      <c r="X193" s="2">
        <v>75.52</v>
      </c>
      <c r="Y193" s="2">
        <v>14.11</v>
      </c>
      <c r="Z193" s="4">
        <v>3</v>
      </c>
      <c r="AA193" s="4">
        <v>11.799999999999999</v>
      </c>
      <c r="AB193" s="2">
        <v>2</v>
      </c>
      <c r="AC193" s="2">
        <v>13.03</v>
      </c>
      <c r="AD193" s="2">
        <v>-5.0999999999999943</v>
      </c>
      <c r="AE193" s="2">
        <v>1</v>
      </c>
    </row>
    <row r="194" spans="1:31" x14ac:dyDescent="0.25">
      <c r="A194" s="2" t="s">
        <v>24</v>
      </c>
      <c r="B194" s="2">
        <v>2022</v>
      </c>
      <c r="C194" s="2" t="s">
        <v>178</v>
      </c>
      <c r="D194" s="2" t="s">
        <v>297</v>
      </c>
      <c r="E194" s="2">
        <v>-3.3660999999999999</v>
      </c>
      <c r="F194" s="2">
        <v>-134.92339999999999</v>
      </c>
      <c r="G194" s="2">
        <v>-58.226199999999999</v>
      </c>
      <c r="H194" s="2">
        <v>0.25030000000000002</v>
      </c>
      <c r="I194" s="2">
        <v>0.20799999999999999</v>
      </c>
      <c r="J194">
        <f>0.00370877925436478*(100)</f>
        <v>0.37087792543647796</v>
      </c>
      <c r="K194">
        <f>-0.0179*(100)</f>
        <v>-1.79</v>
      </c>
      <c r="L194" s="2">
        <v>4.7683999999999997</v>
      </c>
      <c r="M194" s="2">
        <v>1.0914999999999999</v>
      </c>
      <c r="N194" s="2">
        <v>0.30559999999999998</v>
      </c>
      <c r="O194" s="2">
        <v>0.17960000000000001</v>
      </c>
      <c r="P194" s="2">
        <v>2.9523999999999999</v>
      </c>
      <c r="Q194" s="2">
        <v>2.7595000000000001</v>
      </c>
      <c r="R194" s="2">
        <v>-135.17286137440229</v>
      </c>
      <c r="S194" s="2">
        <v>-5.4335000000000004</v>
      </c>
      <c r="T194" s="2">
        <v>-71.890699999999995</v>
      </c>
      <c r="U194" s="2">
        <v>70.221299999999999</v>
      </c>
      <c r="V194" s="2">
        <v>2.8282702881815567</v>
      </c>
      <c r="W194" s="2">
        <v>0.58032655727085469</v>
      </c>
      <c r="X194" s="2">
        <v>27.37</v>
      </c>
      <c r="Y194" s="2">
        <v>-6.81</v>
      </c>
      <c r="Z194" s="4">
        <v>3</v>
      </c>
      <c r="AA194" s="4">
        <v>11.799999999999999</v>
      </c>
      <c r="AB194" s="2">
        <v>2</v>
      </c>
      <c r="AC194" s="2">
        <v>13.03</v>
      </c>
      <c r="AD194" s="2">
        <v>3.4000000000000057</v>
      </c>
      <c r="AE194" s="2">
        <v>1</v>
      </c>
    </row>
    <row r="195" spans="1:31" x14ac:dyDescent="0.25">
      <c r="A195" s="2" t="s">
        <v>21</v>
      </c>
      <c r="B195" s="2">
        <v>2022</v>
      </c>
      <c r="C195" s="2" t="s">
        <v>175</v>
      </c>
      <c r="D195" s="2" t="s">
        <v>295</v>
      </c>
      <c r="E195" s="2">
        <v>-3.1406000000000001</v>
      </c>
      <c r="F195" s="2">
        <v>-46.067100000000003</v>
      </c>
      <c r="G195" s="2">
        <v>-30.6235</v>
      </c>
      <c r="H195" s="2">
        <v>1.0038</v>
      </c>
      <c r="I195" s="2">
        <v>0.38519999999999999</v>
      </c>
      <c r="J195">
        <f>0.044549594270782*(100)</f>
        <v>4.4549594270782</v>
      </c>
      <c r="K195">
        <f>0.0141*(100)</f>
        <v>1.41</v>
      </c>
      <c r="L195" s="2">
        <v>0.4042</v>
      </c>
      <c r="M195" s="2">
        <v>0.30270000000000002</v>
      </c>
      <c r="N195" s="2">
        <v>155.84059999999999</v>
      </c>
      <c r="O195" s="2">
        <v>0.21510000000000001</v>
      </c>
      <c r="P195" s="2">
        <v>7.2603</v>
      </c>
      <c r="Q195" s="2">
        <v>35.728700000000003</v>
      </c>
      <c r="R195" s="2">
        <v>-1100.674529584539</v>
      </c>
      <c r="S195" s="2">
        <v>-17.8599</v>
      </c>
      <c r="T195" s="2">
        <v>-48.449300000000001</v>
      </c>
      <c r="U195" s="2">
        <v>86.529399999999995</v>
      </c>
      <c r="V195" s="2">
        <v>15.995787718893547</v>
      </c>
      <c r="W195" s="2">
        <v>136.68471975959974</v>
      </c>
      <c r="X195" s="2">
        <v>54.34</v>
      </c>
      <c r="Y195" s="2">
        <v>5.13</v>
      </c>
      <c r="Z195" s="4">
        <v>3</v>
      </c>
      <c r="AA195" s="4">
        <v>11.799999999999999</v>
      </c>
      <c r="AB195" s="2">
        <v>2</v>
      </c>
      <c r="AC195" s="2">
        <v>13.03</v>
      </c>
      <c r="AD195" s="2">
        <v>-5.0999999999999943</v>
      </c>
      <c r="AE195" s="2">
        <v>1</v>
      </c>
    </row>
    <row r="196" spans="1:31" x14ac:dyDescent="0.25">
      <c r="A196" s="2" t="s">
        <v>25</v>
      </c>
      <c r="B196" s="2">
        <v>2022</v>
      </c>
      <c r="C196" s="2" t="s">
        <v>179</v>
      </c>
      <c r="D196" s="2" t="s">
        <v>295</v>
      </c>
      <c r="E196" s="2">
        <v>-1.7729999999999999</v>
      </c>
      <c r="F196" s="2">
        <v>-28.440799999999999</v>
      </c>
      <c r="G196" s="2">
        <v>-16.665500000000002</v>
      </c>
      <c r="H196" s="2">
        <v>1.1314</v>
      </c>
      <c r="I196" s="2">
        <v>0.3826</v>
      </c>
      <c r="J196">
        <f>0.070197053047089*(100)</f>
        <v>7.0197053047088991</v>
      </c>
      <c r="K196">
        <f>0.029*(100)</f>
        <v>2.9000000000000004</v>
      </c>
      <c r="L196" s="2">
        <v>0.19819999999999999</v>
      </c>
      <c r="M196" s="2">
        <v>0.1401</v>
      </c>
      <c r="N196" s="2">
        <v>10.217700000000001</v>
      </c>
      <c r="O196" s="2">
        <v>0.1197</v>
      </c>
      <c r="P196" s="2">
        <v>22.894400000000001</v>
      </c>
      <c r="Q196" s="2">
        <v>-48.246499999999997</v>
      </c>
      <c r="R196" s="2">
        <v>-236.44843404977169</v>
      </c>
      <c r="S196" s="2">
        <v>1.6942999999999999</v>
      </c>
      <c r="T196" s="2">
        <v>-40.7303</v>
      </c>
      <c r="U196" s="2">
        <v>88.246200000000002</v>
      </c>
      <c r="V196" s="2">
        <v>12.9002656485134</v>
      </c>
      <c r="W196" s="2">
        <v>4.4857538223701923</v>
      </c>
      <c r="X196" s="2">
        <v>180.86</v>
      </c>
      <c r="Y196" s="2">
        <v>21.55</v>
      </c>
      <c r="Z196" s="4">
        <v>3</v>
      </c>
      <c r="AA196" s="4">
        <v>11.799999999999999</v>
      </c>
      <c r="AB196" s="2">
        <v>2</v>
      </c>
      <c r="AC196" s="2">
        <v>13.03</v>
      </c>
      <c r="AD196" s="2">
        <v>-5.0999999999999943</v>
      </c>
      <c r="AE196" s="2">
        <v>1</v>
      </c>
    </row>
    <row r="197" spans="1:31" x14ac:dyDescent="0.25">
      <c r="A197" s="2" t="s">
        <v>29</v>
      </c>
      <c r="B197" s="2">
        <v>2022</v>
      </c>
      <c r="C197" s="2" t="s">
        <v>183</v>
      </c>
      <c r="D197" s="2" t="s">
        <v>300</v>
      </c>
      <c r="E197" s="2">
        <v>-25.398299999999999</v>
      </c>
      <c r="F197" s="2">
        <v>-45.003829500000023</v>
      </c>
      <c r="G197" s="2">
        <v>-100.1793</v>
      </c>
      <c r="H197" s="2">
        <v>7.3400000000000007E-2</v>
      </c>
      <c r="I197" s="2">
        <v>7.0999999999999994E-2</v>
      </c>
      <c r="J197">
        <f>0.0360956831137809*(100)</f>
        <v>3.6095683113780899</v>
      </c>
      <c r="K197">
        <f>0.0042*(100)</f>
        <v>0.42</v>
      </c>
      <c r="L197" s="2">
        <v>13.4543</v>
      </c>
      <c r="M197" s="2">
        <v>0.9476</v>
      </c>
      <c r="N197" s="2">
        <v>0.13589999999999999</v>
      </c>
      <c r="O197" s="2">
        <v>0.1045</v>
      </c>
      <c r="P197" s="2">
        <v>12.0076</v>
      </c>
      <c r="Q197" s="2">
        <v>28.488499999999998</v>
      </c>
      <c r="R197" s="2">
        <v>43.399615977822727</v>
      </c>
      <c r="S197" s="2">
        <v>-6.0136000000000003</v>
      </c>
      <c r="T197" s="2">
        <v>-18.9114</v>
      </c>
      <c r="U197" s="2">
        <v>306.96539999999999</v>
      </c>
      <c r="V197" s="2">
        <v>168.64301664970108</v>
      </c>
      <c r="W197" s="2">
        <v>-2.7201047394333928</v>
      </c>
      <c r="X197" s="2">
        <v>101.09</v>
      </c>
      <c r="Y197" s="2">
        <v>12.33</v>
      </c>
      <c r="Z197" s="4">
        <v>3</v>
      </c>
      <c r="AA197" s="4">
        <v>11.799999999999999</v>
      </c>
      <c r="AB197" s="2">
        <v>2</v>
      </c>
      <c r="AC197" s="2">
        <v>13.03</v>
      </c>
      <c r="AD197" s="2">
        <v>3.4000000000000057</v>
      </c>
      <c r="AE197" s="2">
        <v>1</v>
      </c>
    </row>
    <row r="198" spans="1:31" x14ac:dyDescent="0.25">
      <c r="A198" s="2" t="s">
        <v>23</v>
      </c>
      <c r="B198" s="2">
        <v>2022</v>
      </c>
      <c r="C198" s="2" t="s">
        <v>177</v>
      </c>
      <c r="D198" s="2" t="s">
        <v>295</v>
      </c>
      <c r="E198" s="2">
        <v>-5.9604999999999997</v>
      </c>
      <c r="F198" s="2">
        <v>-114.3099</v>
      </c>
      <c r="G198" s="2">
        <v>-97.232200000000006</v>
      </c>
      <c r="H198" s="2">
        <v>1.0783</v>
      </c>
      <c r="I198" s="2">
        <v>0.67910000000000004</v>
      </c>
      <c r="J198">
        <f>0.0396659762250764*(100)</f>
        <v>3.9665976225076403</v>
      </c>
      <c r="K198">
        <f>-0.0063*(100)</f>
        <v>-0.63</v>
      </c>
      <c r="L198" s="2">
        <v>0.13350000000000001</v>
      </c>
      <c r="M198" s="2">
        <v>0.1036</v>
      </c>
      <c r="N198" s="2">
        <v>4.7831999999999999</v>
      </c>
      <c r="O198" s="2">
        <v>9.2899999999999996E-2</v>
      </c>
      <c r="P198" s="2">
        <v>0.72189999999999999</v>
      </c>
      <c r="Q198" s="2">
        <v>-57.334800000000001</v>
      </c>
      <c r="R198" s="2">
        <v>-928.92739333762847</v>
      </c>
      <c r="S198" s="2">
        <v>-9.7794000000000008</v>
      </c>
      <c r="T198" s="2">
        <v>-89.823400000000007</v>
      </c>
      <c r="U198" s="2">
        <v>94.596699999999998</v>
      </c>
      <c r="V198" s="2">
        <v>12.053278995412708</v>
      </c>
      <c r="W198" s="2">
        <v>0.64210584415526728</v>
      </c>
      <c r="X198" s="2">
        <v>87.78</v>
      </c>
      <c r="Y198" s="2">
        <v>-6.13</v>
      </c>
      <c r="Z198" s="4">
        <v>3</v>
      </c>
      <c r="AA198" s="4">
        <v>11.799999999999999</v>
      </c>
      <c r="AB198" s="2">
        <v>2</v>
      </c>
      <c r="AC198" s="2">
        <v>13.03</v>
      </c>
      <c r="AD198" s="2">
        <v>-5.0999999999999943</v>
      </c>
      <c r="AE198" s="2">
        <v>1</v>
      </c>
    </row>
    <row r="199" spans="1:31" x14ac:dyDescent="0.25">
      <c r="A199" s="2" t="s">
        <v>28</v>
      </c>
      <c r="B199" s="2">
        <v>2022</v>
      </c>
      <c r="C199" s="2" t="s">
        <v>182</v>
      </c>
      <c r="D199" s="2" t="s">
        <v>299</v>
      </c>
      <c r="E199" s="2">
        <v>-3.7581000000000002</v>
      </c>
      <c r="F199" s="2">
        <v>-9.2988</v>
      </c>
      <c r="G199" s="2">
        <v>-15.147399999999999</v>
      </c>
      <c r="H199" s="2">
        <v>0.72130000000000005</v>
      </c>
      <c r="I199" s="2">
        <v>0.67869999999999997</v>
      </c>
      <c r="J199">
        <f>0.383249493685855*(100)</f>
        <v>38.3249493685855</v>
      </c>
      <c r="K199">
        <f>0.022*(100)</f>
        <v>2.1999999999999997</v>
      </c>
      <c r="L199" s="2">
        <v>13.7735</v>
      </c>
      <c r="M199" s="2">
        <v>0.80740000000000001</v>
      </c>
      <c r="N199" s="2">
        <v>4.2241999999999997</v>
      </c>
      <c r="O199" s="2">
        <v>0.2072</v>
      </c>
      <c r="P199" s="2">
        <v>9.4186999999999994</v>
      </c>
      <c r="Q199" s="2">
        <v>-32.682499999999997</v>
      </c>
      <c r="R199" s="2">
        <v>-146.8685697457918</v>
      </c>
      <c r="S199" s="2">
        <v>-19.462299999999999</v>
      </c>
      <c r="T199" s="2">
        <v>-12.348599999999999</v>
      </c>
      <c r="U199" s="2">
        <v>49.276200000000003</v>
      </c>
      <c r="V199" s="2">
        <v>21.013238198408885</v>
      </c>
      <c r="W199" s="2">
        <v>10.892980386099463</v>
      </c>
      <c r="X199" s="2">
        <v>74.989999999999995</v>
      </c>
      <c r="Y199" s="2">
        <v>4.66</v>
      </c>
      <c r="Z199" s="4">
        <v>3</v>
      </c>
      <c r="AA199" s="4">
        <v>11.799999999999999</v>
      </c>
      <c r="AB199" s="2">
        <v>2</v>
      </c>
      <c r="AC199" s="2">
        <v>13.03</v>
      </c>
      <c r="AD199" s="2">
        <v>3.4000000000000057</v>
      </c>
      <c r="AE199" s="2">
        <v>1</v>
      </c>
    </row>
    <row r="200" spans="1:31" x14ac:dyDescent="0.25">
      <c r="A200" s="2" t="s">
        <v>27</v>
      </c>
      <c r="B200" s="2">
        <v>2022</v>
      </c>
      <c r="C200" s="2" t="s">
        <v>181</v>
      </c>
      <c r="D200" s="2" t="s">
        <v>298</v>
      </c>
      <c r="E200" s="2">
        <v>6.7499000000000002</v>
      </c>
      <c r="F200" s="2">
        <v>-4.0202999999999998</v>
      </c>
      <c r="G200" s="2">
        <v>9.4822000000000006</v>
      </c>
      <c r="H200" s="2">
        <v>0.91080000000000005</v>
      </c>
      <c r="I200" s="2">
        <v>0.57809999999999995</v>
      </c>
      <c r="J200">
        <f>0.276988411453267*(100)</f>
        <v>27.698841145326703</v>
      </c>
      <c r="K200">
        <f>0.0539*(100)</f>
        <v>5.3900000000000006</v>
      </c>
      <c r="L200" s="2">
        <v>1.1088</v>
      </c>
      <c r="M200" s="2">
        <v>0.58509999999999995</v>
      </c>
      <c r="N200" s="2">
        <v>1.9859</v>
      </c>
      <c r="O200" s="2">
        <v>0.31630000000000003</v>
      </c>
      <c r="P200" s="2">
        <v>60.9649</v>
      </c>
      <c r="Q200" s="2">
        <v>17.254999999999999</v>
      </c>
      <c r="R200" s="2">
        <v>107.5452640602263</v>
      </c>
      <c r="S200" s="2">
        <v>-7.3099999999999998E-2</v>
      </c>
      <c r="T200" s="2">
        <v>-3.4348999999999998</v>
      </c>
      <c r="U200" s="2">
        <v>79.844200000000001</v>
      </c>
      <c r="V200" s="2">
        <v>17.508333338490189</v>
      </c>
      <c r="W200" s="2">
        <v>0.36889582861495546</v>
      </c>
      <c r="X200" s="2">
        <v>89.88000000000001</v>
      </c>
      <c r="Y200" s="2">
        <v>13.61</v>
      </c>
      <c r="Z200" s="4">
        <v>3</v>
      </c>
      <c r="AA200" s="4">
        <v>11.799999999999999</v>
      </c>
      <c r="AB200" s="2">
        <v>2</v>
      </c>
      <c r="AC200" s="2">
        <v>13.03</v>
      </c>
      <c r="AD200" s="2">
        <v>3.4000000000000057</v>
      </c>
      <c r="AE200" s="2">
        <v>1</v>
      </c>
    </row>
    <row r="201" spans="1:31" x14ac:dyDescent="0.25">
      <c r="A201" s="2" t="s">
        <v>49</v>
      </c>
      <c r="B201" s="2">
        <v>2021</v>
      </c>
      <c r="C201" s="2" t="s">
        <v>178</v>
      </c>
      <c r="D201" s="2" t="s">
        <v>297</v>
      </c>
      <c r="E201" s="2">
        <v>-0.25650000000000001</v>
      </c>
      <c r="F201" s="2">
        <v>-32.604900000000001</v>
      </c>
      <c r="G201" s="2">
        <v>-20.590399999999999</v>
      </c>
      <c r="H201" s="2">
        <v>0.43430000000000002</v>
      </c>
      <c r="I201" s="2">
        <v>0.36899999999999999</v>
      </c>
      <c r="J201">
        <f>0.0506798812503939*(100)</f>
        <v>5.0679881250393901</v>
      </c>
      <c r="K201">
        <f>0.0586*(100)</f>
        <v>5.86</v>
      </c>
      <c r="L201" s="2">
        <v>2.3864999999999998</v>
      </c>
      <c r="M201" s="2">
        <v>0.50349999999999995</v>
      </c>
      <c r="N201" s="2">
        <v>0.3241</v>
      </c>
      <c r="O201" s="2">
        <v>0.16700000000000001</v>
      </c>
      <c r="P201" s="2">
        <v>2.0206</v>
      </c>
      <c r="Q201" s="2">
        <v>-37.124099999999999</v>
      </c>
      <c r="R201" s="2">
        <v>-349.05996447405039</v>
      </c>
      <c r="S201" s="2">
        <v>-3.5163000000000002</v>
      </c>
      <c r="T201" s="2">
        <v>-34.1447</v>
      </c>
      <c r="U201" s="2">
        <v>68.777699999999996</v>
      </c>
      <c r="V201" s="2">
        <v>31.779430296448837</v>
      </c>
      <c r="W201" s="2">
        <v>0.2171016090680743</v>
      </c>
      <c r="X201" s="2">
        <v>74.8</v>
      </c>
      <c r="Y201" s="2">
        <v>23.69</v>
      </c>
      <c r="Z201" s="4">
        <v>8.4</v>
      </c>
      <c r="AA201" s="4">
        <v>9</v>
      </c>
      <c r="AB201" s="2">
        <v>0.9</v>
      </c>
      <c r="AC201" s="2">
        <v>20.9</v>
      </c>
      <c r="AD201" s="2">
        <v>10.400000000000006</v>
      </c>
      <c r="AE201" s="2">
        <v>1</v>
      </c>
    </row>
    <row r="202" spans="1:31" x14ac:dyDescent="0.25">
      <c r="A202" s="2" t="s">
        <v>21</v>
      </c>
      <c r="B202" s="2">
        <v>2021</v>
      </c>
      <c r="C202" s="2" t="s">
        <v>175</v>
      </c>
      <c r="D202" s="2" t="s">
        <v>295</v>
      </c>
      <c r="E202" s="2">
        <v>1.8420000000000001</v>
      </c>
      <c r="F202" s="2">
        <v>3.0819000000000001</v>
      </c>
      <c r="G202" s="2">
        <v>6.3205999999999998</v>
      </c>
      <c r="H202" s="2">
        <v>1.1682999999999999</v>
      </c>
      <c r="I202" s="2">
        <v>0.40239999999999998</v>
      </c>
      <c r="J202">
        <f>0.0741300733076688*(100)</f>
        <v>7.41300733076688</v>
      </c>
      <c r="K202">
        <f>0.0503*(100)</f>
        <v>5.0299999999999994</v>
      </c>
      <c r="L202" s="2">
        <v>0.22589999999999999</v>
      </c>
      <c r="M202" s="2">
        <v>0.2019</v>
      </c>
      <c r="N202" s="2">
        <v>74.202100000000002</v>
      </c>
      <c r="O202" s="2">
        <v>0.1409</v>
      </c>
      <c r="P202" s="2">
        <v>3.6675</v>
      </c>
      <c r="Q202" s="2">
        <v>-7.9394</v>
      </c>
      <c r="R202" s="2">
        <v>-56.823408883123577</v>
      </c>
      <c r="S202" s="2">
        <v>-4.5892999999999997</v>
      </c>
      <c r="T202" s="2">
        <v>3.1271</v>
      </c>
      <c r="U202" s="2">
        <v>79.833399999999997</v>
      </c>
      <c r="V202" s="2">
        <v>18.815596068120303</v>
      </c>
      <c r="W202" s="2">
        <v>102.03029566479336</v>
      </c>
      <c r="X202" s="2">
        <v>98.27</v>
      </c>
      <c r="Y202" s="2">
        <v>27.84</v>
      </c>
      <c r="Z202" s="4">
        <v>8.4</v>
      </c>
      <c r="AA202" s="4">
        <v>9</v>
      </c>
      <c r="AB202" s="2">
        <v>0.9</v>
      </c>
      <c r="AC202" s="2">
        <v>20.9</v>
      </c>
      <c r="AD202" s="2">
        <v>3.5</v>
      </c>
      <c r="AE202" s="2">
        <v>1</v>
      </c>
    </row>
    <row r="203" spans="1:31" x14ac:dyDescent="0.25">
      <c r="A203" s="2" t="s">
        <v>32</v>
      </c>
      <c r="B203" s="2">
        <v>2021</v>
      </c>
      <c r="C203" s="2" t="s">
        <v>185</v>
      </c>
      <c r="D203" s="2" t="s">
        <v>295</v>
      </c>
      <c r="E203" s="2">
        <v>2.3965000000000001</v>
      </c>
      <c r="F203" s="2">
        <v>17.498000000000001</v>
      </c>
      <c r="G203" s="2">
        <v>11.564</v>
      </c>
      <c r="H203" s="2">
        <v>1.4362999999999999</v>
      </c>
      <c r="I203" s="2">
        <v>0.41920000000000002</v>
      </c>
      <c r="J203">
        <f>0.178455100887641*(100)</f>
        <v>17.845510088764101</v>
      </c>
      <c r="K203">
        <f>-0.0289*(100)</f>
        <v>-2.8899999999999997</v>
      </c>
      <c r="L203" s="2">
        <v>0.22270000000000001</v>
      </c>
      <c r="M203" s="2">
        <v>0.20330000000000001</v>
      </c>
      <c r="N203" s="2">
        <v>17.577100000000002</v>
      </c>
      <c r="O203" s="2">
        <v>0.1867</v>
      </c>
      <c r="P203" s="2">
        <v>18.1782</v>
      </c>
      <c r="Q203" s="2">
        <v>9.6028000000000002</v>
      </c>
      <c r="R203" s="2">
        <v>-11.610472733302711</v>
      </c>
      <c r="S203" s="2">
        <v>27.922999999999998</v>
      </c>
      <c r="T203" s="2">
        <v>-3.5455999999999999</v>
      </c>
      <c r="U203" s="2">
        <v>82.035399999999996</v>
      </c>
      <c r="V203" s="2">
        <v>17.455470831096843</v>
      </c>
      <c r="W203" s="2">
        <v>10.45731027847715</v>
      </c>
      <c r="X203" s="2">
        <v>143.44</v>
      </c>
      <c r="Y203" s="2">
        <v>-14.26</v>
      </c>
      <c r="Z203" s="4">
        <v>8.4</v>
      </c>
      <c r="AA203" s="4">
        <v>9</v>
      </c>
      <c r="AB203" s="2">
        <v>0.9</v>
      </c>
      <c r="AC203" s="2">
        <v>20.9</v>
      </c>
      <c r="AD203" s="2">
        <v>3.5</v>
      </c>
      <c r="AE203" s="2">
        <v>1</v>
      </c>
    </row>
    <row r="204" spans="1:31" x14ac:dyDescent="0.25">
      <c r="A204" s="2" t="s">
        <v>30</v>
      </c>
      <c r="B204" s="2">
        <v>2021</v>
      </c>
      <c r="C204" s="2" t="s">
        <v>182</v>
      </c>
      <c r="D204" s="2" t="s">
        <v>299</v>
      </c>
      <c r="E204" s="2">
        <v>-0.86580000000000001</v>
      </c>
      <c r="F204" s="2">
        <v>-2.629</v>
      </c>
      <c r="G204" s="2">
        <v>-6.2706999999999997</v>
      </c>
      <c r="H204" s="2">
        <v>1.7936000000000001</v>
      </c>
      <c r="I204" s="2">
        <v>1.7130000000000001</v>
      </c>
      <c r="J204">
        <f>0.50965083016451*(100)</f>
        <v>50.965083016450997</v>
      </c>
      <c r="K204">
        <f>0.0132*(100)</f>
        <v>1.32</v>
      </c>
      <c r="L204" s="2">
        <v>12.212300000000001</v>
      </c>
      <c r="M204" s="2">
        <v>0.94099999999999995</v>
      </c>
      <c r="N204" s="2">
        <v>5.0007000000000001</v>
      </c>
      <c r="O204" s="2">
        <v>0.27510000000000001</v>
      </c>
      <c r="P204" s="2">
        <v>7.0624000000000002</v>
      </c>
      <c r="Q204" s="2">
        <v>-32.204700000000003</v>
      </c>
      <c r="R204" s="2">
        <v>-482.76578440722142</v>
      </c>
      <c r="S204" s="2">
        <v>-1.9381999999999999</v>
      </c>
      <c r="T204" s="2">
        <v>-3.4761000000000002</v>
      </c>
      <c r="U204" s="2">
        <v>41.243499999999997</v>
      </c>
      <c r="V204" s="2">
        <v>24.564790613839907</v>
      </c>
      <c r="W204" s="2">
        <v>8.7120806995348854</v>
      </c>
      <c r="X204" s="2">
        <v>93</v>
      </c>
      <c r="Y204" s="2">
        <v>1.95</v>
      </c>
      <c r="Z204" s="4">
        <v>8.4</v>
      </c>
      <c r="AA204" s="4">
        <v>9</v>
      </c>
      <c r="AB204" s="2">
        <v>0.9</v>
      </c>
      <c r="AC204" s="2">
        <v>20.9</v>
      </c>
      <c r="AD204" s="2">
        <v>9.0999999999999943</v>
      </c>
      <c r="AE204" s="2">
        <v>1</v>
      </c>
    </row>
    <row r="205" spans="1:31" x14ac:dyDescent="0.25">
      <c r="A205" s="2" t="s">
        <v>36</v>
      </c>
      <c r="B205" s="2">
        <v>2021</v>
      </c>
      <c r="C205" s="2" t="s">
        <v>180</v>
      </c>
      <c r="D205" s="2" t="s">
        <v>295</v>
      </c>
      <c r="E205" s="2">
        <v>2.2299000000000002</v>
      </c>
      <c r="F205" s="2">
        <v>-15.733000000000001</v>
      </c>
      <c r="G205" s="2">
        <v>5.5602999999999998</v>
      </c>
      <c r="H205" s="2">
        <v>1.5488999999999999</v>
      </c>
      <c r="I205" s="2">
        <v>0.93979999999999997</v>
      </c>
      <c r="J205">
        <f>0.0937629377273192*(100)</f>
        <v>9.3762937727319198</v>
      </c>
      <c r="K205">
        <f>-0.046*(100)</f>
        <v>-4.5999999999999996</v>
      </c>
      <c r="L205" s="2">
        <v>0.2117</v>
      </c>
      <c r="M205" s="2">
        <v>0.2261</v>
      </c>
      <c r="N205" s="2">
        <v>12.5007</v>
      </c>
      <c r="O205" s="2">
        <v>0.20419999999999999</v>
      </c>
      <c r="P205" s="2">
        <v>1.8399000000000001</v>
      </c>
      <c r="Q205" s="2">
        <v>-3.8035000000000001</v>
      </c>
      <c r="R205" s="2">
        <v>-109.688817918968</v>
      </c>
      <c r="S205" s="2">
        <v>5.1641000000000004</v>
      </c>
      <c r="T205" s="2">
        <v>26.698699999999999</v>
      </c>
      <c r="U205" s="2">
        <v>82.020799999999994</v>
      </c>
      <c r="V205" s="2">
        <v>24.111675825787934</v>
      </c>
      <c r="W205" s="2">
        <v>3.919796238687502</v>
      </c>
      <c r="X205" s="2">
        <v>73.11999999999999</v>
      </c>
      <c r="Y205" s="2">
        <v>-18.96</v>
      </c>
      <c r="Z205" s="4">
        <v>8.4</v>
      </c>
      <c r="AA205" s="4">
        <v>9</v>
      </c>
      <c r="AB205" s="2">
        <v>0.9</v>
      </c>
      <c r="AC205" s="2">
        <v>20.9</v>
      </c>
      <c r="AD205" s="2">
        <v>3.5</v>
      </c>
      <c r="AE205" s="2">
        <v>1</v>
      </c>
    </row>
    <row r="206" spans="1:31" x14ac:dyDescent="0.25">
      <c r="A206" s="2" t="s">
        <v>43</v>
      </c>
      <c r="B206" s="2">
        <v>2021</v>
      </c>
      <c r="C206" s="2" t="s">
        <v>195</v>
      </c>
      <c r="D206" s="2" t="s">
        <v>306</v>
      </c>
      <c r="E206" s="2">
        <v>2.8401000000000001</v>
      </c>
      <c r="F206" s="2">
        <v>3.5893000000000002</v>
      </c>
      <c r="G206" s="2">
        <v>4.0076000000000001</v>
      </c>
      <c r="H206" s="2">
        <v>1.3104</v>
      </c>
      <c r="I206" s="2">
        <v>1.0091000000000001</v>
      </c>
      <c r="J206">
        <f>0.0980223714025072*(100)</f>
        <v>9.8022371402507211</v>
      </c>
      <c r="K206">
        <f>0.0154*(100)</f>
        <v>1.54</v>
      </c>
      <c r="L206" s="2">
        <v>1.4256</v>
      </c>
      <c r="M206" s="2">
        <v>0.46589999999999998</v>
      </c>
      <c r="N206" s="2">
        <v>1.5742</v>
      </c>
      <c r="O206" s="2">
        <v>0.2162</v>
      </c>
      <c r="P206" s="2">
        <v>2.8208000000000002</v>
      </c>
      <c r="Q206" s="2">
        <v>-53.7346</v>
      </c>
      <c r="R206" s="2">
        <v>-33.818459584355402</v>
      </c>
      <c r="S206" s="2">
        <v>-4.4313000000000002</v>
      </c>
      <c r="T206" s="2">
        <v>3.2345000000000002</v>
      </c>
      <c r="U206" s="2">
        <v>56.857300000000002</v>
      </c>
      <c r="V206" s="2">
        <v>21.691206340581985</v>
      </c>
      <c r="W206" s="2">
        <v>1.3875646665497749</v>
      </c>
      <c r="X206" s="2">
        <v>109.24</v>
      </c>
      <c r="Y206" s="2">
        <v>3.95</v>
      </c>
      <c r="Z206" s="4">
        <v>8.4</v>
      </c>
      <c r="AA206" s="4">
        <v>9</v>
      </c>
      <c r="AB206" s="2">
        <v>0.9</v>
      </c>
      <c r="AC206" s="2">
        <v>20.9</v>
      </c>
      <c r="AD206" s="2">
        <v>9.0999999999999943</v>
      </c>
      <c r="AE206" s="2">
        <v>1</v>
      </c>
    </row>
    <row r="207" spans="1:31" x14ac:dyDescent="0.25">
      <c r="A207" s="2" t="s">
        <v>54</v>
      </c>
      <c r="B207" s="2">
        <v>2021</v>
      </c>
      <c r="C207" s="2" t="s">
        <v>205</v>
      </c>
      <c r="D207" s="2" t="s">
        <v>302</v>
      </c>
      <c r="E207" s="2">
        <v>-31.222899999999999</v>
      </c>
      <c r="F207" s="2">
        <v>-41.985199999999999</v>
      </c>
      <c r="G207" s="2">
        <v>-194.172</v>
      </c>
      <c r="H207" s="2">
        <v>1.5638000000000001</v>
      </c>
      <c r="I207" s="2">
        <v>1.5358000000000001</v>
      </c>
      <c r="J207">
        <f>0.0252176540276933*(100)</f>
        <v>2.5217654027693301</v>
      </c>
      <c r="K207">
        <f>0.0254*(100)</f>
        <v>2.54</v>
      </c>
      <c r="L207" s="2">
        <v>1.7355</v>
      </c>
      <c r="M207" s="2">
        <v>0.17599999999999999</v>
      </c>
      <c r="N207" s="2">
        <v>0.70289999999999997</v>
      </c>
      <c r="O207" s="2">
        <v>0.1171</v>
      </c>
      <c r="P207" s="2">
        <v>0.3483</v>
      </c>
      <c r="Q207" s="2">
        <v>-80.006</v>
      </c>
      <c r="R207" s="2">
        <v>-1596.0192238544621</v>
      </c>
      <c r="S207" s="2">
        <v>-21.917999999999999</v>
      </c>
      <c r="T207" s="2">
        <v>-34.753100000000003</v>
      </c>
      <c r="U207" s="2">
        <v>39.409199999999998</v>
      </c>
      <c r="V207" s="2">
        <v>5.9872289211635302E-2</v>
      </c>
      <c r="W207" s="2">
        <v>3.0861989664451346</v>
      </c>
      <c r="X207" s="2">
        <v>120.63</v>
      </c>
      <c r="Y207" s="2">
        <v>7.4700000000000006</v>
      </c>
      <c r="Z207" s="4">
        <v>8.4</v>
      </c>
      <c r="AA207" s="4">
        <v>9</v>
      </c>
      <c r="AB207" s="2">
        <v>0.9</v>
      </c>
      <c r="AC207" s="2">
        <v>20.9</v>
      </c>
      <c r="AD207" s="2">
        <v>9.0999999999999943</v>
      </c>
      <c r="AE207" s="2">
        <v>1</v>
      </c>
    </row>
    <row r="208" spans="1:31" x14ac:dyDescent="0.25">
      <c r="A208" s="2" t="s">
        <v>35</v>
      </c>
      <c r="B208" s="2">
        <v>2021</v>
      </c>
      <c r="C208" s="2" t="s">
        <v>188</v>
      </c>
      <c r="D208" s="2" t="s">
        <v>302</v>
      </c>
      <c r="E208" s="2">
        <v>-46.738399999999999</v>
      </c>
      <c r="F208" s="2">
        <v>-45.003829500000023</v>
      </c>
      <c r="G208" s="2">
        <v>-617.78470000000004</v>
      </c>
      <c r="H208" s="2">
        <v>0.6573</v>
      </c>
      <c r="I208" s="2">
        <v>0.45519999999999999</v>
      </c>
      <c r="J208">
        <f>0.0130633132843944*(100)</f>
        <v>1.30633132843944</v>
      </c>
      <c r="K208">
        <f>0.0146*(100)</f>
        <v>1.46</v>
      </c>
      <c r="L208" s="2">
        <v>0.25690000000000002</v>
      </c>
      <c r="M208" s="2">
        <v>0.1222</v>
      </c>
      <c r="N208" s="2">
        <v>0.78249999999999997</v>
      </c>
      <c r="O208" s="2">
        <v>8.4199999999999997E-2</v>
      </c>
      <c r="P208" s="2">
        <v>1.7975000000000001</v>
      </c>
      <c r="Q208" s="2">
        <v>-53.0931</v>
      </c>
      <c r="R208" s="2">
        <v>-280.88587160452403</v>
      </c>
      <c r="S208" s="2">
        <v>-42.334299999999999</v>
      </c>
      <c r="T208" s="2">
        <v>-327.113</v>
      </c>
      <c r="U208" s="2">
        <v>150.1968</v>
      </c>
      <c r="V208" s="2">
        <v>53.772560872347519</v>
      </c>
      <c r="W208" s="2">
        <v>-3.3106005619706944</v>
      </c>
      <c r="X208" s="2">
        <v>112.92</v>
      </c>
      <c r="Y208" s="2">
        <v>19.059999999999999</v>
      </c>
      <c r="Z208" s="4">
        <v>8.4</v>
      </c>
      <c r="AA208" s="4">
        <v>9</v>
      </c>
      <c r="AB208" s="2">
        <v>0.9</v>
      </c>
      <c r="AC208" s="2">
        <v>20.9</v>
      </c>
      <c r="AD208" s="2">
        <v>9.0999999999999943</v>
      </c>
      <c r="AE208" s="2">
        <v>1</v>
      </c>
    </row>
    <row r="209" spans="1:31" x14ac:dyDescent="0.25">
      <c r="A209" s="2" t="s">
        <v>42</v>
      </c>
      <c r="B209" s="2">
        <v>2021</v>
      </c>
      <c r="C209" s="2" t="s">
        <v>194</v>
      </c>
      <c r="D209" s="2" t="s">
        <v>295</v>
      </c>
      <c r="E209" s="2">
        <v>-5.0148999999999999</v>
      </c>
      <c r="F209" s="2">
        <v>-57.470100000000002</v>
      </c>
      <c r="G209" s="2">
        <v>-125.753</v>
      </c>
      <c r="H209" s="2">
        <v>1.0216000000000001</v>
      </c>
      <c r="I209" s="2">
        <v>0.2147</v>
      </c>
      <c r="J209">
        <f>0.0433491613996023*(100)</f>
        <v>4.3349161399602298</v>
      </c>
      <c r="K209">
        <f>0.0792*(100)</f>
        <v>7.9200000000000008</v>
      </c>
      <c r="L209" s="2">
        <v>0.15140000000000001</v>
      </c>
      <c r="M209" s="2">
        <v>0.108</v>
      </c>
      <c r="N209" s="2">
        <v>3.7787999999999999</v>
      </c>
      <c r="O209" s="2">
        <v>6.4699999999999994E-2</v>
      </c>
      <c r="P209" s="2">
        <v>9.9557000000000002</v>
      </c>
      <c r="Q209" s="2">
        <v>-54.364199999999997</v>
      </c>
      <c r="R209" s="2">
        <v>-865.66536966467402</v>
      </c>
      <c r="S209" s="2">
        <v>-14.7484</v>
      </c>
      <c r="T209" s="2">
        <v>-44.780799999999999</v>
      </c>
      <c r="U209" s="2">
        <v>86.087599999999995</v>
      </c>
      <c r="V209" s="2">
        <v>28.526644594257739</v>
      </c>
      <c r="W209" s="2">
        <v>6.1659924525746916</v>
      </c>
      <c r="X209" s="2">
        <v>174.15</v>
      </c>
      <c r="Y209" s="2">
        <v>97.02</v>
      </c>
      <c r="Z209" s="4">
        <v>8.4</v>
      </c>
      <c r="AA209" s="4">
        <v>9</v>
      </c>
      <c r="AB209" s="2">
        <v>0.9</v>
      </c>
      <c r="AC209" s="2">
        <v>20.9</v>
      </c>
      <c r="AD209" s="2">
        <v>3.5</v>
      </c>
      <c r="AE209" s="2">
        <v>1</v>
      </c>
    </row>
    <row r="210" spans="1:31" x14ac:dyDescent="0.25">
      <c r="A210" s="2" t="s">
        <v>31</v>
      </c>
      <c r="B210" s="2">
        <v>2021</v>
      </c>
      <c r="C210" s="2" t="s">
        <v>184</v>
      </c>
      <c r="D210" s="2" t="s">
        <v>295</v>
      </c>
      <c r="E210" s="2">
        <v>-10.9815</v>
      </c>
      <c r="F210" s="2">
        <v>-45.003829500000023</v>
      </c>
      <c r="G210" s="2">
        <v>-508.4427</v>
      </c>
      <c r="H210" s="2">
        <v>0.53390000000000004</v>
      </c>
      <c r="I210" s="2">
        <v>0.1477</v>
      </c>
      <c r="J210">
        <f>0.00492243919428069*(100)</f>
        <v>0.49224391942806905</v>
      </c>
      <c r="K210">
        <f>0.0082*(100)</f>
        <v>0.82000000000000006</v>
      </c>
      <c r="L210" s="2">
        <v>1.55E-2</v>
      </c>
      <c r="M210" s="2">
        <v>1.8800000000000001E-2</v>
      </c>
      <c r="N210" s="2">
        <v>1.0551999999999999</v>
      </c>
      <c r="O210" s="2">
        <v>1.09E-2</v>
      </c>
      <c r="P210" s="2">
        <v>0.19040000000000001</v>
      </c>
      <c r="Q210" s="2">
        <v>-61.463099999999997</v>
      </c>
      <c r="R210" s="2">
        <v>86.592107540341402</v>
      </c>
      <c r="S210" s="2">
        <v>-11.1427</v>
      </c>
      <c r="T210" s="2">
        <v>-13.833399999999999</v>
      </c>
      <c r="U210" s="2">
        <v>248.49299999999999</v>
      </c>
      <c r="V210" s="2">
        <v>139.85932571314325</v>
      </c>
      <c r="W210" s="2">
        <v>-148.13859081208466</v>
      </c>
      <c r="X210" s="2">
        <v>382.28</v>
      </c>
      <c r="Y210" s="2">
        <v>175.55</v>
      </c>
      <c r="Z210" s="4">
        <v>8.4</v>
      </c>
      <c r="AA210" s="4">
        <v>9</v>
      </c>
      <c r="AB210" s="2">
        <v>0.9</v>
      </c>
      <c r="AC210" s="2">
        <v>20.9</v>
      </c>
      <c r="AD210" s="2">
        <v>3.5</v>
      </c>
      <c r="AE210" s="2">
        <v>1</v>
      </c>
    </row>
    <row r="211" spans="1:31" x14ac:dyDescent="0.25">
      <c r="A211" s="2" t="s">
        <v>23</v>
      </c>
      <c r="B211" s="2">
        <v>2021</v>
      </c>
      <c r="C211" s="2" t="s">
        <v>177</v>
      </c>
      <c r="D211" s="2" t="s">
        <v>295</v>
      </c>
      <c r="E211" s="2">
        <v>3.3018000000000001</v>
      </c>
      <c r="F211" s="2">
        <v>6.5446</v>
      </c>
      <c r="G211" s="2">
        <v>7.9157999999999999</v>
      </c>
      <c r="H211" s="2">
        <v>1.5445</v>
      </c>
      <c r="I211" s="2">
        <v>0.91690000000000005</v>
      </c>
      <c r="J211">
        <f>0.0946592348440318*(100)</f>
        <v>9.465923484403179</v>
      </c>
      <c r="K211">
        <f>-0.0583*(100)</f>
        <v>-5.83</v>
      </c>
      <c r="L211" s="2">
        <v>0.2117</v>
      </c>
      <c r="M211" s="2">
        <v>0.2354</v>
      </c>
      <c r="N211" s="2">
        <v>12.7119</v>
      </c>
      <c r="O211" s="2">
        <v>0.21379999999999999</v>
      </c>
      <c r="P211" s="2">
        <v>1.8399000000000001</v>
      </c>
      <c r="Q211" s="2">
        <v>-3.8029000000000002</v>
      </c>
      <c r="R211" s="2">
        <v>-67.274390308587456</v>
      </c>
      <c r="S211" s="2">
        <v>6.7605000000000004</v>
      </c>
      <c r="T211" s="2">
        <v>23.870200000000001</v>
      </c>
      <c r="U211" s="2">
        <v>81.293599999999998</v>
      </c>
      <c r="V211" s="2">
        <v>22.862499067255154</v>
      </c>
      <c r="W211" s="2">
        <v>7.5288720193852878</v>
      </c>
      <c r="X211" s="2">
        <v>73.11999999999999</v>
      </c>
      <c r="Y211" s="2">
        <v>-22.88</v>
      </c>
      <c r="Z211" s="4">
        <v>8.4</v>
      </c>
      <c r="AA211" s="4">
        <v>9</v>
      </c>
      <c r="AB211" s="2">
        <v>0.9</v>
      </c>
      <c r="AC211" s="2">
        <v>20.9</v>
      </c>
      <c r="AD211" s="2">
        <v>3.5</v>
      </c>
      <c r="AE211" s="2">
        <v>1</v>
      </c>
    </row>
    <row r="212" spans="1:31" x14ac:dyDescent="0.25">
      <c r="A212" s="2" t="s">
        <v>48</v>
      </c>
      <c r="B212" s="2">
        <v>2021</v>
      </c>
      <c r="C212" s="2" t="s">
        <v>200</v>
      </c>
      <c r="D212" s="2" t="s">
        <v>308</v>
      </c>
      <c r="E212" s="2">
        <v>-15.8962</v>
      </c>
      <c r="F212" s="2">
        <v>-47.258499999999998</v>
      </c>
      <c r="G212" s="2">
        <v>-643.07470000000001</v>
      </c>
      <c r="H212" s="2">
        <v>0.86680000000000001</v>
      </c>
      <c r="I212" s="2">
        <v>0.55859999999999999</v>
      </c>
      <c r="J212">
        <f>0.000866938971168969*(100)</f>
        <v>8.6693897116896901E-2</v>
      </c>
      <c r="K212">
        <f>-0.0565*(100)</f>
        <v>-5.65</v>
      </c>
      <c r="L212" s="2">
        <v>0.1381</v>
      </c>
      <c r="M212" s="2">
        <v>5.4399999999999997E-2</v>
      </c>
      <c r="N212" s="2">
        <v>0.1318</v>
      </c>
      <c r="O212" s="2">
        <v>2.92E-2</v>
      </c>
      <c r="P212" s="2">
        <v>0.2142</v>
      </c>
      <c r="Q212" s="2">
        <v>-92.009200000000007</v>
      </c>
      <c r="R212" s="2">
        <v>-1464.583652611441</v>
      </c>
      <c r="S212" s="2">
        <v>-22.803799999999999</v>
      </c>
      <c r="T212" s="2">
        <v>-39.188000000000002</v>
      </c>
      <c r="U212" s="2">
        <v>62.207900000000002</v>
      </c>
      <c r="V212" s="2">
        <v>2.960446977227793</v>
      </c>
      <c r="W212" s="2">
        <v>1.8684715380889265</v>
      </c>
      <c r="X212" s="2">
        <v>56.46</v>
      </c>
      <c r="Y212" s="2">
        <v>-104.74</v>
      </c>
      <c r="Z212" s="4">
        <v>8.4</v>
      </c>
      <c r="AA212" s="4">
        <v>9</v>
      </c>
      <c r="AB212" s="2">
        <v>0.9</v>
      </c>
      <c r="AC212" s="2">
        <v>20.9</v>
      </c>
      <c r="AD212" s="2">
        <v>9.0999999999999943</v>
      </c>
      <c r="AE212" s="2">
        <v>1</v>
      </c>
    </row>
    <row r="213" spans="1:31" x14ac:dyDescent="0.25">
      <c r="A213" s="2" t="s">
        <v>57</v>
      </c>
      <c r="B213" s="2">
        <v>2021</v>
      </c>
      <c r="C213" s="2" t="s">
        <v>207</v>
      </c>
      <c r="D213" s="2" t="s">
        <v>314</v>
      </c>
      <c r="E213" s="2">
        <v>-34.9133</v>
      </c>
      <c r="F213" s="2">
        <v>-537.77679999999998</v>
      </c>
      <c r="G213" s="2">
        <v>-243.36189999999999</v>
      </c>
      <c r="H213" s="2">
        <v>0.3705</v>
      </c>
      <c r="I213" s="2">
        <v>0.36420000000000002</v>
      </c>
      <c r="J213">
        <f>0.0717637747454285*(100)</f>
        <v>7.1763774745428499</v>
      </c>
      <c r="K213">
        <f>-0.0027*(100)</f>
        <v>-0.27</v>
      </c>
      <c r="L213" s="2">
        <v>38.4968</v>
      </c>
      <c r="M213" s="2">
        <v>0.50470000000000004</v>
      </c>
      <c r="N213" s="2">
        <v>0.5363</v>
      </c>
      <c r="O213" s="2">
        <v>0.1628</v>
      </c>
      <c r="P213" s="2">
        <v>8.1133000000000006</v>
      </c>
      <c r="Q213" s="2">
        <v>-59.384900000000002</v>
      </c>
      <c r="R213" s="2">
        <v>-9477.0712270765471</v>
      </c>
      <c r="S213" s="2">
        <v>-21.606999999999999</v>
      </c>
      <c r="T213" s="2">
        <v>-155.09200000000001</v>
      </c>
      <c r="U213" s="2">
        <v>113.5219</v>
      </c>
      <c r="V213" s="2">
        <v>4.8382373610960654</v>
      </c>
      <c r="W213" s="2">
        <v>-0.55422474907283159</v>
      </c>
      <c r="X213" s="2">
        <v>108.22</v>
      </c>
      <c r="Y213" s="2">
        <v>-1.72</v>
      </c>
      <c r="Z213" s="4">
        <v>8.4</v>
      </c>
      <c r="AA213" s="4">
        <v>9</v>
      </c>
      <c r="AB213" s="2">
        <v>0.9</v>
      </c>
      <c r="AC213" s="2">
        <v>20.9</v>
      </c>
      <c r="AD213" s="2">
        <v>10.400000000000006</v>
      </c>
      <c r="AE213" s="2">
        <v>1</v>
      </c>
    </row>
    <row r="214" spans="1:31" x14ac:dyDescent="0.25">
      <c r="A214" s="2" t="s">
        <v>45</v>
      </c>
      <c r="B214" s="2">
        <v>2021</v>
      </c>
      <c r="C214" s="2" t="s">
        <v>197</v>
      </c>
      <c r="D214" s="2" t="s">
        <v>307</v>
      </c>
      <c r="E214" s="2">
        <v>-12.008699999999999</v>
      </c>
      <c r="F214" s="2">
        <v>-45.003829500000023</v>
      </c>
      <c r="G214" s="2">
        <v>-1696.5208</v>
      </c>
      <c r="H214" s="2">
        <v>0.54379999999999995</v>
      </c>
      <c r="I214" s="2">
        <v>0.53049999999999997</v>
      </c>
      <c r="J214">
        <f>0.00217301451605233*(100)</f>
        <v>0.21730145160523298</v>
      </c>
      <c r="K214">
        <f>0.0019*(100)</f>
        <v>0.19</v>
      </c>
      <c r="L214" s="2">
        <v>0.74670000000000003</v>
      </c>
      <c r="M214" s="2">
        <v>1.61E-2</v>
      </c>
      <c r="N214" s="2">
        <v>5.8799999999999998E-2</v>
      </c>
      <c r="O214" s="2">
        <v>9.7000000000000003E-3</v>
      </c>
      <c r="P214" s="2">
        <v>0.2447</v>
      </c>
      <c r="Q214" s="2">
        <v>-82.191800000000001</v>
      </c>
      <c r="R214" s="2">
        <v>1.7546286837344121</v>
      </c>
      <c r="S214" s="2">
        <v>-13.755599999999999</v>
      </c>
      <c r="T214" s="2">
        <v>-180.31370000000001</v>
      </c>
      <c r="U214" s="2">
        <v>118.828</v>
      </c>
      <c r="V214" s="2">
        <v>9.2550738208681143</v>
      </c>
      <c r="W214" s="2">
        <v>-1.6125934688040808</v>
      </c>
      <c r="X214" s="2">
        <v>100.04</v>
      </c>
      <c r="Y214" s="2">
        <v>21.43</v>
      </c>
      <c r="Z214" s="4">
        <v>8.4</v>
      </c>
      <c r="AA214" s="4">
        <v>9</v>
      </c>
      <c r="AB214" s="2">
        <v>0.9</v>
      </c>
      <c r="AC214" s="2">
        <v>20.9</v>
      </c>
      <c r="AD214" s="2">
        <v>9.0999999999999943</v>
      </c>
      <c r="AE214" s="2">
        <v>1</v>
      </c>
    </row>
    <row r="215" spans="1:31" x14ac:dyDescent="0.25">
      <c r="A215" s="2" t="s">
        <v>38</v>
      </c>
      <c r="B215" s="2">
        <v>2021</v>
      </c>
      <c r="C215" s="2" t="s">
        <v>190</v>
      </c>
      <c r="D215" s="2" t="s">
        <v>303</v>
      </c>
      <c r="E215" s="2">
        <v>-16.824100000000001</v>
      </c>
      <c r="F215" s="2">
        <v>-45.003829500000023</v>
      </c>
      <c r="G215" s="2">
        <v>-75.852900000000005</v>
      </c>
      <c r="H215" s="2">
        <v>0.56669999999999998</v>
      </c>
      <c r="I215" s="2">
        <v>0.54120000000000001</v>
      </c>
      <c r="J215">
        <f>0.106127785460884*(100)</f>
        <v>10.6127785460884</v>
      </c>
      <c r="K215">
        <f>0.0071*(100)</f>
        <v>0.71000000000000008</v>
      </c>
      <c r="L215" s="2">
        <v>30.279320999999989</v>
      </c>
      <c r="M215" s="2">
        <v>0.83599999999999997</v>
      </c>
      <c r="N215" s="2">
        <v>10.2181</v>
      </c>
      <c r="O215" s="2">
        <v>0.26250000000000001</v>
      </c>
      <c r="P215" s="2">
        <v>4.1940999999999997</v>
      </c>
      <c r="Q215" s="2">
        <v>-11.547585499999981</v>
      </c>
      <c r="R215" s="2">
        <v>-599.25051196801235</v>
      </c>
      <c r="S215" s="2">
        <v>-2.8992810000000002</v>
      </c>
      <c r="T215" s="2">
        <v>-77.493116000000001</v>
      </c>
      <c r="U215" s="2">
        <v>91.820700000000002</v>
      </c>
      <c r="V215" s="2">
        <v>36.419682779580555</v>
      </c>
      <c r="W215" s="2">
        <v>-6.495914819685539</v>
      </c>
      <c r="X215" s="2">
        <v>107.99</v>
      </c>
      <c r="Y215" s="2">
        <v>2.4900000000000002</v>
      </c>
      <c r="Z215" s="4">
        <v>8.4</v>
      </c>
      <c r="AA215" s="4">
        <v>9</v>
      </c>
      <c r="AB215" s="2">
        <v>0.9</v>
      </c>
      <c r="AC215" s="2">
        <v>20.9</v>
      </c>
      <c r="AD215" s="2">
        <v>9.0999999999999943</v>
      </c>
      <c r="AE215" s="2">
        <v>1</v>
      </c>
    </row>
    <row r="216" spans="1:31" x14ac:dyDescent="0.25">
      <c r="A216" s="2" t="s">
        <v>47</v>
      </c>
      <c r="B216" s="2">
        <v>2021</v>
      </c>
      <c r="C216" s="2" t="s">
        <v>199</v>
      </c>
      <c r="D216" s="2" t="s">
        <v>295</v>
      </c>
      <c r="E216" s="2">
        <v>-1.6373</v>
      </c>
      <c r="F216" s="2">
        <v>-29.110199999999999</v>
      </c>
      <c r="G216" s="2">
        <v>-134.2946</v>
      </c>
      <c r="H216" s="2">
        <v>1.2847</v>
      </c>
      <c r="I216" s="2">
        <v>0.13120000000000001</v>
      </c>
      <c r="J216">
        <f>0.0227392443681243*(100)</f>
        <v>2.2739244368124298</v>
      </c>
      <c r="K216">
        <f>-0.015*(100)</f>
        <v>-1.5</v>
      </c>
      <c r="L216" s="2">
        <v>2.1299999999999999E-2</v>
      </c>
      <c r="M216" s="2">
        <v>2.0899999999999998E-2</v>
      </c>
      <c r="N216" s="2">
        <v>1.0327</v>
      </c>
      <c r="O216" s="2">
        <v>1.6400000000000001E-2</v>
      </c>
      <c r="P216" s="2">
        <v>3.145</v>
      </c>
      <c r="Q216" s="2">
        <v>-84.697500000000005</v>
      </c>
      <c r="R216" s="2">
        <v>-801.33572645207266</v>
      </c>
      <c r="S216" s="2">
        <v>-3.3329</v>
      </c>
      <c r="T216" s="2">
        <v>-25.6448</v>
      </c>
      <c r="U216" s="2">
        <v>90.745599999999996</v>
      </c>
      <c r="V216" s="2">
        <v>30.071979926815949</v>
      </c>
      <c r="W216" s="2">
        <v>4.2675334721008369</v>
      </c>
      <c r="X216" s="2">
        <v>257.88</v>
      </c>
      <c r="Y216" s="2">
        <v>-81.58</v>
      </c>
      <c r="Z216" s="4">
        <v>8.4</v>
      </c>
      <c r="AA216" s="4">
        <v>9</v>
      </c>
      <c r="AB216" s="2">
        <v>0.9</v>
      </c>
      <c r="AC216" s="2">
        <v>20.9</v>
      </c>
      <c r="AD216" s="2">
        <v>3.5</v>
      </c>
      <c r="AE216" s="2">
        <v>1</v>
      </c>
    </row>
    <row r="217" spans="1:31" x14ac:dyDescent="0.25">
      <c r="A217" s="2" t="s">
        <v>50</v>
      </c>
      <c r="B217" s="2">
        <v>2021</v>
      </c>
      <c r="C217" s="2" t="s">
        <v>201</v>
      </c>
      <c r="D217" s="2" t="s">
        <v>309</v>
      </c>
      <c r="E217" s="2">
        <v>-8.3696999999999999</v>
      </c>
      <c r="F217" s="2">
        <v>-77.635499999999993</v>
      </c>
      <c r="G217" s="2">
        <v>-395.45269999999999</v>
      </c>
      <c r="H217" s="2">
        <v>0.15809999999999999</v>
      </c>
      <c r="I217" s="2">
        <v>0.13650000000000001</v>
      </c>
      <c r="J217">
        <f>0.0119498435657434*(100)</f>
        <v>1.1949843565743401</v>
      </c>
      <c r="K217">
        <f>0.0023*(100)</f>
        <v>0.22999999999999998</v>
      </c>
      <c r="L217" s="2">
        <v>3.4971999999999999</v>
      </c>
      <c r="M217" s="2">
        <v>0.20469999999999999</v>
      </c>
      <c r="N217" s="2">
        <v>0.1643</v>
      </c>
      <c r="O217" s="2">
        <v>2.53E-2</v>
      </c>
      <c r="P217" s="2">
        <v>0.74329999999999996</v>
      </c>
      <c r="Q217" s="2">
        <v>22.506499999999999</v>
      </c>
      <c r="R217" s="2">
        <v>41.294396168686617</v>
      </c>
      <c r="S217" s="2">
        <v>-5.6197999999999997</v>
      </c>
      <c r="T217" s="2">
        <v>-55.932099999999998</v>
      </c>
      <c r="U217" s="2">
        <v>91.649799999999999</v>
      </c>
      <c r="V217" s="2">
        <v>14.493686441248322</v>
      </c>
      <c r="W217" s="2">
        <v>0.57610107247388631</v>
      </c>
      <c r="X217" s="2">
        <v>163.04</v>
      </c>
      <c r="Y217" s="2">
        <v>8.0399999999999991</v>
      </c>
      <c r="Z217" s="4">
        <v>8.4</v>
      </c>
      <c r="AA217" s="4">
        <v>9</v>
      </c>
      <c r="AB217" s="2">
        <v>0.9</v>
      </c>
      <c r="AC217" s="2">
        <v>20.9</v>
      </c>
      <c r="AD217" s="2">
        <v>1.0999999999999943</v>
      </c>
      <c r="AE217" s="2">
        <v>1</v>
      </c>
    </row>
    <row r="218" spans="1:31" x14ac:dyDescent="0.25">
      <c r="A218" s="2" t="s">
        <v>58</v>
      </c>
      <c r="B218" s="2">
        <v>2021</v>
      </c>
      <c r="C218" s="2" t="s">
        <v>208</v>
      </c>
      <c r="D218" s="2" t="s">
        <v>315</v>
      </c>
      <c r="E218" s="2">
        <v>-10.5724</v>
      </c>
      <c r="F218" s="2">
        <v>-53.7744</v>
      </c>
      <c r="G218" s="2">
        <v>-94.893799999999999</v>
      </c>
      <c r="H218" s="2">
        <v>0.84809999999999997</v>
      </c>
      <c r="I218" s="2">
        <v>0.80779999999999996</v>
      </c>
      <c r="J218">
        <f>0.00900268917095866*(100)</f>
        <v>0.90026891709586598</v>
      </c>
      <c r="K218">
        <f>0.0019*(100)</f>
        <v>0.19</v>
      </c>
      <c r="L218" s="2">
        <v>1.7438</v>
      </c>
      <c r="M218" s="2">
        <v>0.22009999999999999</v>
      </c>
      <c r="N218" s="2">
        <v>7.6405000000000003</v>
      </c>
      <c r="O218" s="2">
        <v>0.14649999999999999</v>
      </c>
      <c r="P218" s="2">
        <v>0.42730000000000001</v>
      </c>
      <c r="Q218" s="2">
        <v>-58.495600000000003</v>
      </c>
      <c r="R218" s="2">
        <v>-46.295489637234802</v>
      </c>
      <c r="S218" s="2">
        <v>-9.1135000000000002</v>
      </c>
      <c r="T218" s="2">
        <v>-43.2712</v>
      </c>
      <c r="U218" s="2">
        <v>87.379199999999997</v>
      </c>
      <c r="V218" s="2">
        <v>7.3714565352618351</v>
      </c>
      <c r="W218" s="2">
        <v>9.8425346752110006</v>
      </c>
      <c r="X218" s="2">
        <v>92.15</v>
      </c>
      <c r="Y218" s="2">
        <v>1.0900000000000001</v>
      </c>
      <c r="Z218" s="4">
        <v>8.4</v>
      </c>
      <c r="AA218" s="4">
        <v>9</v>
      </c>
      <c r="AB218" s="2">
        <v>0.9</v>
      </c>
      <c r="AC218" s="2">
        <v>20.9</v>
      </c>
      <c r="AD218" s="2">
        <v>9.1</v>
      </c>
      <c r="AE218" s="2">
        <v>1</v>
      </c>
    </row>
    <row r="219" spans="1:31" x14ac:dyDescent="0.25">
      <c r="A219" s="2" t="s">
        <v>41</v>
      </c>
      <c r="B219" s="2">
        <v>2021</v>
      </c>
      <c r="C219" s="2" t="s">
        <v>193</v>
      </c>
      <c r="D219" s="2" t="s">
        <v>298</v>
      </c>
      <c r="E219" s="2">
        <v>-0.99</v>
      </c>
      <c r="F219" s="2">
        <v>-39.298400000000001</v>
      </c>
      <c r="G219" s="2">
        <v>-42.306100000000001</v>
      </c>
      <c r="H219" s="2">
        <v>0.92149999999999999</v>
      </c>
      <c r="I219" s="2">
        <v>0.82989999999999997</v>
      </c>
      <c r="J219">
        <f>0.0359228322458004*(100)</f>
        <v>3.5922832245800405</v>
      </c>
      <c r="K219">
        <f>0.0231*(100)</f>
        <v>2.31</v>
      </c>
      <c r="L219" s="2">
        <v>0.8206</v>
      </c>
      <c r="M219" s="2">
        <v>0.13869999999999999</v>
      </c>
      <c r="N219" s="2">
        <v>0.96089999999999998</v>
      </c>
      <c r="O219" s="2">
        <v>9.2399999999999996E-2</v>
      </c>
      <c r="P219" s="2">
        <v>1.1233</v>
      </c>
      <c r="Q219" s="2">
        <v>-50.577800000000003</v>
      </c>
      <c r="R219" s="2">
        <v>76.588202058265807</v>
      </c>
      <c r="S219" s="2">
        <v>-10.794499999999999</v>
      </c>
      <c r="T219" s="2">
        <v>-30.737100000000002</v>
      </c>
      <c r="U219" s="2">
        <v>78.263999999999996</v>
      </c>
      <c r="V219" s="2">
        <v>6.8936800190318852</v>
      </c>
      <c r="W219" s="2">
        <v>0.64343311039985684</v>
      </c>
      <c r="X219" s="2">
        <v>106.51</v>
      </c>
      <c r="Y219" s="2">
        <v>18.86</v>
      </c>
      <c r="Z219" s="4">
        <v>8.4</v>
      </c>
      <c r="AA219" s="4">
        <v>9</v>
      </c>
      <c r="AB219" s="2">
        <v>0.9</v>
      </c>
      <c r="AC219" s="2">
        <v>20.9</v>
      </c>
      <c r="AD219" s="2">
        <v>9.0999999999999943</v>
      </c>
      <c r="AE219" s="2">
        <v>1</v>
      </c>
    </row>
    <row r="220" spans="1:31" x14ac:dyDescent="0.25">
      <c r="A220" s="2" t="s">
        <v>51</v>
      </c>
      <c r="B220" s="2">
        <v>2021</v>
      </c>
      <c r="C220" s="2" t="s">
        <v>202</v>
      </c>
      <c r="D220" s="2" t="s">
        <v>310</v>
      </c>
      <c r="E220" s="2">
        <v>-7.7211999999999996</v>
      </c>
      <c r="F220" s="2">
        <v>-23.106400000000001</v>
      </c>
      <c r="G220" s="2">
        <v>-126.306</v>
      </c>
      <c r="H220" s="2">
        <v>0.46760000000000002</v>
      </c>
      <c r="I220" s="2">
        <v>0.37919999999999998</v>
      </c>
      <c r="J220">
        <f>0.0969954439617862*(100)</f>
        <v>9.6995443961786201</v>
      </c>
      <c r="K220">
        <f>0.0551*(100)</f>
        <v>5.5100000000000007</v>
      </c>
      <c r="L220" s="2">
        <v>0.6462</v>
      </c>
      <c r="M220" s="2">
        <v>0.26350000000000001</v>
      </c>
      <c r="N220" s="2">
        <v>2.0510000000000002</v>
      </c>
      <c r="O220" s="2">
        <v>7.7399999999999997E-2</v>
      </c>
      <c r="P220" s="2">
        <v>2.0209999999999999</v>
      </c>
      <c r="Q220" s="2">
        <v>-45.817399999999999</v>
      </c>
      <c r="R220" s="2">
        <v>-7092.6162425849379</v>
      </c>
      <c r="S220" s="2">
        <v>-10.468500000000001</v>
      </c>
      <c r="T220" s="2">
        <v>-22.2136</v>
      </c>
      <c r="U220" s="2">
        <v>66.095799999999997</v>
      </c>
      <c r="V220" s="2">
        <v>19.258118585236112</v>
      </c>
      <c r="W220" s="2">
        <v>8.1225577641852809</v>
      </c>
      <c r="X220" s="2">
        <v>188.82</v>
      </c>
      <c r="Y220" s="2">
        <v>44.45</v>
      </c>
      <c r="Z220" s="4">
        <v>8.4</v>
      </c>
      <c r="AA220" s="4">
        <v>9</v>
      </c>
      <c r="AB220" s="2">
        <v>0.9</v>
      </c>
      <c r="AC220" s="2">
        <v>20.9</v>
      </c>
      <c r="AD220" s="2">
        <v>9.0999999999999943</v>
      </c>
      <c r="AE220" s="2">
        <v>1</v>
      </c>
    </row>
    <row r="221" spans="1:31" x14ac:dyDescent="0.25">
      <c r="A221" s="2" t="s">
        <v>52</v>
      </c>
      <c r="B221" s="2">
        <v>2021</v>
      </c>
      <c r="C221" s="2" t="s">
        <v>203</v>
      </c>
      <c r="D221" s="2" t="s">
        <v>311</v>
      </c>
      <c r="E221" s="2">
        <v>-6.0738000000000003</v>
      </c>
      <c r="F221" s="2">
        <v>-45.003829500000023</v>
      </c>
      <c r="G221" s="2">
        <v>-815.19539999999995</v>
      </c>
      <c r="H221" s="2">
        <v>0.60629999999999995</v>
      </c>
      <c r="I221" s="2">
        <v>0.60589999999999999</v>
      </c>
      <c r="J221">
        <f>0.0127732345547508*(100)</f>
        <v>1.2773234554750801</v>
      </c>
      <c r="K221">
        <f>-0.0025*(100)</f>
        <v>-0.25</v>
      </c>
      <c r="L221" s="2">
        <v>29.732600000000001</v>
      </c>
      <c r="M221" s="2">
        <v>2.6599999999999999E-2</v>
      </c>
      <c r="N221" s="2">
        <v>8.6506000000000007</v>
      </c>
      <c r="O221" s="2">
        <v>2.1000000000000001E-2</v>
      </c>
      <c r="P221" s="2">
        <v>0.2475</v>
      </c>
      <c r="Q221" s="2">
        <v>-46.247</v>
      </c>
      <c r="R221" s="2">
        <v>-322.77550176846728</v>
      </c>
      <c r="S221" s="2">
        <v>55.068300000000001</v>
      </c>
      <c r="T221" s="2">
        <v>17.481400000000001</v>
      </c>
      <c r="U221" s="2">
        <v>138.02070000000001</v>
      </c>
      <c r="V221" s="2">
        <v>2.2614907129159612</v>
      </c>
      <c r="W221" s="2">
        <v>-138.46155977262146</v>
      </c>
      <c r="X221" s="2">
        <v>131.55000000000001</v>
      </c>
      <c r="Y221" s="2">
        <v>-20.239999999999998</v>
      </c>
      <c r="Z221" s="4">
        <v>8.4</v>
      </c>
      <c r="AA221" s="4">
        <v>9</v>
      </c>
      <c r="AB221" s="2">
        <v>0.9</v>
      </c>
      <c r="AC221" s="2">
        <v>20.9</v>
      </c>
      <c r="AD221" s="2">
        <v>1.0999999999999943</v>
      </c>
      <c r="AE221" s="2">
        <v>1</v>
      </c>
    </row>
    <row r="222" spans="1:31" x14ac:dyDescent="0.25">
      <c r="A222" s="2" t="s">
        <v>33</v>
      </c>
      <c r="B222" s="2">
        <v>2021</v>
      </c>
      <c r="C222" s="2" t="s">
        <v>186</v>
      </c>
      <c r="D222" s="2" t="s">
        <v>295</v>
      </c>
      <c r="E222" s="2">
        <v>3.2189000000000001</v>
      </c>
      <c r="F222" s="2">
        <v>13.8432</v>
      </c>
      <c r="G222" s="2">
        <v>9.4405999999999999</v>
      </c>
      <c r="H222" s="2">
        <v>1.3640000000000001</v>
      </c>
      <c r="I222" s="2">
        <v>0.58420000000000005</v>
      </c>
      <c r="J222">
        <f>0.261364646057533*(100)</f>
        <v>26.1364646057533</v>
      </c>
      <c r="K222">
        <f>0.058*(100)</f>
        <v>5.8000000000000007</v>
      </c>
      <c r="L222" s="2">
        <v>0.47239999999999999</v>
      </c>
      <c r="M222" s="2">
        <v>0.33739999999999998</v>
      </c>
      <c r="N222" s="2">
        <v>15.4993</v>
      </c>
      <c r="O222" s="2">
        <v>0.28249999999999997</v>
      </c>
      <c r="P222" s="2">
        <v>20.543399999999998</v>
      </c>
      <c r="Q222" s="2">
        <v>20.880099999999999</v>
      </c>
      <c r="R222" s="2">
        <v>12.37475397929774</v>
      </c>
      <c r="S222" s="2">
        <v>15.4124</v>
      </c>
      <c r="T222" s="2">
        <v>15.762600000000001</v>
      </c>
      <c r="U222" s="2">
        <v>82.727900000000005</v>
      </c>
      <c r="V222" s="2">
        <v>22.045942867765085</v>
      </c>
      <c r="W222" s="2">
        <v>1.9522286256737711</v>
      </c>
      <c r="X222" s="2">
        <v>101.35</v>
      </c>
      <c r="Y222" s="2">
        <v>18.190000000000001</v>
      </c>
      <c r="Z222" s="4">
        <v>8.4</v>
      </c>
      <c r="AA222" s="4">
        <v>9</v>
      </c>
      <c r="AB222" s="2">
        <v>0.9</v>
      </c>
      <c r="AC222" s="2">
        <v>20.9</v>
      </c>
      <c r="AD222" s="2">
        <v>3.5</v>
      </c>
      <c r="AE222" s="2">
        <v>1</v>
      </c>
    </row>
    <row r="223" spans="1:31" x14ac:dyDescent="0.25">
      <c r="A223" s="2" t="s">
        <v>39</v>
      </c>
      <c r="B223" s="2">
        <v>2021</v>
      </c>
      <c r="C223" s="2" t="s">
        <v>191</v>
      </c>
      <c r="D223" s="2" t="s">
        <v>304</v>
      </c>
      <c r="E223" s="2">
        <v>5.3888999999999996</v>
      </c>
      <c r="F223" s="2">
        <v>6.2202999999999999</v>
      </c>
      <c r="G223" s="2">
        <v>6.5784000000000002</v>
      </c>
      <c r="H223" s="2">
        <v>1.0423</v>
      </c>
      <c r="I223" s="2">
        <v>0.87029999999999996</v>
      </c>
      <c r="J223">
        <f>0.0667772921531215*(100)</f>
        <v>6.6777292153121506</v>
      </c>
      <c r="K223">
        <f>-0.0455*(100)</f>
        <v>-4.55</v>
      </c>
      <c r="L223" s="2">
        <v>4.7043999999999997</v>
      </c>
      <c r="M223" s="2">
        <v>1.0210999999999999</v>
      </c>
      <c r="N223" s="2">
        <v>1.5382</v>
      </c>
      <c r="O223" s="2">
        <v>0.48880000000000001</v>
      </c>
      <c r="P223" s="2">
        <v>6.8030999999999997</v>
      </c>
      <c r="Q223" s="2">
        <v>-35.633299999999998</v>
      </c>
      <c r="R223" s="2">
        <v>-46.540847711250002</v>
      </c>
      <c r="S223" s="2">
        <v>7.9600000000000004E-2</v>
      </c>
      <c r="T223" s="2">
        <v>4.0900999999999996</v>
      </c>
      <c r="U223" s="2">
        <v>61.646599999999999</v>
      </c>
      <c r="V223" s="2">
        <v>16.09790903740813</v>
      </c>
      <c r="W223" s="2">
        <v>1.0738926167200267</v>
      </c>
      <c r="X223" s="2">
        <v>114.22</v>
      </c>
      <c r="Y223" s="2">
        <v>-5.74</v>
      </c>
      <c r="Z223" s="4">
        <v>8.4</v>
      </c>
      <c r="AA223" s="4">
        <v>9</v>
      </c>
      <c r="AB223" s="2">
        <v>0.9</v>
      </c>
      <c r="AC223" s="2">
        <v>20.9</v>
      </c>
      <c r="AD223" s="2">
        <v>10.400000000000006</v>
      </c>
      <c r="AE223" s="2">
        <v>1</v>
      </c>
    </row>
    <row r="224" spans="1:31" x14ac:dyDescent="0.25">
      <c r="A224" s="2" t="s">
        <v>40</v>
      </c>
      <c r="B224" s="2">
        <v>2021</v>
      </c>
      <c r="C224" s="2" t="s">
        <v>192</v>
      </c>
      <c r="D224" s="2" t="s">
        <v>305</v>
      </c>
      <c r="E224" s="2">
        <v>1.7831999999999999</v>
      </c>
      <c r="F224" s="2">
        <v>-1.857</v>
      </c>
      <c r="G224" s="2">
        <v>-1.2885</v>
      </c>
      <c r="H224" s="2">
        <v>0.80159999999999998</v>
      </c>
      <c r="I224" s="2">
        <v>0.76939999999999997</v>
      </c>
      <c r="J224">
        <f>0.0257288580947297*(100)</f>
        <v>2.5728858094729699</v>
      </c>
      <c r="K224">
        <f>0.0345*(100)</f>
        <v>3.45</v>
      </c>
      <c r="L224" s="2">
        <v>3.9422000000000001</v>
      </c>
      <c r="M224" s="2">
        <v>0.25280000000000002</v>
      </c>
      <c r="N224" s="2">
        <v>9.6555999999999997</v>
      </c>
      <c r="O224" s="2">
        <v>0.1017</v>
      </c>
      <c r="P224" s="2">
        <v>0.84950000000000003</v>
      </c>
      <c r="Q224" s="2">
        <v>-22.357500000000002</v>
      </c>
      <c r="R224" s="2">
        <v>-140.06252374761931</v>
      </c>
      <c r="S224" s="2">
        <v>-1.3875999999999999</v>
      </c>
      <c r="T224" s="2">
        <v>-1.8399000000000001</v>
      </c>
      <c r="U224" s="2">
        <v>76.823800000000006</v>
      </c>
      <c r="V224" s="2">
        <v>26.289279156561836</v>
      </c>
      <c r="W224" s="2">
        <v>19.231905070846388</v>
      </c>
      <c r="X224" s="2">
        <v>65.75</v>
      </c>
      <c r="Y224" s="2">
        <v>25.84</v>
      </c>
      <c r="Z224" s="4">
        <v>8.4</v>
      </c>
      <c r="AA224" s="4">
        <v>9</v>
      </c>
      <c r="AB224" s="2">
        <v>0.9</v>
      </c>
      <c r="AC224" s="2">
        <v>20.9</v>
      </c>
      <c r="AD224" s="2">
        <v>10.400000000000006</v>
      </c>
      <c r="AE224" s="2">
        <v>1</v>
      </c>
    </row>
    <row r="225" spans="1:31" x14ac:dyDescent="0.25">
      <c r="A225" s="2" t="s">
        <v>46</v>
      </c>
      <c r="B225" s="2">
        <v>2021</v>
      </c>
      <c r="C225" s="2" t="s">
        <v>198</v>
      </c>
      <c r="D225" s="2" t="s">
        <v>307</v>
      </c>
      <c r="E225" s="2">
        <v>0.13009999999999999</v>
      </c>
      <c r="F225" s="2">
        <v>-7.51E-2</v>
      </c>
      <c r="G225" s="2">
        <v>1.6299999999999999E-2</v>
      </c>
      <c r="H225" s="2">
        <v>1.6404000000000001</v>
      </c>
      <c r="I225" s="2">
        <v>1.5122</v>
      </c>
      <c r="J225">
        <f>0.0222422158576797*(100)</f>
        <v>2.2242215857679701</v>
      </c>
      <c r="K225">
        <f>0.0026*(100)</f>
        <v>0.26</v>
      </c>
      <c r="L225" s="2">
        <v>0.80300000000000005</v>
      </c>
      <c r="M225" s="2">
        <v>0.1075</v>
      </c>
      <c r="N225" s="2">
        <v>0.31940000000000002</v>
      </c>
      <c r="O225" s="2">
        <v>6.0900000000000003E-2</v>
      </c>
      <c r="P225" s="2">
        <v>2.7738999999999998</v>
      </c>
      <c r="Q225" s="2">
        <v>36.628900000000002</v>
      </c>
      <c r="R225" s="2">
        <v>99.484565563675901</v>
      </c>
      <c r="S225" s="2">
        <v>0.16209999999999999</v>
      </c>
      <c r="T225" s="2">
        <v>7.3856000000000002</v>
      </c>
      <c r="U225" s="2">
        <v>65.970600000000005</v>
      </c>
      <c r="V225" s="2">
        <v>31.124060488762169</v>
      </c>
      <c r="W225" s="2">
        <v>1.7738526318664487</v>
      </c>
      <c r="X225" s="2">
        <v>37.630000000000003</v>
      </c>
      <c r="Y225" s="2">
        <v>2.78</v>
      </c>
      <c r="Z225" s="4">
        <v>8.4</v>
      </c>
      <c r="AA225" s="4">
        <v>9</v>
      </c>
      <c r="AB225" s="2">
        <v>0.9</v>
      </c>
      <c r="AC225" s="2">
        <v>20.9</v>
      </c>
      <c r="AD225" s="2">
        <v>9.0999999999999943</v>
      </c>
      <c r="AE225" s="2">
        <v>1</v>
      </c>
    </row>
    <row r="226" spans="1:31" x14ac:dyDescent="0.25">
      <c r="A226" s="2" t="s">
        <v>55</v>
      </c>
      <c r="B226" s="2">
        <v>2021</v>
      </c>
      <c r="C226" s="2" t="s">
        <v>181</v>
      </c>
      <c r="D226" s="2" t="s">
        <v>298</v>
      </c>
      <c r="E226" s="2">
        <v>-4.0338000000000003</v>
      </c>
      <c r="F226" s="2">
        <v>-63.677900000000001</v>
      </c>
      <c r="G226" s="2">
        <v>-25.799600000000002</v>
      </c>
      <c r="H226" s="2">
        <v>0.8367</v>
      </c>
      <c r="I226" s="2">
        <v>0.43319999999999997</v>
      </c>
      <c r="J226">
        <f>0.172316516268081*(100)</f>
        <v>17.231651626808102</v>
      </c>
      <c r="K226">
        <f>0.0483*(100)</f>
        <v>4.83</v>
      </c>
      <c r="L226" s="2">
        <v>0.9073</v>
      </c>
      <c r="M226" s="2">
        <v>0.52700000000000002</v>
      </c>
      <c r="N226" s="2">
        <v>1.6777</v>
      </c>
      <c r="O226" s="2">
        <v>0.24929999999999999</v>
      </c>
      <c r="P226" s="2">
        <v>39.235399999999998</v>
      </c>
      <c r="Q226" s="2">
        <v>-41.989899999999999</v>
      </c>
      <c r="R226" s="2">
        <v>-826.58893527305736</v>
      </c>
      <c r="S226" s="2">
        <v>-12.9724</v>
      </c>
      <c r="T226" s="2">
        <v>-59.5473</v>
      </c>
      <c r="U226" s="2">
        <v>82.528499999999994</v>
      </c>
      <c r="V226" s="2">
        <v>21.164463149789732</v>
      </c>
      <c r="W226" s="2">
        <v>0.3743473223795506</v>
      </c>
      <c r="X226" s="2">
        <v>115.03</v>
      </c>
      <c r="Y226" s="2">
        <v>14.79</v>
      </c>
      <c r="Z226" s="4">
        <v>8.4</v>
      </c>
      <c r="AA226" s="4">
        <v>9</v>
      </c>
      <c r="AB226" s="2">
        <v>0.9</v>
      </c>
      <c r="AC226" s="2">
        <v>20.9</v>
      </c>
      <c r="AD226" s="2">
        <v>9.0999999999999943</v>
      </c>
      <c r="AE226" s="2">
        <v>1</v>
      </c>
    </row>
    <row r="227" spans="1:31" x14ac:dyDescent="0.25">
      <c r="A227" s="2" t="s">
        <v>37</v>
      </c>
      <c r="B227" s="2">
        <v>2021</v>
      </c>
      <c r="C227" s="2" t="s">
        <v>189</v>
      </c>
      <c r="D227" s="2" t="s">
        <v>297</v>
      </c>
      <c r="E227" s="2">
        <v>-29.104199999999999</v>
      </c>
      <c r="F227" s="2">
        <v>-45.003829500000023</v>
      </c>
      <c r="G227" s="2">
        <v>-282.74579999999997</v>
      </c>
      <c r="H227" s="2">
        <v>0.36620000000000003</v>
      </c>
      <c r="I227" s="2">
        <v>0.33879999999999999</v>
      </c>
      <c r="J227">
        <f>0.157867471535817*(100)</f>
        <v>15.7867471535817</v>
      </c>
      <c r="K227">
        <f>0.0006*(100)</f>
        <v>0.06</v>
      </c>
      <c r="L227" s="2">
        <v>2.8961000000000001</v>
      </c>
      <c r="M227" s="2">
        <v>0.28070000000000001</v>
      </c>
      <c r="N227" s="2">
        <v>0.3478</v>
      </c>
      <c r="O227" s="2">
        <v>0.1293</v>
      </c>
      <c r="P227" s="2">
        <v>2.0158999999999998</v>
      </c>
      <c r="Q227" s="2">
        <v>-25.159099999999999</v>
      </c>
      <c r="R227" s="2">
        <v>55.288953911344983</v>
      </c>
      <c r="S227" s="2">
        <v>-10.2759</v>
      </c>
      <c r="T227" s="2">
        <v>-51.435299999999998</v>
      </c>
      <c r="U227" s="2">
        <v>215.45689999999999</v>
      </c>
      <c r="V227" s="2">
        <v>87.928547366753946</v>
      </c>
      <c r="W227" s="2">
        <v>-3.1479865264864153</v>
      </c>
      <c r="X227" s="2">
        <v>70.399999999999991</v>
      </c>
      <c r="Y227" s="2">
        <v>1.02</v>
      </c>
      <c r="Z227" s="4">
        <v>8.4</v>
      </c>
      <c r="AA227" s="4">
        <v>9</v>
      </c>
      <c r="AB227" s="2">
        <v>0.9</v>
      </c>
      <c r="AC227" s="2">
        <v>20.9</v>
      </c>
      <c r="AD227" s="2">
        <v>10.400000000000006</v>
      </c>
      <c r="AE227" s="2">
        <v>1</v>
      </c>
    </row>
    <row r="228" spans="1:31" x14ac:dyDescent="0.25">
      <c r="A228" s="2" t="s">
        <v>44</v>
      </c>
      <c r="B228" s="2">
        <v>2021</v>
      </c>
      <c r="C228" s="2" t="s">
        <v>196</v>
      </c>
      <c r="D228" s="2" t="s">
        <v>302</v>
      </c>
      <c r="E228" s="2">
        <v>-58.973999999999997</v>
      </c>
      <c r="F228" s="2">
        <v>-622.99390000000005</v>
      </c>
      <c r="G228" s="2">
        <v>-563.39279999999997</v>
      </c>
      <c r="H228" s="2">
        <v>0.79620000000000002</v>
      </c>
      <c r="I228" s="2">
        <v>0.55110000000000003</v>
      </c>
      <c r="J228">
        <f>0.0241644218192973*(100)</f>
        <v>2.4164421819297299</v>
      </c>
      <c r="K228">
        <f>0.0236*(100)</f>
        <v>2.36</v>
      </c>
      <c r="L228" s="2">
        <v>0.28160000000000002</v>
      </c>
      <c r="M228" s="2">
        <v>0.1651</v>
      </c>
      <c r="N228" s="2">
        <v>0.69079999999999997</v>
      </c>
      <c r="O228" s="2">
        <v>0.1105</v>
      </c>
      <c r="P228" s="2">
        <v>1.7816000000000001</v>
      </c>
      <c r="Q228" s="2">
        <v>-52.715200000000003</v>
      </c>
      <c r="R228" s="2">
        <v>-567.98366366185257</v>
      </c>
      <c r="S228" s="2">
        <v>-48.400599999999997</v>
      </c>
      <c r="T228" s="2">
        <v>-151.35730000000001</v>
      </c>
      <c r="U228" s="2">
        <v>131.23560000000001</v>
      </c>
      <c r="V228" s="2">
        <v>61.363473837739136</v>
      </c>
      <c r="W228" s="2">
        <v>-1.3214515136135097</v>
      </c>
      <c r="X228" s="2">
        <v>112.82</v>
      </c>
      <c r="Y228" s="2">
        <v>19.059999999999999</v>
      </c>
      <c r="Z228" s="4">
        <v>8.4</v>
      </c>
      <c r="AA228" s="4">
        <v>9</v>
      </c>
      <c r="AB228" s="2">
        <v>0.9</v>
      </c>
      <c r="AC228" s="2">
        <v>20.9</v>
      </c>
      <c r="AD228" s="2">
        <v>9.0999999999999943</v>
      </c>
      <c r="AE228" s="2">
        <v>1</v>
      </c>
    </row>
    <row r="229" spans="1:31" x14ac:dyDescent="0.25">
      <c r="A229" s="2" t="s">
        <v>53</v>
      </c>
      <c r="B229" s="2">
        <v>2021</v>
      </c>
      <c r="C229" s="2" t="s">
        <v>204</v>
      </c>
      <c r="D229" s="2" t="s">
        <v>312</v>
      </c>
      <c r="E229" s="2">
        <v>0.25969999999999999</v>
      </c>
      <c r="F229" s="2">
        <v>-15.5069</v>
      </c>
      <c r="G229" s="2">
        <v>-4.7827999999999999</v>
      </c>
      <c r="H229" s="2">
        <v>0.8024</v>
      </c>
      <c r="I229" s="2">
        <v>0.69869999999999999</v>
      </c>
      <c r="J229">
        <f>0.168717263864765*(100)</f>
        <v>16.871726386476499</v>
      </c>
      <c r="K229">
        <f>0.0598*(100)</f>
        <v>5.9799999999999995</v>
      </c>
      <c r="L229" s="2">
        <v>7.4625000000000004</v>
      </c>
      <c r="M229" s="2">
        <v>1.1955</v>
      </c>
      <c r="N229" s="2">
        <v>3.9929000000000001</v>
      </c>
      <c r="O229" s="2">
        <v>0.55559999999999998</v>
      </c>
      <c r="P229" s="2">
        <v>7.7557</v>
      </c>
      <c r="Q229" s="2">
        <v>-11.1372</v>
      </c>
      <c r="R229" s="2">
        <v>-781.56507062580738</v>
      </c>
      <c r="S229" s="2">
        <v>-3.76</v>
      </c>
      <c r="T229" s="2">
        <v>-17.770099999999999</v>
      </c>
      <c r="U229" s="2">
        <v>74.168700000000001</v>
      </c>
      <c r="V229" s="2">
        <v>13.513886582871351</v>
      </c>
      <c r="W229" s="2">
        <v>0.73446518223899593</v>
      </c>
      <c r="X229" s="2">
        <v>95.97</v>
      </c>
      <c r="Y229" s="2">
        <v>7.8299999999999992</v>
      </c>
      <c r="Z229" s="4">
        <v>8.4</v>
      </c>
      <c r="AA229" s="4">
        <v>9</v>
      </c>
      <c r="AB229" s="2">
        <v>0.9</v>
      </c>
      <c r="AC229" s="2">
        <v>20.9</v>
      </c>
      <c r="AD229" s="2">
        <v>9.0999999999999943</v>
      </c>
      <c r="AE229" s="2">
        <v>1</v>
      </c>
    </row>
    <row r="230" spans="1:31" x14ac:dyDescent="0.25">
      <c r="A230" s="2" t="s">
        <v>34</v>
      </c>
      <c r="B230" s="2">
        <v>2021</v>
      </c>
      <c r="C230" s="2" t="s">
        <v>187</v>
      </c>
      <c r="D230" s="2" t="s">
        <v>301</v>
      </c>
      <c r="E230" s="2">
        <v>-3.1366000000000001</v>
      </c>
      <c r="F230" s="2">
        <v>-11.6652</v>
      </c>
      <c r="G230" s="2">
        <v>-43.4664</v>
      </c>
      <c r="H230" s="2">
        <v>1.1059000000000001</v>
      </c>
      <c r="I230" s="2">
        <v>1.0326</v>
      </c>
      <c r="J230">
        <f>0.31810712556671*(100)</f>
        <v>31.810712556671</v>
      </c>
      <c r="K230">
        <f>0.0564*(100)</f>
        <v>5.64</v>
      </c>
      <c r="L230" s="2">
        <v>1.6167</v>
      </c>
      <c r="M230" s="2">
        <v>0.18859999999999999</v>
      </c>
      <c r="N230" s="2">
        <v>0.74199999999999999</v>
      </c>
      <c r="O230" s="2">
        <v>0.10630000000000001</v>
      </c>
      <c r="P230" s="2">
        <v>0.68959999999999999</v>
      </c>
      <c r="Q230" s="2">
        <v>-59.787500000000001</v>
      </c>
      <c r="R230" s="2">
        <v>-122.87069755541989</v>
      </c>
      <c r="S230" s="2">
        <v>-4.3258999999999999</v>
      </c>
      <c r="T230" s="2">
        <v>-9.4931000000000001</v>
      </c>
      <c r="U230" s="2">
        <v>55.863100000000003</v>
      </c>
      <c r="V230" s="2">
        <v>8.0456095707751398</v>
      </c>
      <c r="W230" s="2">
        <v>2.9229661535121734</v>
      </c>
      <c r="X230" s="2">
        <v>146.22</v>
      </c>
      <c r="Y230" s="2">
        <v>28.96</v>
      </c>
      <c r="Z230" s="4">
        <v>8.4</v>
      </c>
      <c r="AA230" s="4">
        <v>9</v>
      </c>
      <c r="AB230" s="2">
        <v>0.9</v>
      </c>
      <c r="AC230" s="2">
        <v>20.9</v>
      </c>
      <c r="AD230" s="2">
        <v>9.1</v>
      </c>
      <c r="AE230" s="2">
        <v>1</v>
      </c>
    </row>
    <row r="231" spans="1:31" x14ac:dyDescent="0.25">
      <c r="A231" s="2" t="s">
        <v>56</v>
      </c>
      <c r="B231" s="2">
        <v>2021</v>
      </c>
      <c r="C231" s="2" t="s">
        <v>206</v>
      </c>
      <c r="D231" s="2" t="s">
        <v>313</v>
      </c>
      <c r="E231" s="2">
        <v>-12.6371</v>
      </c>
      <c r="F231" s="2">
        <v>-43.679400000000001</v>
      </c>
      <c r="G231" s="2">
        <v>-264.66070000000002</v>
      </c>
      <c r="H231" s="2">
        <v>0.55120000000000002</v>
      </c>
      <c r="I231" s="2">
        <v>0.55100000000000005</v>
      </c>
      <c r="J231">
        <f>0.0404524503985596*(100)</f>
        <v>4.0452450398559598</v>
      </c>
      <c r="K231">
        <f>0.0189*(100)</f>
        <v>1.8900000000000001</v>
      </c>
      <c r="L231" s="2">
        <v>330.21460000000002</v>
      </c>
      <c r="M231" s="2">
        <v>0.22009999999999999</v>
      </c>
      <c r="N231" s="2">
        <v>0.37419999999999998</v>
      </c>
      <c r="O231" s="2">
        <v>6.2600000000000003E-2</v>
      </c>
      <c r="P231" s="2">
        <v>3.9379</v>
      </c>
      <c r="Q231" s="2">
        <v>-17.3703</v>
      </c>
      <c r="R231" s="2">
        <v>-963.93811781153363</v>
      </c>
      <c r="S231" s="2">
        <v>-35.4604</v>
      </c>
      <c r="T231" s="2">
        <v>-72.551400000000001</v>
      </c>
      <c r="U231" s="2">
        <v>79.970100000000002</v>
      </c>
      <c r="V231" s="2">
        <v>7.8262960994133577</v>
      </c>
      <c r="W231" s="2">
        <v>0.93881136499506423</v>
      </c>
      <c r="X231" s="2">
        <v>96.32</v>
      </c>
      <c r="Y231" s="2">
        <v>19</v>
      </c>
      <c r="Z231" s="4">
        <v>8.4</v>
      </c>
      <c r="AA231" s="4">
        <v>9</v>
      </c>
      <c r="AB231" s="2">
        <v>0.9</v>
      </c>
      <c r="AC231" s="2">
        <v>20.9</v>
      </c>
      <c r="AD231" s="2">
        <v>10.400000000000006</v>
      </c>
      <c r="AE231" s="2">
        <v>1</v>
      </c>
    </row>
    <row r="232" spans="1:31" x14ac:dyDescent="0.25">
      <c r="A232" s="2" t="s">
        <v>68</v>
      </c>
      <c r="B232" s="2">
        <v>2020</v>
      </c>
      <c r="C232" s="2" t="s">
        <v>216</v>
      </c>
      <c r="D232" s="2" t="s">
        <v>321</v>
      </c>
      <c r="E232" s="2">
        <v>9.7490000000000006</v>
      </c>
      <c r="F232" s="2">
        <v>5.8836000000000004</v>
      </c>
      <c r="G232" s="2">
        <v>8.9733000000000001</v>
      </c>
      <c r="H232" s="2">
        <v>0.98480000000000001</v>
      </c>
      <c r="I232" s="2">
        <v>0.74560000000000004</v>
      </c>
      <c r="J232">
        <f>0.523473509598789*(100)</f>
        <v>52.347350959878902</v>
      </c>
      <c r="K232">
        <f>0.1652*(100)</f>
        <v>16.520000000000003</v>
      </c>
      <c r="L232" s="2">
        <v>5.5121000000000002</v>
      </c>
      <c r="M232" s="2">
        <v>1.7357</v>
      </c>
      <c r="N232" s="2">
        <v>4.7760999999999996</v>
      </c>
      <c r="O232" s="2">
        <v>0.98880000000000001</v>
      </c>
      <c r="P232" s="2">
        <v>22.9726</v>
      </c>
      <c r="Q232" s="2">
        <v>18.410399999999999</v>
      </c>
      <c r="R232" s="2">
        <v>12.029889544879451</v>
      </c>
      <c r="S232" s="2">
        <v>14.238899999999999</v>
      </c>
      <c r="T232" s="2">
        <v>11.070499999999999</v>
      </c>
      <c r="U232" s="2">
        <v>74.114500000000007</v>
      </c>
      <c r="V232" s="2">
        <v>14.604618416515949</v>
      </c>
      <c r="W232" s="2">
        <v>0.13310870667451524</v>
      </c>
      <c r="X232" s="2">
        <v>121.71</v>
      </c>
      <c r="Y232" s="2">
        <v>13.21</v>
      </c>
      <c r="Z232" s="4">
        <v>2.2999999999999998</v>
      </c>
      <c r="AA232" s="4">
        <v>10.100000000000001</v>
      </c>
      <c r="AB232" s="2">
        <v>2.5</v>
      </c>
      <c r="AC232" s="2">
        <v>16.100000000000001</v>
      </c>
      <c r="AD232" s="2">
        <v>-0.90000000000000568</v>
      </c>
      <c r="AE232" s="2">
        <v>1</v>
      </c>
    </row>
    <row r="233" spans="1:31" x14ac:dyDescent="0.25">
      <c r="A233" s="2" t="s">
        <v>67</v>
      </c>
      <c r="B233" s="2">
        <v>2020</v>
      </c>
      <c r="C233" s="2" t="s">
        <v>215</v>
      </c>
      <c r="D233" s="2" t="s">
        <v>320</v>
      </c>
      <c r="E233" s="2">
        <v>11.279299999999999</v>
      </c>
      <c r="F233" s="2">
        <v>10.513500000000001</v>
      </c>
      <c r="G233" s="2">
        <v>13.9506</v>
      </c>
      <c r="H233" s="2">
        <v>2.7648000000000001</v>
      </c>
      <c r="I233" s="2">
        <v>2.1943999999999999</v>
      </c>
      <c r="J233">
        <f>0.626069806072417*(100)</f>
        <v>62.606980607241702</v>
      </c>
      <c r="K233">
        <f>0.1907*(100)</f>
        <v>19.07</v>
      </c>
      <c r="L233" s="2">
        <v>4.6759000000000004</v>
      </c>
      <c r="M233" s="2">
        <v>1.3929</v>
      </c>
      <c r="N233" s="2">
        <v>2.2713000000000001</v>
      </c>
      <c r="O233" s="2">
        <v>0.65359999999999996</v>
      </c>
      <c r="P233" s="2">
        <v>5.9751000000000003</v>
      </c>
      <c r="Q233" s="2">
        <v>4.5529999999999999</v>
      </c>
      <c r="R233" s="2">
        <v>-3.4840653963319261</v>
      </c>
      <c r="S233" s="2">
        <v>8.8613</v>
      </c>
      <c r="T233" s="2">
        <v>11.792299999999999</v>
      </c>
      <c r="U233" s="2">
        <v>34.701700000000002</v>
      </c>
      <c r="V233" s="2">
        <v>16.71562898045384</v>
      </c>
      <c r="W233" s="2">
        <v>2.2937531805140541</v>
      </c>
      <c r="X233" s="2">
        <v>115.7</v>
      </c>
      <c r="Y233" s="2">
        <v>10.55</v>
      </c>
      <c r="Z233" s="4">
        <v>2.2999999999999998</v>
      </c>
      <c r="AA233" s="4">
        <v>10.100000000000001</v>
      </c>
      <c r="AB233" s="2">
        <v>2.5</v>
      </c>
      <c r="AC233" s="2">
        <v>16.100000000000001</v>
      </c>
      <c r="AD233" s="2">
        <v>2.4000000000000057</v>
      </c>
      <c r="AE233" s="2">
        <v>1</v>
      </c>
    </row>
    <row r="234" spans="1:31" x14ac:dyDescent="0.25">
      <c r="A234" s="2" t="s">
        <v>60</v>
      </c>
      <c r="B234" s="2">
        <v>2020</v>
      </c>
      <c r="C234" s="2" t="s">
        <v>210</v>
      </c>
      <c r="D234" s="2" t="s">
        <v>311</v>
      </c>
      <c r="E234" s="2">
        <v>2.7010999999999998</v>
      </c>
      <c r="F234" s="2">
        <v>5.5156999999999998</v>
      </c>
      <c r="G234" s="2">
        <v>4.2031999999999998</v>
      </c>
      <c r="H234" s="2">
        <v>1.7357</v>
      </c>
      <c r="I234" s="2">
        <v>0.63800000000000001</v>
      </c>
      <c r="J234">
        <f>0.0722284499968462*(100)</f>
        <v>7.2228449996846207</v>
      </c>
      <c r="K234">
        <f>-0.038*(100)</f>
        <v>-3.8</v>
      </c>
      <c r="L234" s="2">
        <v>0.75449999999999995</v>
      </c>
      <c r="M234" s="2">
        <v>0.55659999999999998</v>
      </c>
      <c r="N234" s="2">
        <v>88.517700000000005</v>
      </c>
      <c r="O234" s="2">
        <v>0.49340000000000001</v>
      </c>
      <c r="P234" s="2">
        <v>15.9633</v>
      </c>
      <c r="Q234" s="2">
        <v>6.2023000000000001</v>
      </c>
      <c r="R234" s="2">
        <v>-30.40709825483912</v>
      </c>
      <c r="S234" s="2">
        <v>11.9863</v>
      </c>
      <c r="T234" s="2">
        <v>5.6264000000000003</v>
      </c>
      <c r="U234" s="2">
        <v>77.316599999999994</v>
      </c>
      <c r="V234" s="2">
        <v>25.885630180193996</v>
      </c>
      <c r="W234" s="2">
        <v>29.353717783477389</v>
      </c>
      <c r="X234" s="2">
        <v>124.42</v>
      </c>
      <c r="Y234" s="2">
        <v>-6.3</v>
      </c>
      <c r="Z234" s="4">
        <v>2.2999999999999998</v>
      </c>
      <c r="AA234" s="4">
        <v>10.100000000000001</v>
      </c>
      <c r="AB234" s="2">
        <v>2.5</v>
      </c>
      <c r="AC234" s="2">
        <v>16.100000000000001</v>
      </c>
      <c r="AD234" s="2">
        <v>2.7000000000000028</v>
      </c>
      <c r="AE234" s="2">
        <v>1</v>
      </c>
    </row>
    <row r="235" spans="1:31" x14ac:dyDescent="0.25">
      <c r="A235" s="2" t="s">
        <v>79</v>
      </c>
      <c r="B235" s="2">
        <v>2020</v>
      </c>
      <c r="C235" s="2" t="s">
        <v>223</v>
      </c>
      <c r="D235" s="2" t="s">
        <v>321</v>
      </c>
      <c r="E235" s="2">
        <v>-26.355499999999999</v>
      </c>
      <c r="F235" s="2">
        <v>-259.79719999999998</v>
      </c>
      <c r="G235" s="2">
        <v>-192.9229</v>
      </c>
      <c r="H235" s="2">
        <v>0.85960000000000003</v>
      </c>
      <c r="I235" s="2">
        <v>0.5867</v>
      </c>
      <c r="J235">
        <f>0.133262483412458*(100)</f>
        <v>13.326248341245799</v>
      </c>
      <c r="K235">
        <f>-0.1161*(100)</f>
        <v>-11.61</v>
      </c>
      <c r="L235" s="2">
        <v>0.75939999999999996</v>
      </c>
      <c r="M235" s="2">
        <v>0.24229999999999999</v>
      </c>
      <c r="N235" s="2">
        <v>0.94669999999999999</v>
      </c>
      <c r="O235" s="2">
        <v>0.1487</v>
      </c>
      <c r="P235" s="2">
        <v>0.9194</v>
      </c>
      <c r="Q235" s="2">
        <v>-69.925799999999995</v>
      </c>
      <c r="R235" s="2">
        <v>-1175.4955786132939</v>
      </c>
      <c r="S235" s="2">
        <v>-29.706700000000001</v>
      </c>
      <c r="T235" s="2">
        <v>-112.4735</v>
      </c>
      <c r="U235" s="2">
        <v>87.838399999999993</v>
      </c>
      <c r="V235" s="2">
        <v>10.410653286108811</v>
      </c>
      <c r="W235" s="2">
        <v>-0.10585538509361553</v>
      </c>
      <c r="X235" s="2">
        <v>108.87</v>
      </c>
      <c r="Y235" s="2">
        <v>-56.610000000000007</v>
      </c>
      <c r="Z235" s="4">
        <v>2.2999999999999998</v>
      </c>
      <c r="AA235" s="4">
        <v>10.100000000000001</v>
      </c>
      <c r="AB235" s="2">
        <v>2.5</v>
      </c>
      <c r="AC235" s="2">
        <v>16.100000000000001</v>
      </c>
      <c r="AD235" s="2">
        <v>-0.90000000000000568</v>
      </c>
      <c r="AE235" s="2">
        <v>1</v>
      </c>
    </row>
    <row r="236" spans="1:31" x14ac:dyDescent="0.25">
      <c r="A236" s="2" t="s">
        <v>90</v>
      </c>
      <c r="B236" s="2">
        <v>2020</v>
      </c>
      <c r="C236" s="2" t="s">
        <v>230</v>
      </c>
      <c r="D236" s="2" t="s">
        <v>312</v>
      </c>
      <c r="E236" s="2">
        <v>-21.255700000000001</v>
      </c>
      <c r="F236" s="2">
        <v>-174.51840000000001</v>
      </c>
      <c r="G236" s="2">
        <v>-108.3339</v>
      </c>
      <c r="H236" s="2">
        <v>0.38979999999999998</v>
      </c>
      <c r="I236" s="2">
        <v>0.32779999999999998</v>
      </c>
      <c r="J236">
        <f>0.0514678164614362*(100)</f>
        <v>5.1467816461436202</v>
      </c>
      <c r="K236">
        <f>-0.0584*(100)</f>
        <v>-5.84</v>
      </c>
      <c r="L236" s="2">
        <v>3.8247</v>
      </c>
      <c r="M236" s="2">
        <v>0.57599999999999996</v>
      </c>
      <c r="N236" s="2">
        <v>1.4358</v>
      </c>
      <c r="O236" s="2">
        <v>0.2296</v>
      </c>
      <c r="P236" s="2">
        <v>3.9260999999999999</v>
      </c>
      <c r="Q236" s="2">
        <v>-33.407800000000002</v>
      </c>
      <c r="R236" s="2">
        <v>-4068.0852786151891</v>
      </c>
      <c r="S236" s="2">
        <v>-33.436700000000002</v>
      </c>
      <c r="T236" s="2">
        <v>-103.7124</v>
      </c>
      <c r="U236" s="2">
        <v>93.760800000000003</v>
      </c>
      <c r="V236" s="2">
        <v>10.309058452142155</v>
      </c>
      <c r="W236" s="2">
        <v>-4.7097526402627078E-2</v>
      </c>
      <c r="X236" s="2">
        <v>101.13</v>
      </c>
      <c r="Y236" s="2">
        <v>-18.989999999999998</v>
      </c>
      <c r="Z236" s="4">
        <v>2.2999999999999998</v>
      </c>
      <c r="AA236" s="4">
        <v>10.100000000000001</v>
      </c>
      <c r="AB236" s="2">
        <v>2.5</v>
      </c>
      <c r="AC236" s="2">
        <v>16.100000000000001</v>
      </c>
      <c r="AD236" s="2">
        <v>-0.90000000000000568</v>
      </c>
      <c r="AE236" s="2">
        <v>1</v>
      </c>
    </row>
    <row r="237" spans="1:31" x14ac:dyDescent="0.25">
      <c r="A237" s="2" t="s">
        <v>72</v>
      </c>
      <c r="B237" s="2">
        <v>2020</v>
      </c>
      <c r="C237" s="2" t="s">
        <v>218</v>
      </c>
      <c r="D237" s="2" t="s">
        <v>322</v>
      </c>
      <c r="E237" s="2">
        <v>-30.435300000000002</v>
      </c>
      <c r="F237" s="2">
        <v>-105.755</v>
      </c>
      <c r="G237" s="2">
        <v>-286.2955</v>
      </c>
      <c r="H237" s="2">
        <v>1.1393</v>
      </c>
      <c r="I237" s="2">
        <v>0.32850000000000001</v>
      </c>
      <c r="J237">
        <f>0.00690407783154899*(100)</f>
        <v>0.69040778315489904</v>
      </c>
      <c r="K237">
        <f>-0.0019*(100)</f>
        <v>-0.19</v>
      </c>
      <c r="L237" s="2">
        <v>0.19739999999999999</v>
      </c>
      <c r="M237" s="2">
        <v>0.13400000000000001</v>
      </c>
      <c r="N237" s="2">
        <v>2.3843000000000001</v>
      </c>
      <c r="O237" s="2">
        <v>0.1193</v>
      </c>
      <c r="P237" s="2">
        <v>0.44209999999999999</v>
      </c>
      <c r="Q237" s="2">
        <v>-89.436000000000007</v>
      </c>
      <c r="R237" s="2">
        <v>-191.00364076528589</v>
      </c>
      <c r="S237" s="2">
        <v>-27.735800000000001</v>
      </c>
      <c r="T237" s="2">
        <v>-69.111500000000007</v>
      </c>
      <c r="U237" s="2">
        <v>81.3249</v>
      </c>
      <c r="V237" s="2">
        <v>3.5479426339433804</v>
      </c>
      <c r="W237" s="2">
        <v>3.1354242880694319</v>
      </c>
      <c r="X237" s="2">
        <v>217.26</v>
      </c>
      <c r="Y237" s="2">
        <v>-1.1100000000000001</v>
      </c>
      <c r="Z237" s="4">
        <v>2.2999999999999998</v>
      </c>
      <c r="AA237" s="4">
        <v>10.100000000000001</v>
      </c>
      <c r="AB237" s="2">
        <v>2.5</v>
      </c>
      <c r="AC237" s="2">
        <v>16.100000000000001</v>
      </c>
      <c r="AD237" s="2">
        <v>-0.90000000000000568</v>
      </c>
      <c r="AE237" s="2">
        <v>1</v>
      </c>
    </row>
    <row r="238" spans="1:31" x14ac:dyDescent="0.25">
      <c r="A238" s="2" t="s">
        <v>70</v>
      </c>
      <c r="B238" s="2">
        <v>2020</v>
      </c>
      <c r="C238" s="2" t="s">
        <v>217</v>
      </c>
      <c r="D238" s="2" t="s">
        <v>311</v>
      </c>
      <c r="E238" s="2">
        <v>8.0446000000000009</v>
      </c>
      <c r="F238" s="2">
        <v>10.479699999999999</v>
      </c>
      <c r="G238" s="2">
        <v>4.1292</v>
      </c>
      <c r="H238" s="2">
        <v>2.6002000000000001</v>
      </c>
      <c r="I238" s="2">
        <v>1.7766</v>
      </c>
      <c r="J238">
        <f>0.0866124165322522*(100)</f>
        <v>8.6612416532252201</v>
      </c>
      <c r="K238">
        <f>0.0503*(100)</f>
        <v>5.0299999999999994</v>
      </c>
      <c r="L238" s="2">
        <v>4.9939999999999998</v>
      </c>
      <c r="M238" s="2">
        <v>1.7237</v>
      </c>
      <c r="N238" s="2">
        <v>34.981400000000001</v>
      </c>
      <c r="O238" s="2">
        <v>1.6265000000000001</v>
      </c>
      <c r="P238" s="2">
        <v>6.8921000000000001</v>
      </c>
      <c r="Q238" s="2">
        <v>6.5587</v>
      </c>
      <c r="R238" s="2">
        <v>-8.5417728180237678</v>
      </c>
      <c r="S238" s="2">
        <v>5.7039</v>
      </c>
      <c r="T238" s="2">
        <v>11.0604</v>
      </c>
      <c r="U238" s="2">
        <v>48.157299999999999</v>
      </c>
      <c r="V238" s="2">
        <v>11.79053367780836</v>
      </c>
      <c r="W238" s="2">
        <v>12.210544554021867</v>
      </c>
      <c r="X238" s="2">
        <v>98.240000000000009</v>
      </c>
      <c r="Y238" s="2">
        <v>1.53</v>
      </c>
      <c r="Z238" s="4">
        <v>2.2999999999999998</v>
      </c>
      <c r="AA238" s="4">
        <v>10.100000000000001</v>
      </c>
      <c r="AB238" s="2">
        <v>2.5</v>
      </c>
      <c r="AC238" s="2">
        <v>16.100000000000001</v>
      </c>
      <c r="AD238" s="2">
        <v>2.7000000000000028</v>
      </c>
      <c r="AE238" s="2">
        <v>1</v>
      </c>
    </row>
    <row r="239" spans="1:31" x14ac:dyDescent="0.25">
      <c r="A239" s="2" t="s">
        <v>73</v>
      </c>
      <c r="B239" s="2">
        <v>2020</v>
      </c>
      <c r="C239" s="2" t="s">
        <v>219</v>
      </c>
      <c r="D239" s="2" t="s">
        <v>323</v>
      </c>
      <c r="E239" s="2">
        <v>4.7491000000000003</v>
      </c>
      <c r="F239" s="2">
        <v>-45.003829500000023</v>
      </c>
      <c r="G239" s="2">
        <v>-4.4089999999999998</v>
      </c>
      <c r="H239" s="2">
        <v>0.26669999999999999</v>
      </c>
      <c r="I239" s="2">
        <v>0.21829999999999999</v>
      </c>
      <c r="J239">
        <f>0.103201905391768*(100)</f>
        <v>10.320190539176801</v>
      </c>
      <c r="K239">
        <f>0.0276*(100)</f>
        <v>2.76</v>
      </c>
      <c r="L239" s="2">
        <v>4.7751000000000001</v>
      </c>
      <c r="M239" s="2">
        <v>1.0553999999999999</v>
      </c>
      <c r="N239" s="2">
        <v>0.40739999999999998</v>
      </c>
      <c r="O239" s="2">
        <v>0.23799999999999999</v>
      </c>
      <c r="P239" s="2">
        <v>11.950200000000001</v>
      </c>
      <c r="Q239" s="2">
        <v>-53.030200000000001</v>
      </c>
      <c r="R239" s="2">
        <v>90.830887885380534</v>
      </c>
      <c r="S239" s="2">
        <v>-2.3127</v>
      </c>
      <c r="T239" s="2">
        <v>-10.457000000000001</v>
      </c>
      <c r="U239" s="2">
        <v>113.764</v>
      </c>
      <c r="V239" s="2">
        <v>29.243409935234883</v>
      </c>
      <c r="W239" s="2">
        <v>-0.42459704177548718</v>
      </c>
      <c r="X239" s="2">
        <v>83.12</v>
      </c>
      <c r="Y239" s="2">
        <v>13.05</v>
      </c>
      <c r="Z239" s="4">
        <v>2.2999999999999998</v>
      </c>
      <c r="AA239" s="4">
        <v>10.100000000000001</v>
      </c>
      <c r="AB239" s="2">
        <v>2.5</v>
      </c>
      <c r="AC239" s="2">
        <v>16.100000000000001</v>
      </c>
      <c r="AD239" s="2">
        <v>2.4000000000000057</v>
      </c>
      <c r="AE239" s="2">
        <v>1</v>
      </c>
    </row>
    <row r="240" spans="1:31" x14ac:dyDescent="0.25">
      <c r="A240" s="2" t="s">
        <v>35</v>
      </c>
      <c r="B240" s="2">
        <v>2020</v>
      </c>
      <c r="C240" s="2" t="s">
        <v>188</v>
      </c>
      <c r="D240" s="2" t="s">
        <v>302</v>
      </c>
      <c r="E240" s="2">
        <v>-4.9112999999999998</v>
      </c>
      <c r="F240" s="2">
        <v>-45.003829500000023</v>
      </c>
      <c r="G240" s="2">
        <v>-68.036699999999996</v>
      </c>
      <c r="H240" s="2">
        <v>1.1214999999999999</v>
      </c>
      <c r="I240" s="2">
        <v>0.52329999999999999</v>
      </c>
      <c r="J240">
        <f>0.0123420049902012*(100)</f>
        <v>1.2342004990201201</v>
      </c>
      <c r="K240">
        <f>0.0431*(100)</f>
        <v>4.3099999999999996</v>
      </c>
      <c r="L240" s="2">
        <v>0.30599999999999999</v>
      </c>
      <c r="M240" s="2">
        <v>0.18060000000000001</v>
      </c>
      <c r="N240" s="2">
        <v>1.3661000000000001</v>
      </c>
      <c r="O240" s="2">
        <v>0.1313</v>
      </c>
      <c r="P240" s="2">
        <v>2.3321000000000001</v>
      </c>
      <c r="Q240" s="2">
        <v>-33.113799999999998</v>
      </c>
      <c r="R240" s="2">
        <v>-501.33041808283548</v>
      </c>
      <c r="S240" s="2">
        <v>-12.160399999999999</v>
      </c>
      <c r="T240" s="2">
        <v>-478.4579</v>
      </c>
      <c r="U240" s="2">
        <v>87.514799999999994</v>
      </c>
      <c r="V240" s="2">
        <v>23.175871535602855</v>
      </c>
      <c r="W240" s="2">
        <v>-0.59826598000597453</v>
      </c>
      <c r="X240" s="2">
        <v>114.76</v>
      </c>
      <c r="Y240" s="2">
        <v>26.66</v>
      </c>
      <c r="Z240" s="4">
        <v>2.2999999999999998</v>
      </c>
      <c r="AA240" s="4">
        <v>10.100000000000001</v>
      </c>
      <c r="AB240" s="2">
        <v>2.5</v>
      </c>
      <c r="AC240" s="2">
        <v>16.100000000000001</v>
      </c>
      <c r="AD240" s="2">
        <v>-0.90000000000000568</v>
      </c>
      <c r="AE240" s="2">
        <v>1</v>
      </c>
    </row>
    <row r="241" spans="1:31" x14ac:dyDescent="0.25">
      <c r="A241" s="2" t="s">
        <v>87</v>
      </c>
      <c r="B241" s="2">
        <v>2020</v>
      </c>
      <c r="C241" s="2" t="s">
        <v>227</v>
      </c>
      <c r="D241" s="2" t="s">
        <v>321</v>
      </c>
      <c r="E241" s="2">
        <v>-18.036899999999999</v>
      </c>
      <c r="F241" s="2">
        <v>-91.840699999999998</v>
      </c>
      <c r="G241" s="2">
        <v>-71.416700000000006</v>
      </c>
      <c r="H241" s="2">
        <v>0.44750000000000001</v>
      </c>
      <c r="I241" s="2">
        <v>0.37959999999999999</v>
      </c>
      <c r="J241">
        <f>0.178792488924841*(100)</f>
        <v>17.8792488924841</v>
      </c>
      <c r="K241">
        <f>-0.0682*(100)</f>
        <v>-6.8199999999999994</v>
      </c>
      <c r="L241" s="2">
        <v>5.7034000000000002</v>
      </c>
      <c r="M241" s="2">
        <v>0.74150000000000005</v>
      </c>
      <c r="N241" s="2">
        <v>1.3084</v>
      </c>
      <c r="O241" s="2">
        <v>0.31490000000000001</v>
      </c>
      <c r="P241" s="2">
        <v>3.6612</v>
      </c>
      <c r="Q241" s="2">
        <v>-32.354799999999997</v>
      </c>
      <c r="R241" s="2">
        <v>-2000.4927824501949</v>
      </c>
      <c r="S241" s="2">
        <v>-30.453099999999999</v>
      </c>
      <c r="T241" s="2">
        <v>-63.172600000000003</v>
      </c>
      <c r="U241" s="2">
        <v>85.399299999999997</v>
      </c>
      <c r="V241" s="2">
        <v>8.6645929007223987</v>
      </c>
      <c r="W241" s="2">
        <v>0.57527386716767415</v>
      </c>
      <c r="X241" s="2">
        <v>99.1</v>
      </c>
      <c r="Y241" s="2">
        <v>-15.18</v>
      </c>
      <c r="Z241" s="4">
        <v>2.2999999999999998</v>
      </c>
      <c r="AA241" s="4">
        <v>10.100000000000001</v>
      </c>
      <c r="AB241" s="2">
        <v>2.5</v>
      </c>
      <c r="AC241" s="2">
        <v>16.100000000000001</v>
      </c>
      <c r="AD241" s="2">
        <v>-0.90000000000000568</v>
      </c>
      <c r="AE241" s="2">
        <v>1</v>
      </c>
    </row>
    <row r="242" spans="1:31" x14ac:dyDescent="0.25">
      <c r="A242" s="2" t="s">
        <v>66</v>
      </c>
      <c r="B242" s="2">
        <v>2020</v>
      </c>
      <c r="C242" s="2" t="s">
        <v>214</v>
      </c>
      <c r="D242" s="2" t="s">
        <v>319</v>
      </c>
      <c r="E242" s="2">
        <v>-8.7380999999999993</v>
      </c>
      <c r="F242" s="2">
        <v>-36.691800000000001</v>
      </c>
      <c r="G242" s="2">
        <v>-77.241100000000003</v>
      </c>
      <c r="H242" s="2">
        <v>0.75619999999999998</v>
      </c>
      <c r="I242" s="2">
        <v>0.61580000000000001</v>
      </c>
      <c r="J242">
        <f>0.0324180171523095*(100)</f>
        <v>3.2418017152309497</v>
      </c>
      <c r="K242">
        <f>-0.1247*(100)</f>
        <v>-12.47</v>
      </c>
      <c r="L242" s="2">
        <v>0.77680000000000005</v>
      </c>
      <c r="M242" s="2">
        <v>0.34129999999999999</v>
      </c>
      <c r="N242" s="2">
        <v>1.3048</v>
      </c>
      <c r="O242" s="2">
        <v>0.1439</v>
      </c>
      <c r="P242" s="2">
        <v>2.0590999999999999</v>
      </c>
      <c r="Q242" s="2">
        <v>-31.9849</v>
      </c>
      <c r="R242" s="2">
        <v>-797.77728896624569</v>
      </c>
      <c r="S242" s="2">
        <v>-15.158799999999999</v>
      </c>
      <c r="T242" s="2">
        <v>-31.8062</v>
      </c>
      <c r="U242" s="2">
        <v>65.444299999999998</v>
      </c>
      <c r="V242" s="2">
        <v>7.4609514365239358</v>
      </c>
      <c r="W242" s="2">
        <v>1.9308318998248584</v>
      </c>
      <c r="X242" s="2">
        <v>98.79</v>
      </c>
      <c r="Y242" s="2">
        <v>-52.05</v>
      </c>
      <c r="Z242" s="4">
        <v>2.2999999999999998</v>
      </c>
      <c r="AA242" s="4">
        <v>10.100000000000001</v>
      </c>
      <c r="AB242" s="2">
        <v>2.5</v>
      </c>
      <c r="AC242" s="2">
        <v>16.100000000000001</v>
      </c>
      <c r="AD242" s="2">
        <v>-0.90000000000000568</v>
      </c>
      <c r="AE242" s="2">
        <v>1</v>
      </c>
    </row>
    <row r="243" spans="1:31" x14ac:dyDescent="0.25">
      <c r="A243" s="2" t="s">
        <v>71</v>
      </c>
      <c r="B243" s="2">
        <v>2020</v>
      </c>
      <c r="C243" s="2" t="s">
        <v>193</v>
      </c>
      <c r="D243" s="2" t="s">
        <v>298</v>
      </c>
      <c r="E243" s="2">
        <v>-12.777900000000001</v>
      </c>
      <c r="F243" s="2">
        <v>-101.3664</v>
      </c>
      <c r="G243" s="2">
        <v>-94.185599999999994</v>
      </c>
      <c r="H243" s="2">
        <v>1.0706</v>
      </c>
      <c r="I243" s="2">
        <v>0.91249999999999998</v>
      </c>
      <c r="J243">
        <f>0.0671441683227428*(100)</f>
        <v>6.7144168322742797</v>
      </c>
      <c r="K243">
        <f>0.0573*(100)</f>
        <v>5.7299999999999995</v>
      </c>
      <c r="L243" s="2">
        <v>1.5599000000000001</v>
      </c>
      <c r="M243" s="2">
        <v>0.25409999999999999</v>
      </c>
      <c r="N243" s="2">
        <v>1.7931999999999999</v>
      </c>
      <c r="O243" s="2">
        <v>0.17050000000000001</v>
      </c>
      <c r="P243" s="2">
        <v>1.9278</v>
      </c>
      <c r="Q243" s="2">
        <v>-33.262599999999999</v>
      </c>
      <c r="R243" s="2">
        <v>-1289.580827781738</v>
      </c>
      <c r="S243" s="2">
        <v>-5.1210000000000004</v>
      </c>
      <c r="T243" s="2">
        <v>-66.312399999999997</v>
      </c>
      <c r="U243" s="2">
        <v>77.147099999999995</v>
      </c>
      <c r="V243" s="2">
        <v>14.254191372818598</v>
      </c>
      <c r="W243" s="2">
        <v>0.80745777107155192</v>
      </c>
      <c r="X243" s="2">
        <v>124.68</v>
      </c>
      <c r="Y243" s="2">
        <v>25.58</v>
      </c>
      <c r="Z243" s="4">
        <v>2.2999999999999998</v>
      </c>
      <c r="AA243" s="4">
        <v>10.100000000000001</v>
      </c>
      <c r="AB243" s="2">
        <v>2.5</v>
      </c>
      <c r="AC243" s="2">
        <v>16.100000000000001</v>
      </c>
      <c r="AD243" s="2">
        <v>2.4000000000000057</v>
      </c>
      <c r="AE243" s="2">
        <v>1</v>
      </c>
    </row>
    <row r="244" spans="1:31" x14ac:dyDescent="0.25">
      <c r="A244" s="2" t="s">
        <v>31</v>
      </c>
      <c r="B244" s="2">
        <v>2020</v>
      </c>
      <c r="C244" s="2" t="s">
        <v>184</v>
      </c>
      <c r="D244" s="2" t="s">
        <v>295</v>
      </c>
      <c r="E244" s="2">
        <v>-79.454400000000007</v>
      </c>
      <c r="F244" s="2">
        <v>-45.003829500000023</v>
      </c>
      <c r="G244" s="2">
        <v>-2970.4598000000001</v>
      </c>
      <c r="H244" s="2">
        <v>0.55720000000000003</v>
      </c>
      <c r="I244" s="2">
        <v>0.19939999999999999</v>
      </c>
      <c r="J244">
        <f>0.00958044504706886*(100)</f>
        <v>0.95804450470688596</v>
      </c>
      <c r="K244">
        <f>0.0159*(100)</f>
        <v>1.59</v>
      </c>
      <c r="L244" s="2">
        <v>4.4600000000000001E-2</v>
      </c>
      <c r="M244" s="2">
        <v>4.87E-2</v>
      </c>
      <c r="N244" s="2">
        <v>2.4001999999999999</v>
      </c>
      <c r="O244" s="2">
        <v>1.9099999999999999E-2</v>
      </c>
      <c r="P244" s="2">
        <v>0.4133</v>
      </c>
      <c r="Q244" s="2">
        <v>-96.314800000000005</v>
      </c>
      <c r="R244" s="2">
        <v>-24.79199635187911</v>
      </c>
      <c r="S244" s="2">
        <v>-44.295000000000002</v>
      </c>
      <c r="T244" s="2">
        <v>-3527.3569000000002</v>
      </c>
      <c r="U244" s="2">
        <v>216.46809999999999</v>
      </c>
      <c r="V244" s="2">
        <v>112.76319234976131</v>
      </c>
      <c r="W244" s="2">
        <v>-110.00190754818344</v>
      </c>
      <c r="X244" s="2">
        <v>242.25</v>
      </c>
      <c r="Y244" s="2">
        <v>129.27000000000001</v>
      </c>
      <c r="Z244" s="4">
        <v>2.2999999999999998</v>
      </c>
      <c r="AA244" s="4">
        <v>10.100000000000001</v>
      </c>
      <c r="AB244" s="2">
        <v>2.5</v>
      </c>
      <c r="AC244" s="2">
        <v>16.100000000000001</v>
      </c>
      <c r="AD244" s="2">
        <v>1.2999999999999972</v>
      </c>
      <c r="AE244" s="2">
        <v>1</v>
      </c>
    </row>
    <row r="245" spans="1:31" x14ac:dyDescent="0.25">
      <c r="A245" s="2" t="s">
        <v>48</v>
      </c>
      <c r="B245" s="2">
        <v>2020</v>
      </c>
      <c r="C245" s="2" t="s">
        <v>200</v>
      </c>
      <c r="D245" s="2" t="s">
        <v>308</v>
      </c>
      <c r="E245" s="2">
        <v>0.99</v>
      </c>
      <c r="F245" s="2">
        <v>-2.2953999999999999</v>
      </c>
      <c r="G245" s="2">
        <v>-4.4279000000000002</v>
      </c>
      <c r="H245" s="2">
        <v>1.0980000000000001</v>
      </c>
      <c r="I245" s="2">
        <v>0.66110000000000002</v>
      </c>
      <c r="J245">
        <f>0.049564046824315*(100)</f>
        <v>4.9564046824314998</v>
      </c>
      <c r="K245">
        <f>-0.2046*(100)</f>
        <v>-20.46</v>
      </c>
      <c r="L245" s="2">
        <v>1.0522</v>
      </c>
      <c r="M245" s="2">
        <v>0.55630000000000002</v>
      </c>
      <c r="N245" s="2">
        <v>1.3449</v>
      </c>
      <c r="O245" s="2">
        <v>0.30809999999999998</v>
      </c>
      <c r="P245" s="2">
        <v>2.1135000000000002</v>
      </c>
      <c r="Q245" s="2">
        <v>-29.148800000000001</v>
      </c>
      <c r="R245" s="2">
        <v>-149.0542548529678</v>
      </c>
      <c r="S245" s="2">
        <v>-9.3428000000000004</v>
      </c>
      <c r="T245" s="2">
        <v>-6.9432999999999998</v>
      </c>
      <c r="U245" s="2">
        <v>51.9649</v>
      </c>
      <c r="V245" s="2">
        <v>1.3925661102451878</v>
      </c>
      <c r="W245" s="2">
        <v>2.0348600124144016</v>
      </c>
      <c r="X245" s="2">
        <v>97.66</v>
      </c>
      <c r="Y245" s="2">
        <v>-32.83</v>
      </c>
      <c r="Z245" s="4">
        <v>2.2999999999999998</v>
      </c>
      <c r="AA245" s="4">
        <v>10.100000000000001</v>
      </c>
      <c r="AB245" s="2">
        <v>2.5</v>
      </c>
      <c r="AC245" s="2">
        <v>16.100000000000001</v>
      </c>
      <c r="AD245" s="2">
        <v>-0.90000000000000568</v>
      </c>
      <c r="AE245" s="2">
        <v>1</v>
      </c>
    </row>
    <row r="246" spans="1:31" x14ac:dyDescent="0.25">
      <c r="A246" s="2" t="s">
        <v>45</v>
      </c>
      <c r="B246" s="2">
        <v>2020</v>
      </c>
      <c r="C246" s="2" t="s">
        <v>197</v>
      </c>
      <c r="D246" s="2" t="s">
        <v>307</v>
      </c>
      <c r="E246" s="2">
        <v>-9.9626000000000001</v>
      </c>
      <c r="F246" s="2">
        <v>-45.003829500000023</v>
      </c>
      <c r="G246" s="2">
        <v>-304.32409999999999</v>
      </c>
      <c r="H246" s="2">
        <v>0.69079999999999997</v>
      </c>
      <c r="I246" s="2">
        <v>0.6734</v>
      </c>
      <c r="J246">
        <f>0.00336133920820137*(100)</f>
        <v>0.33613392082013699</v>
      </c>
      <c r="K246">
        <f>-0.0065*(100)</f>
        <v>-0.65</v>
      </c>
      <c r="L246" s="2">
        <v>1.7563</v>
      </c>
      <c r="M246" s="2">
        <v>8.7099999999999997E-2</v>
      </c>
      <c r="N246" s="2">
        <v>0.26029999999999998</v>
      </c>
      <c r="O246" s="2">
        <v>4.5100000000000001E-2</v>
      </c>
      <c r="P246" s="2">
        <v>1.1366000000000001</v>
      </c>
      <c r="Q246" s="2">
        <v>-76.043800000000005</v>
      </c>
      <c r="R246" s="2">
        <v>36.677262807949297</v>
      </c>
      <c r="S246" s="2">
        <v>-20.55</v>
      </c>
      <c r="T246" s="2">
        <v>-226.51169999999999</v>
      </c>
      <c r="U246" s="2">
        <v>100.703</v>
      </c>
      <c r="V246" s="2">
        <v>12.429343529048971</v>
      </c>
      <c r="W246" s="2">
        <v>-0.48482845099562522</v>
      </c>
      <c r="X246" s="2">
        <v>60.94</v>
      </c>
      <c r="Y246" s="2">
        <v>-12.91</v>
      </c>
      <c r="Z246" s="4">
        <v>2.2999999999999998</v>
      </c>
      <c r="AA246" s="4">
        <v>10.100000000000001</v>
      </c>
      <c r="AB246" s="2">
        <v>2.5</v>
      </c>
      <c r="AC246" s="2">
        <v>16.100000000000001</v>
      </c>
      <c r="AD246" s="2">
        <v>-0.90000000000000568</v>
      </c>
      <c r="AE246" s="2">
        <v>1</v>
      </c>
    </row>
    <row r="247" spans="1:31" x14ac:dyDescent="0.25">
      <c r="A247" s="2" t="s">
        <v>50</v>
      </c>
      <c r="B247" s="2">
        <v>2020</v>
      </c>
      <c r="C247" s="2" t="s">
        <v>201</v>
      </c>
      <c r="D247" s="2" t="s">
        <v>309</v>
      </c>
      <c r="E247" s="2">
        <v>-13.755100000000001</v>
      </c>
      <c r="F247" s="2">
        <v>-64.527299999999997</v>
      </c>
      <c r="G247" s="2">
        <v>-947.08759999999995</v>
      </c>
      <c r="H247" s="2">
        <v>0.2132</v>
      </c>
      <c r="I247" s="2">
        <v>0.18970000000000001</v>
      </c>
      <c r="J247">
        <f>0.0083695229914374*(100)</f>
        <v>0.83695229914374003</v>
      </c>
      <c r="K247">
        <f>-0.0083*(100)</f>
        <v>-0.83</v>
      </c>
      <c r="L247" s="2">
        <v>3.7343000000000002</v>
      </c>
      <c r="M247" s="2">
        <v>0.1227</v>
      </c>
      <c r="N247" s="2">
        <v>0.1147</v>
      </c>
      <c r="O247" s="2">
        <v>1.9E-2</v>
      </c>
      <c r="P247" s="2">
        <v>0.28320000000000001</v>
      </c>
      <c r="Q247" s="2">
        <v>-89.364000000000004</v>
      </c>
      <c r="R247" s="2">
        <v>-119.5427615973868</v>
      </c>
      <c r="S247" s="2">
        <v>-10.43</v>
      </c>
      <c r="T247" s="2">
        <v>-48.786200000000001</v>
      </c>
      <c r="U247" s="2">
        <v>82.116399999999999</v>
      </c>
      <c r="V247" s="2">
        <v>23.25103422976493</v>
      </c>
      <c r="W247" s="2">
        <v>1.0978064716692522</v>
      </c>
      <c r="X247" s="2">
        <v>219.68</v>
      </c>
      <c r="Y247" s="2">
        <v>-33.79</v>
      </c>
      <c r="Z247" s="4">
        <v>2.2999999999999998</v>
      </c>
      <c r="AA247" s="4">
        <v>10.100000000000001</v>
      </c>
      <c r="AB247" s="2">
        <v>2.5</v>
      </c>
      <c r="AC247" s="2">
        <v>16.100000000000001</v>
      </c>
      <c r="AD247" s="2">
        <v>2.7000000000000028</v>
      </c>
      <c r="AE247" s="2">
        <v>1</v>
      </c>
    </row>
    <row r="248" spans="1:31" x14ac:dyDescent="0.25">
      <c r="A248" s="2" t="s">
        <v>62</v>
      </c>
      <c r="B248" s="2">
        <v>2020</v>
      </c>
      <c r="C248" s="2" t="s">
        <v>211</v>
      </c>
      <c r="D248" s="2" t="s">
        <v>317</v>
      </c>
      <c r="E248" s="2">
        <v>-35.553800000000003</v>
      </c>
      <c r="F248" s="2">
        <v>-284.24540000000002</v>
      </c>
      <c r="G248" s="2">
        <v>-58.013500000000001</v>
      </c>
      <c r="H248" s="2">
        <v>0.83</v>
      </c>
      <c r="I248" s="2">
        <v>0.53959999999999997</v>
      </c>
      <c r="J248">
        <f>0.0542944516739437*(100)</f>
        <v>5.4294451673943698</v>
      </c>
      <c r="K248">
        <f>-0.0113*(100)</f>
        <v>-1.1299999999999999</v>
      </c>
      <c r="L248" s="2">
        <v>1.9386000000000001</v>
      </c>
      <c r="M248" s="2">
        <v>0.75600000000000001</v>
      </c>
      <c r="N248" s="2">
        <v>4.7869000000000002</v>
      </c>
      <c r="O248" s="2">
        <v>0.56740000000000002</v>
      </c>
      <c r="P248" s="2">
        <v>373.9649</v>
      </c>
      <c r="Q248" s="2">
        <v>-41.827500000000001</v>
      </c>
      <c r="R248" s="2">
        <v>-3380.0154859222889</v>
      </c>
      <c r="S248" s="2">
        <v>-13.535399999999999</v>
      </c>
      <c r="T248" s="2">
        <v>-117.24169999999999</v>
      </c>
      <c r="U248" s="2">
        <v>106.2912</v>
      </c>
      <c r="V248" s="2">
        <v>17.741972734675659</v>
      </c>
      <c r="W248" s="2">
        <v>-0.49865849032108894</v>
      </c>
      <c r="X248" s="2">
        <v>101.12</v>
      </c>
      <c r="Y248" s="2">
        <v>-1.96</v>
      </c>
      <c r="Z248" s="4">
        <v>2.2999999999999998</v>
      </c>
      <c r="AA248" s="4">
        <v>10.100000000000001</v>
      </c>
      <c r="AB248" s="2">
        <v>2.5</v>
      </c>
      <c r="AC248" s="2">
        <v>16.100000000000001</v>
      </c>
      <c r="AD248" s="2">
        <v>2.4000000000000057</v>
      </c>
      <c r="AE248" s="2">
        <v>1</v>
      </c>
    </row>
    <row r="249" spans="1:31" x14ac:dyDescent="0.25">
      <c r="A249" s="2" t="s">
        <v>64</v>
      </c>
      <c r="B249" s="2">
        <v>2020</v>
      </c>
      <c r="C249" s="2" t="s">
        <v>212</v>
      </c>
      <c r="D249" s="2" t="s">
        <v>311</v>
      </c>
      <c r="E249" s="2">
        <v>-3.2397</v>
      </c>
      <c r="F249" s="2">
        <v>-33.496099999999998</v>
      </c>
      <c r="G249" s="2">
        <v>-68.007599999999996</v>
      </c>
      <c r="H249" s="2">
        <v>1.1827000000000001</v>
      </c>
      <c r="I249" s="2">
        <v>1.071</v>
      </c>
      <c r="J249">
        <f>0.0137657041336821*(100)</f>
        <v>1.37657041336821</v>
      </c>
      <c r="K249">
        <f>-0.115*(100)</f>
        <v>-11.5</v>
      </c>
      <c r="L249" s="2">
        <v>0.89490000000000003</v>
      </c>
      <c r="M249" s="2">
        <v>0.11550000000000001</v>
      </c>
      <c r="N249" s="2">
        <v>7.4653999999999998</v>
      </c>
      <c r="O249" s="2">
        <v>9.0300000000000005E-2</v>
      </c>
      <c r="P249" s="2">
        <v>1.0338000000000001</v>
      </c>
      <c r="Q249" s="2">
        <v>-62.576300000000003</v>
      </c>
      <c r="R249" s="2">
        <v>-5733.657438785106</v>
      </c>
      <c r="S249" s="2">
        <v>12.0785</v>
      </c>
      <c r="T249" s="2">
        <v>-27.785699999999999</v>
      </c>
      <c r="U249" s="2">
        <v>81.645499999999998</v>
      </c>
      <c r="V249" s="2">
        <v>7.5473214645406417</v>
      </c>
      <c r="W249" s="2">
        <v>12.255667672408237</v>
      </c>
      <c r="X249" s="2">
        <v>101.8</v>
      </c>
      <c r="Y249" s="2">
        <v>-109.9</v>
      </c>
      <c r="Z249" s="4">
        <v>2.2999999999999998</v>
      </c>
      <c r="AA249" s="4">
        <v>10.100000000000001</v>
      </c>
      <c r="AB249" s="2">
        <v>2.5</v>
      </c>
      <c r="AC249" s="2">
        <v>16.100000000000001</v>
      </c>
      <c r="AD249" s="2">
        <v>2.7000000000000028</v>
      </c>
      <c r="AE249" s="2">
        <v>1</v>
      </c>
    </row>
    <row r="250" spans="1:31" x14ac:dyDescent="0.25">
      <c r="A250" s="2" t="s">
        <v>76</v>
      </c>
      <c r="B250" s="2">
        <v>2020</v>
      </c>
      <c r="C250" s="2" t="s">
        <v>199</v>
      </c>
      <c r="D250" s="2" t="s">
        <v>295</v>
      </c>
      <c r="E250" s="2">
        <v>0.4007</v>
      </c>
      <c r="F250" s="2">
        <v>2.4447000000000001</v>
      </c>
      <c r="G250" s="2">
        <v>1.5684</v>
      </c>
      <c r="H250" s="2">
        <v>1.2034</v>
      </c>
      <c r="I250" s="2">
        <v>0.19969999999999999</v>
      </c>
      <c r="J250">
        <f>0.0907580247328456*(100)</f>
        <v>9.0758024732845595</v>
      </c>
      <c r="K250">
        <f>0.1239*(100)</f>
        <v>12.389999999999999</v>
      </c>
      <c r="L250" s="2">
        <v>0.1236</v>
      </c>
      <c r="M250" s="2">
        <v>0.1239</v>
      </c>
      <c r="N250" s="2">
        <v>6.5419</v>
      </c>
      <c r="O250" s="2">
        <v>0.1011</v>
      </c>
      <c r="P250" s="2">
        <v>17.782399999999999</v>
      </c>
      <c r="Q250" s="2">
        <v>-23.767399999999999</v>
      </c>
      <c r="R250" s="2">
        <v>-81.383024322324701</v>
      </c>
      <c r="S250" s="2">
        <v>-7.7436999999999996</v>
      </c>
      <c r="T250" s="2">
        <v>6.7256999999999998</v>
      </c>
      <c r="U250" s="2">
        <v>84.951999999999998</v>
      </c>
      <c r="V250" s="2">
        <v>19.671287043475356</v>
      </c>
      <c r="W250" s="2">
        <v>5.5222670072745901</v>
      </c>
      <c r="X250" s="2">
        <v>186.61</v>
      </c>
      <c r="Y250" s="2">
        <v>99.97</v>
      </c>
      <c r="Z250" s="4">
        <v>2.2999999999999998</v>
      </c>
      <c r="AA250" s="4">
        <v>10.100000000000001</v>
      </c>
      <c r="AB250" s="2">
        <v>2.5</v>
      </c>
      <c r="AC250" s="2">
        <v>16.100000000000001</v>
      </c>
      <c r="AD250" s="2">
        <v>1.2999999999999972</v>
      </c>
      <c r="AE250" s="2">
        <v>1</v>
      </c>
    </row>
    <row r="251" spans="1:31" x14ac:dyDescent="0.25">
      <c r="A251" s="2" t="s">
        <v>51</v>
      </c>
      <c r="B251" s="2">
        <v>2020</v>
      </c>
      <c r="C251" s="2" t="s">
        <v>202</v>
      </c>
      <c r="D251" s="2" t="s">
        <v>310</v>
      </c>
      <c r="E251" s="2">
        <v>2.8900999999999999</v>
      </c>
      <c r="F251" s="2">
        <v>0.3584</v>
      </c>
      <c r="G251" s="2">
        <v>0.5252</v>
      </c>
      <c r="H251" s="2">
        <v>1.0038</v>
      </c>
      <c r="I251" s="2">
        <v>0.69620000000000004</v>
      </c>
      <c r="J251">
        <f>0.240095620096724*(100)</f>
        <v>24.009562009672401</v>
      </c>
      <c r="K251">
        <f>-0.0158*(100)</f>
        <v>-1.58</v>
      </c>
      <c r="L251" s="2">
        <v>0.85360000000000003</v>
      </c>
      <c r="M251" s="2">
        <v>0.35520000000000002</v>
      </c>
      <c r="N251" s="2">
        <v>4.3800999999999997</v>
      </c>
      <c r="O251" s="2">
        <v>0.14119999999999999</v>
      </c>
      <c r="P251" s="2">
        <v>2.6718999999999999</v>
      </c>
      <c r="Q251" s="2">
        <v>-28.292000000000002</v>
      </c>
      <c r="R251" s="2">
        <v>-93.973660697732768</v>
      </c>
      <c r="S251" s="2">
        <v>8.9190000000000005</v>
      </c>
      <c r="T251" s="2">
        <v>-0.9617</v>
      </c>
      <c r="U251" s="2">
        <v>60.535200000000003</v>
      </c>
      <c r="V251" s="2">
        <v>24.589434926680553</v>
      </c>
      <c r="W251" s="2">
        <v>11.496914206167476</v>
      </c>
      <c r="X251" s="2">
        <v>97.41</v>
      </c>
      <c r="Y251" s="2">
        <v>-7.06</v>
      </c>
      <c r="Z251" s="4">
        <v>2.2999999999999998</v>
      </c>
      <c r="AA251" s="4">
        <v>10.100000000000001</v>
      </c>
      <c r="AB251" s="2">
        <v>2.5</v>
      </c>
      <c r="AC251" s="2">
        <v>16.100000000000001</v>
      </c>
      <c r="AD251" s="2">
        <v>2.4000000000000057</v>
      </c>
      <c r="AE251" s="2">
        <v>1</v>
      </c>
    </row>
    <row r="252" spans="1:31" x14ac:dyDescent="0.25">
      <c r="A252" s="2" t="s">
        <v>82</v>
      </c>
      <c r="B252" s="2">
        <v>2020</v>
      </c>
      <c r="C252" s="2" t="s">
        <v>208</v>
      </c>
      <c r="D252" s="2" t="s">
        <v>315</v>
      </c>
      <c r="E252" s="2">
        <v>-5.5709</v>
      </c>
      <c r="F252" s="2">
        <v>-22.3248</v>
      </c>
      <c r="G252" s="2">
        <v>-21.579699999999999</v>
      </c>
      <c r="H252" s="2">
        <v>1.1972</v>
      </c>
      <c r="I252" s="2">
        <v>0.97419999999999995</v>
      </c>
      <c r="J252">
        <f>0.0528489979840667*(100)</f>
        <v>5.2848997984066699</v>
      </c>
      <c r="K252">
        <f>0.0261*(100)</f>
        <v>2.6100000000000003</v>
      </c>
      <c r="L252" s="2">
        <v>2.1920999999999999</v>
      </c>
      <c r="M252" s="2">
        <v>0.48139999999999999</v>
      </c>
      <c r="N252" s="2">
        <v>14.214600000000001</v>
      </c>
      <c r="O252" s="2">
        <v>0.31040000000000001</v>
      </c>
      <c r="P252" s="2">
        <v>1.1053999999999999</v>
      </c>
      <c r="Q252" s="2">
        <v>-24.719899999999999</v>
      </c>
      <c r="R252" s="2">
        <v>-360.78257752860009</v>
      </c>
      <c r="S252" s="2">
        <v>-14.5547</v>
      </c>
      <c r="T252" s="2">
        <v>-28.8687</v>
      </c>
      <c r="U252" s="2">
        <v>74.089200000000005</v>
      </c>
      <c r="V252" s="2">
        <v>19.396293266508209</v>
      </c>
      <c r="W252" s="2">
        <v>11.674603577403815</v>
      </c>
      <c r="X252" s="2">
        <v>47.17</v>
      </c>
      <c r="Y252" s="2">
        <v>5.74</v>
      </c>
      <c r="Z252" s="4">
        <v>2.2999999999999998</v>
      </c>
      <c r="AA252" s="4">
        <v>10.100000000000001</v>
      </c>
      <c r="AB252" s="2">
        <v>2.5</v>
      </c>
      <c r="AC252" s="2">
        <v>16.100000000000001</v>
      </c>
      <c r="AD252" s="2">
        <v>2.4000000000000057</v>
      </c>
      <c r="AE252" s="2">
        <v>1</v>
      </c>
    </row>
    <row r="253" spans="1:31" x14ac:dyDescent="0.25">
      <c r="A253" s="2" t="s">
        <v>86</v>
      </c>
      <c r="B253" s="2">
        <v>2020</v>
      </c>
      <c r="C253" s="2" t="s">
        <v>226</v>
      </c>
      <c r="D253" s="2" t="s">
        <v>322</v>
      </c>
      <c r="E253" s="2">
        <v>-17.943300000000001</v>
      </c>
      <c r="F253" s="2">
        <v>-183.2192</v>
      </c>
      <c r="G253" s="2">
        <v>-151.27719999999999</v>
      </c>
      <c r="H253" s="2">
        <v>0.74329999999999996</v>
      </c>
      <c r="I253" s="2">
        <v>0.67390000000000005</v>
      </c>
      <c r="J253">
        <f>0.0332420651060371*(100)</f>
        <v>3.3242065106037098</v>
      </c>
      <c r="K253">
        <f>-0.0353*(100)</f>
        <v>-3.53</v>
      </c>
      <c r="L253" s="2">
        <v>1.4436</v>
      </c>
      <c r="M253" s="2">
        <v>0.28860000000000002</v>
      </c>
      <c r="N253" s="2">
        <v>27.033200000000001</v>
      </c>
      <c r="O253" s="2">
        <v>0.15870000000000001</v>
      </c>
      <c r="P253" s="2">
        <v>1.6346000000000001</v>
      </c>
      <c r="Q253" s="2">
        <v>-59.598399999999998</v>
      </c>
      <c r="R253" s="2">
        <v>-110.36206187310221</v>
      </c>
      <c r="S253" s="2">
        <v>-28.2042</v>
      </c>
      <c r="T253" s="2">
        <v>-95.788300000000007</v>
      </c>
      <c r="U253" s="2">
        <v>99.487300000000005</v>
      </c>
      <c r="V253" s="2">
        <v>19.49988710601874</v>
      </c>
      <c r="W253" s="2">
        <v>1.8533376478888914</v>
      </c>
      <c r="X253" s="2">
        <v>30.39</v>
      </c>
      <c r="Y253" s="2">
        <v>-18.5</v>
      </c>
      <c r="Z253" s="4">
        <v>2.2999999999999998</v>
      </c>
      <c r="AA253" s="4">
        <v>10.100000000000001</v>
      </c>
      <c r="AB253" s="2">
        <v>2.5</v>
      </c>
      <c r="AC253" s="2">
        <v>16.100000000000001</v>
      </c>
      <c r="AD253" s="2">
        <v>-0.90000000000000568</v>
      </c>
      <c r="AE253" s="2">
        <v>1</v>
      </c>
    </row>
    <row r="254" spans="1:31" x14ac:dyDescent="0.25">
      <c r="A254" s="2" t="s">
        <v>89</v>
      </c>
      <c r="B254" s="2">
        <v>2020</v>
      </c>
      <c r="C254" s="2" t="s">
        <v>229</v>
      </c>
      <c r="D254" s="2" t="s">
        <v>327</v>
      </c>
      <c r="E254" s="2">
        <v>-11.33</v>
      </c>
      <c r="F254" s="2">
        <v>-85.741100000000003</v>
      </c>
      <c r="G254" s="2">
        <v>-86.885900000000007</v>
      </c>
      <c r="H254" s="2">
        <v>0.39700000000000002</v>
      </c>
      <c r="I254" s="2">
        <v>0.38629999999999998</v>
      </c>
      <c r="J254">
        <f>0.22587837626105*(100)</f>
        <v>22.587837626104999</v>
      </c>
      <c r="K254">
        <f>0.0844*(100)</f>
        <v>8.44</v>
      </c>
      <c r="L254" s="2">
        <v>18.694299999999998</v>
      </c>
      <c r="M254" s="2">
        <v>0.60780000000000001</v>
      </c>
      <c r="N254" s="2">
        <v>14.6432</v>
      </c>
      <c r="O254" s="2">
        <v>0.1789</v>
      </c>
      <c r="P254" s="2">
        <v>2.8988</v>
      </c>
      <c r="Q254" s="2">
        <v>-48.634</v>
      </c>
      <c r="R254" s="2">
        <v>83.786515767950206</v>
      </c>
      <c r="S254" s="2">
        <v>-25.815300000000001</v>
      </c>
      <c r="T254" s="2">
        <v>-61.512799999999999</v>
      </c>
      <c r="U254" s="2">
        <v>86.703599999999994</v>
      </c>
      <c r="V254" s="2">
        <v>25.289332840975671</v>
      </c>
      <c r="W254" s="2">
        <v>8.8146571583482807</v>
      </c>
      <c r="X254" s="2">
        <v>118.33</v>
      </c>
      <c r="Y254" s="2">
        <v>34.869999999999997</v>
      </c>
      <c r="Z254" s="4">
        <v>2.2999999999999998</v>
      </c>
      <c r="AA254" s="4">
        <v>10.100000000000001</v>
      </c>
      <c r="AB254" s="2">
        <v>2.5</v>
      </c>
      <c r="AC254" s="2">
        <v>16.100000000000001</v>
      </c>
      <c r="AD254" s="2">
        <v>2.4000000000000057</v>
      </c>
      <c r="AE254" s="2">
        <v>1</v>
      </c>
    </row>
    <row r="255" spans="1:31" x14ac:dyDescent="0.25">
      <c r="A255" s="2" t="s">
        <v>75</v>
      </c>
      <c r="B255" s="2">
        <v>2020</v>
      </c>
      <c r="C255" s="2" t="s">
        <v>220</v>
      </c>
      <c r="D255" s="2" t="s">
        <v>311</v>
      </c>
      <c r="E255" s="2">
        <v>-37.7485</v>
      </c>
      <c r="F255" s="2">
        <v>-96.700999999999993</v>
      </c>
      <c r="G255" s="2">
        <v>-280.73349999999999</v>
      </c>
      <c r="H255" s="2">
        <v>1.0935999999999999</v>
      </c>
      <c r="I255" s="2">
        <v>0.376</v>
      </c>
      <c r="J255">
        <f>0.0288098893024868*(100)</f>
        <v>2.8809889302486802</v>
      </c>
      <c r="K255">
        <f>-0.001*(100)</f>
        <v>-0.1</v>
      </c>
      <c r="L255" s="2">
        <v>0.21079999999999999</v>
      </c>
      <c r="M255" s="2">
        <v>0.18129999999999999</v>
      </c>
      <c r="N255" s="2">
        <v>1.2233000000000001</v>
      </c>
      <c r="O255" s="2">
        <v>0.13819999999999999</v>
      </c>
      <c r="P255" s="2">
        <v>0.70169999999999999</v>
      </c>
      <c r="Q255" s="2">
        <v>-50.926299999999998</v>
      </c>
      <c r="R255" s="2">
        <v>-564.63507093085821</v>
      </c>
      <c r="S255" s="2">
        <v>-32.0871</v>
      </c>
      <c r="T255" s="2">
        <v>-65.231800000000007</v>
      </c>
      <c r="U255" s="2">
        <v>72.952100000000002</v>
      </c>
      <c r="V255" s="2">
        <v>2.3640526142266647</v>
      </c>
      <c r="W255" s="2">
        <v>1.8926510955386495</v>
      </c>
      <c r="X255" s="2">
        <v>97.78</v>
      </c>
      <c r="Y255" s="2">
        <v>-0.45</v>
      </c>
      <c r="Z255" s="4">
        <v>2.2999999999999998</v>
      </c>
      <c r="AA255" s="4">
        <v>10.100000000000001</v>
      </c>
      <c r="AB255" s="2">
        <v>2.5</v>
      </c>
      <c r="AC255" s="2">
        <v>16.100000000000001</v>
      </c>
      <c r="AD255" s="2">
        <v>2.7000000000000028</v>
      </c>
      <c r="AE255" s="2">
        <v>1</v>
      </c>
    </row>
    <row r="256" spans="1:31" x14ac:dyDescent="0.25">
      <c r="A256" s="2" t="s">
        <v>74</v>
      </c>
      <c r="B256" s="2">
        <v>2020</v>
      </c>
      <c r="C256" s="2" t="s">
        <v>181</v>
      </c>
      <c r="D256" s="2" t="s">
        <v>298</v>
      </c>
      <c r="E256" s="2">
        <v>4.415</v>
      </c>
      <c r="F256" s="2">
        <v>3.5434999999999999</v>
      </c>
      <c r="G256" s="2">
        <v>4.0174000000000003</v>
      </c>
      <c r="H256" s="2">
        <v>0.88219999999999998</v>
      </c>
      <c r="I256" s="2">
        <v>0.43030000000000002</v>
      </c>
      <c r="J256">
        <f>0.171569400312022*(100)</f>
        <v>17.1569400312022</v>
      </c>
      <c r="K256">
        <f>0.0723*(100)</f>
        <v>7.23</v>
      </c>
      <c r="L256" s="2">
        <v>1.4619</v>
      </c>
      <c r="M256" s="2">
        <v>0.93200000000000005</v>
      </c>
      <c r="N256" s="2">
        <v>3.4163999999999999</v>
      </c>
      <c r="O256" s="2">
        <v>0.39750000000000002</v>
      </c>
      <c r="P256" s="2">
        <v>48.871099999999998</v>
      </c>
      <c r="Q256" s="2">
        <v>5.4066999999999998</v>
      </c>
      <c r="R256" s="2">
        <v>-38.260965285179047</v>
      </c>
      <c r="S256" s="2">
        <v>-3.1751</v>
      </c>
      <c r="T256" s="2">
        <v>-34.955100000000002</v>
      </c>
      <c r="U256" s="2">
        <v>76.402100000000004</v>
      </c>
      <c r="V256" s="2">
        <v>26.711298522609301</v>
      </c>
      <c r="W256" s="2">
        <v>1.0354113380117917</v>
      </c>
      <c r="X256" s="2">
        <v>101.75</v>
      </c>
      <c r="Y256" s="2">
        <v>13.66</v>
      </c>
      <c r="Z256" s="4">
        <v>2.2999999999999998</v>
      </c>
      <c r="AA256" s="4">
        <v>10.100000000000001</v>
      </c>
      <c r="AB256" s="2">
        <v>2.5</v>
      </c>
      <c r="AC256" s="2">
        <v>16.100000000000001</v>
      </c>
      <c r="AD256" s="2">
        <v>2.4000000000000057</v>
      </c>
      <c r="AE256" s="2">
        <v>1</v>
      </c>
    </row>
    <row r="257" spans="1:31" x14ac:dyDescent="0.25">
      <c r="A257" s="2" t="s">
        <v>61</v>
      </c>
      <c r="B257" s="2">
        <v>2020</v>
      </c>
      <c r="C257" s="2" t="s">
        <v>195</v>
      </c>
      <c r="D257" s="2" t="s">
        <v>306</v>
      </c>
      <c r="E257" s="2">
        <v>4.3743999999999996</v>
      </c>
      <c r="F257" s="2">
        <v>4.5557999999999996</v>
      </c>
      <c r="G257" s="2">
        <v>3.1616</v>
      </c>
      <c r="H257" s="2">
        <v>1.3673999999999999</v>
      </c>
      <c r="I257" s="2">
        <v>1.0737000000000001</v>
      </c>
      <c r="J257">
        <f>0.224546431047664*(100)</f>
        <v>22.454643104766401</v>
      </c>
      <c r="K257">
        <f>0.0333*(100)</f>
        <v>3.3300000000000005</v>
      </c>
      <c r="L257" s="2">
        <v>3.4091</v>
      </c>
      <c r="M257" s="2">
        <v>0.99239999999999995</v>
      </c>
      <c r="N257" s="2">
        <v>3.2675000000000001</v>
      </c>
      <c r="O257" s="2">
        <v>0.48039999999999999</v>
      </c>
      <c r="P257" s="2">
        <v>5.9880000000000004</v>
      </c>
      <c r="Q257" s="2">
        <v>1.5089999999999999</v>
      </c>
      <c r="R257" s="2">
        <v>-68.65131236850867</v>
      </c>
      <c r="S257" s="2">
        <v>10.8256</v>
      </c>
      <c r="T257" s="2">
        <v>3.1951999999999998</v>
      </c>
      <c r="U257" s="2">
        <v>59.331299999999999</v>
      </c>
      <c r="V257" s="2">
        <v>25.177983553851679</v>
      </c>
      <c r="W257" s="2">
        <v>1.3405139610666703</v>
      </c>
      <c r="X257" s="2">
        <v>94.85</v>
      </c>
      <c r="Y257" s="2">
        <v>4.32</v>
      </c>
      <c r="Z257" s="4">
        <v>2.2999999999999998</v>
      </c>
      <c r="AA257" s="4">
        <v>10.100000000000001</v>
      </c>
      <c r="AB257" s="2">
        <v>2.5</v>
      </c>
      <c r="AC257" s="2">
        <v>16.100000000000001</v>
      </c>
      <c r="AD257" s="2">
        <v>-0.90000000000000568</v>
      </c>
      <c r="AE257" s="2">
        <v>1</v>
      </c>
    </row>
    <row r="258" spans="1:31" x14ac:dyDescent="0.25">
      <c r="A258" s="2" t="s">
        <v>46</v>
      </c>
      <c r="B258" s="2">
        <v>2020</v>
      </c>
      <c r="C258" s="2" t="s">
        <v>198</v>
      </c>
      <c r="D258" s="2" t="s">
        <v>307</v>
      </c>
      <c r="E258" s="2">
        <v>-6.3220999999999998</v>
      </c>
      <c r="F258" s="2">
        <v>-20.814299999999999</v>
      </c>
      <c r="G258" s="2">
        <v>-138.37110000000001</v>
      </c>
      <c r="H258" s="2">
        <v>1.5053000000000001</v>
      </c>
      <c r="I258" s="2">
        <v>1.3611</v>
      </c>
      <c r="J258">
        <f>0.0165956041974687*(100)</f>
        <v>1.6595604197468701</v>
      </c>
      <c r="K258">
        <f>0.0149*(100)</f>
        <v>1.49</v>
      </c>
      <c r="L258" s="2">
        <v>0.61229999999999996</v>
      </c>
      <c r="M258" s="2">
        <v>8.1199999999999994E-2</v>
      </c>
      <c r="N258" s="2">
        <v>0.23169999999999999</v>
      </c>
      <c r="O258" s="2">
        <v>4.4400000000000002E-2</v>
      </c>
      <c r="P258" s="2">
        <v>2.4967999999999999</v>
      </c>
      <c r="Q258" s="2">
        <v>-84.712699999999998</v>
      </c>
      <c r="R258" s="2">
        <v>6.5501771113949374</v>
      </c>
      <c r="S258" s="2">
        <v>-0.52329999999999999</v>
      </c>
      <c r="T258" s="2">
        <v>-13.8795</v>
      </c>
      <c r="U258" s="2">
        <v>68.262799999999999</v>
      </c>
      <c r="V258" s="2">
        <v>31.039875175069465</v>
      </c>
      <c r="W258" s="2">
        <v>1.6291573015846481</v>
      </c>
      <c r="X258" s="2">
        <v>54.85</v>
      </c>
      <c r="Y258" s="2">
        <v>22.86</v>
      </c>
      <c r="Z258" s="4">
        <v>2.2999999999999998</v>
      </c>
      <c r="AA258" s="4">
        <v>10.100000000000001</v>
      </c>
      <c r="AB258" s="2">
        <v>2.5</v>
      </c>
      <c r="AC258" s="2">
        <v>16.100000000000001</v>
      </c>
      <c r="AD258" s="2">
        <v>-0.90000000000000568</v>
      </c>
      <c r="AE258" s="2">
        <v>1</v>
      </c>
    </row>
    <row r="259" spans="1:31" x14ac:dyDescent="0.25">
      <c r="A259" s="2" t="s">
        <v>65</v>
      </c>
      <c r="B259" s="2">
        <v>2020</v>
      </c>
      <c r="C259" s="2" t="s">
        <v>213</v>
      </c>
      <c r="D259" s="2" t="s">
        <v>318</v>
      </c>
      <c r="E259" s="2">
        <v>4.2257999999999996</v>
      </c>
      <c r="F259" s="2">
        <v>0.58530000000000004</v>
      </c>
      <c r="G259" s="2">
        <v>4.1083999999999996</v>
      </c>
      <c r="H259" s="2">
        <v>0.18099999999999999</v>
      </c>
      <c r="I259" s="2">
        <v>0.16309999999999999</v>
      </c>
      <c r="J259">
        <f>0.0441386538932159*(100)</f>
        <v>4.4138653893215896</v>
      </c>
      <c r="K259">
        <f>0.0664*(100)</f>
        <v>6.64</v>
      </c>
      <c r="L259" s="2">
        <v>20.750699999999998</v>
      </c>
      <c r="M259" s="2">
        <v>2.3214000000000001</v>
      </c>
      <c r="N259" s="2">
        <v>0.79179999999999995</v>
      </c>
      <c r="O259" s="2">
        <v>0.19889999999999999</v>
      </c>
      <c r="P259" s="2">
        <v>9.0385000000000009</v>
      </c>
      <c r="Q259" s="2">
        <v>-5.1073000000000004</v>
      </c>
      <c r="R259" s="2">
        <v>75.129663510569344</v>
      </c>
      <c r="S259" s="2">
        <v>-4.1200000000000001E-2</v>
      </c>
      <c r="T259" s="2">
        <v>-1.3064</v>
      </c>
      <c r="U259" s="2">
        <v>73.070800000000006</v>
      </c>
      <c r="V259" s="2">
        <v>29.849014965254341</v>
      </c>
      <c r="W259" s="2">
        <v>0.89348515770797599</v>
      </c>
      <c r="X259" s="2">
        <v>77.2</v>
      </c>
      <c r="Y259" s="2">
        <v>24.4</v>
      </c>
      <c r="Z259" s="4">
        <v>2.2999999999999998</v>
      </c>
      <c r="AA259" s="4">
        <v>10.100000000000001</v>
      </c>
      <c r="AB259" s="2">
        <v>2.5</v>
      </c>
      <c r="AC259" s="2">
        <v>16.100000000000001</v>
      </c>
      <c r="AD259" s="2">
        <v>2.4000000000000057</v>
      </c>
      <c r="AE259" s="2">
        <v>1</v>
      </c>
    </row>
    <row r="260" spans="1:31" x14ac:dyDescent="0.25">
      <c r="A260" s="2" t="s">
        <v>28</v>
      </c>
      <c r="B260" s="2">
        <v>2020</v>
      </c>
      <c r="C260" s="2" t="s">
        <v>182</v>
      </c>
      <c r="D260" s="2" t="s">
        <v>299</v>
      </c>
      <c r="E260" s="2">
        <v>1.8154999999999999</v>
      </c>
      <c r="F260" s="2">
        <v>0.60970000000000002</v>
      </c>
      <c r="G260" s="2">
        <v>2.1545000000000001</v>
      </c>
      <c r="H260" s="2">
        <v>2.5324</v>
      </c>
      <c r="I260" s="2">
        <v>2.2789000000000001</v>
      </c>
      <c r="J260">
        <f>0.858172008396907*(100)</f>
        <v>85.817200839690699</v>
      </c>
      <c r="K260">
        <f>0.002*(100)</f>
        <v>0.2</v>
      </c>
      <c r="L260" s="2">
        <v>12.709300000000001</v>
      </c>
      <c r="M260" s="2">
        <v>1.3741000000000001</v>
      </c>
      <c r="N260" s="2">
        <v>7.2385000000000002</v>
      </c>
      <c r="O260" s="2">
        <v>0.39950000000000002</v>
      </c>
      <c r="P260" s="2">
        <v>10.0458</v>
      </c>
      <c r="Q260" s="2">
        <v>-23.614999999999998</v>
      </c>
      <c r="R260" s="2">
        <v>-77.456971839041159</v>
      </c>
      <c r="S260" s="2">
        <v>-1.1740999999999999</v>
      </c>
      <c r="T260" s="2">
        <v>0.54549999999999998</v>
      </c>
      <c r="U260" s="2">
        <v>40.113100000000003</v>
      </c>
      <c r="V260" s="2">
        <v>28.830442653599249</v>
      </c>
      <c r="W260" s="2">
        <v>7.9497433930274708</v>
      </c>
      <c r="X260" s="2">
        <v>96.57</v>
      </c>
      <c r="Y260" s="2">
        <v>0.2</v>
      </c>
      <c r="Z260" s="4">
        <v>2.2999999999999998</v>
      </c>
      <c r="AA260" s="4">
        <v>10.100000000000001</v>
      </c>
      <c r="AB260" s="2">
        <v>2.5</v>
      </c>
      <c r="AC260" s="2">
        <v>16.100000000000001</v>
      </c>
      <c r="AD260" s="2">
        <v>2.4000000000000057</v>
      </c>
      <c r="AE260" s="2">
        <v>1</v>
      </c>
    </row>
    <row r="261" spans="1:31" x14ac:dyDescent="0.25">
      <c r="A261" s="2" t="s">
        <v>81</v>
      </c>
      <c r="B261" s="2">
        <v>2020</v>
      </c>
      <c r="C261" s="2" t="s">
        <v>196</v>
      </c>
      <c r="D261" s="2" t="s">
        <v>302</v>
      </c>
      <c r="E261" s="2">
        <v>-3.1187999999999998</v>
      </c>
      <c r="F261" s="2">
        <v>-20.0456</v>
      </c>
      <c r="G261" s="2">
        <v>-33.804099999999998</v>
      </c>
      <c r="H261" s="2">
        <v>1.6897</v>
      </c>
      <c r="I261" s="2">
        <v>0.56089999999999995</v>
      </c>
      <c r="J261">
        <f>0.0188874974101551*(100)</f>
        <v>1.8887497410155101</v>
      </c>
      <c r="K261">
        <f>0.0656*(100)</f>
        <v>6.5600000000000005</v>
      </c>
      <c r="L261" s="2">
        <v>0.30449999999999999</v>
      </c>
      <c r="M261" s="2">
        <v>0.22470000000000001</v>
      </c>
      <c r="N261" s="2">
        <v>1.4097999999999999</v>
      </c>
      <c r="O261" s="2">
        <v>0.16619999999999999</v>
      </c>
      <c r="P261" s="2">
        <v>2.3496999999999999</v>
      </c>
      <c r="Q261" s="2">
        <v>-32.93</v>
      </c>
      <c r="R261" s="2">
        <v>-1358.024141099756</v>
      </c>
      <c r="S261" s="2">
        <v>-11.7005</v>
      </c>
      <c r="T261" s="2">
        <v>-21.051100000000002</v>
      </c>
      <c r="U261" s="2">
        <v>68.025700000000001</v>
      </c>
      <c r="V261" s="2">
        <v>24.946760520043785</v>
      </c>
      <c r="W261" s="2">
        <v>2.6660422584873738</v>
      </c>
      <c r="X261" s="2">
        <v>115.75</v>
      </c>
      <c r="Y261" s="2">
        <v>25.18</v>
      </c>
      <c r="Z261" s="4">
        <v>2.2999999999999998</v>
      </c>
      <c r="AA261" s="4">
        <v>10.100000000000001</v>
      </c>
      <c r="AB261" s="2">
        <v>2.5</v>
      </c>
      <c r="AC261" s="2">
        <v>16.100000000000001</v>
      </c>
      <c r="AD261" s="2">
        <v>-0.90000000000000568</v>
      </c>
      <c r="AE261" s="2">
        <v>1</v>
      </c>
    </row>
    <row r="262" spans="1:31" x14ac:dyDescent="0.25">
      <c r="A262" s="2" t="s">
        <v>83</v>
      </c>
      <c r="B262" s="2">
        <v>2020</v>
      </c>
      <c r="C262" s="2" t="s">
        <v>189</v>
      </c>
      <c r="D262" s="2" t="s">
        <v>297</v>
      </c>
      <c r="E262" s="2">
        <v>-50.181899999999999</v>
      </c>
      <c r="F262" s="2">
        <v>-45.003829500000023</v>
      </c>
      <c r="G262" s="2">
        <v>-468.9615</v>
      </c>
      <c r="H262" s="2">
        <v>0.45729999999999998</v>
      </c>
      <c r="I262" s="2">
        <v>0.41410000000000002</v>
      </c>
      <c r="J262">
        <f>0.196180905773963*(100)</f>
        <v>19.618090577396298</v>
      </c>
      <c r="K262">
        <f>-0.0571*(100)</f>
        <v>-5.71</v>
      </c>
      <c r="L262" s="2">
        <v>2.4761000000000002</v>
      </c>
      <c r="M262" s="2">
        <v>0.26600000000000001</v>
      </c>
      <c r="N262" s="2">
        <v>0.41670000000000001</v>
      </c>
      <c r="O262" s="2">
        <v>0.11600000000000001</v>
      </c>
      <c r="P262" s="2">
        <v>1.1737</v>
      </c>
      <c r="Q262" s="2">
        <v>-45.713700000000003</v>
      </c>
      <c r="R262" s="2">
        <v>-204.63331281606921</v>
      </c>
      <c r="S262" s="2">
        <v>-45.211500000000001</v>
      </c>
      <c r="T262" s="2">
        <v>-718.22280000000001</v>
      </c>
      <c r="U262" s="2">
        <v>168.35079999999999</v>
      </c>
      <c r="V262" s="2">
        <v>68.926236246759444</v>
      </c>
      <c r="W262" s="2">
        <v>-1.8225018915928446</v>
      </c>
      <c r="X262" s="2">
        <v>74.989999999999995</v>
      </c>
      <c r="Y262" s="2">
        <v>-58.709999999999987</v>
      </c>
      <c r="Z262" s="4">
        <v>2.2999999999999998</v>
      </c>
      <c r="AA262" s="4">
        <v>10.100000000000001</v>
      </c>
      <c r="AB262" s="2">
        <v>2.5</v>
      </c>
      <c r="AC262" s="2">
        <v>16.100000000000001</v>
      </c>
      <c r="AD262" s="2">
        <v>2.4000000000000057</v>
      </c>
      <c r="AE262" s="2">
        <v>1</v>
      </c>
    </row>
    <row r="263" spans="1:31" x14ac:dyDescent="0.25">
      <c r="A263" s="2" t="s">
        <v>34</v>
      </c>
      <c r="B263" s="2">
        <v>2020</v>
      </c>
      <c r="C263" s="2" t="s">
        <v>187</v>
      </c>
      <c r="D263" s="2" t="s">
        <v>301</v>
      </c>
      <c r="E263" s="2">
        <v>-0.17810000000000001</v>
      </c>
      <c r="F263" s="2">
        <v>-4.8250999999999999</v>
      </c>
      <c r="G263" s="2">
        <v>-7.1116000000000001</v>
      </c>
      <c r="H263" s="2">
        <v>1.3582000000000001</v>
      </c>
      <c r="I263" s="2">
        <v>1.2326999999999999</v>
      </c>
      <c r="J263">
        <f>0.4037248516488*(100)</f>
        <v>40.372485164880004</v>
      </c>
      <c r="K263">
        <f>-0.0831*(100)</f>
        <v>-8.3099999999999987</v>
      </c>
      <c r="L263" s="2">
        <v>4.0739000000000001</v>
      </c>
      <c r="M263" s="2">
        <v>0.40799999999999997</v>
      </c>
      <c r="N263" s="2">
        <v>1.8307</v>
      </c>
      <c r="O263" s="2">
        <v>0.24979999999999999</v>
      </c>
      <c r="P263" s="2">
        <v>1.35</v>
      </c>
      <c r="Q263" s="2">
        <v>-37.867100000000001</v>
      </c>
      <c r="R263" s="2">
        <v>-168.67512123950249</v>
      </c>
      <c r="S263" s="2">
        <v>-6.6353</v>
      </c>
      <c r="T263" s="2">
        <v>-5.8281999999999998</v>
      </c>
      <c r="U263" s="2">
        <v>53.489699999999999</v>
      </c>
      <c r="V263" s="2">
        <v>9.4984801771403742</v>
      </c>
      <c r="W263" s="2">
        <v>3.2185414585172034</v>
      </c>
      <c r="X263" s="2">
        <v>117.49</v>
      </c>
      <c r="Y263" s="2">
        <v>-17.190000000000001</v>
      </c>
      <c r="Z263" s="4">
        <v>2.2999999999999998</v>
      </c>
      <c r="AA263" s="4">
        <v>10.100000000000001</v>
      </c>
      <c r="AB263" s="2">
        <v>2.5</v>
      </c>
      <c r="AC263" s="2">
        <v>16.100000000000001</v>
      </c>
      <c r="AD263" s="2">
        <v>2.4000000000000057</v>
      </c>
      <c r="AE263" s="2">
        <v>1</v>
      </c>
    </row>
    <row r="264" spans="1:31" x14ac:dyDescent="0.25">
      <c r="A264" s="2" t="s">
        <v>84</v>
      </c>
      <c r="B264" s="2">
        <v>2020</v>
      </c>
      <c r="C264" s="2" t="s">
        <v>599</v>
      </c>
      <c r="D264" s="2" t="s">
        <v>325</v>
      </c>
      <c r="E264" s="2">
        <v>-96.788399999999996</v>
      </c>
      <c r="F264" s="2">
        <v>-45.003829500000023</v>
      </c>
      <c r="G264" s="2">
        <v>-251.31360000000001</v>
      </c>
      <c r="H264" s="2">
        <v>0.3145</v>
      </c>
      <c r="I264" s="2">
        <v>0.23769999999999999</v>
      </c>
      <c r="J264">
        <f>0.0510068756361705*(100)</f>
        <v>5.1006875636170497</v>
      </c>
      <c r="K264">
        <f>0.054*(100)</f>
        <v>5.4</v>
      </c>
      <c r="L264" s="2">
        <v>4.9778000000000002</v>
      </c>
      <c r="M264" s="2">
        <v>1.6852</v>
      </c>
      <c r="N264" s="2">
        <v>0.60450000000000004</v>
      </c>
      <c r="O264" s="2">
        <v>0.36599999999999999</v>
      </c>
      <c r="P264" s="2">
        <v>33.954799999999999</v>
      </c>
      <c r="Q264" s="2">
        <v>-0.22670000000000001</v>
      </c>
      <c r="R264" s="2">
        <v>-1195.974606188581</v>
      </c>
      <c r="S264" s="2">
        <v>-69.956900000000005</v>
      </c>
      <c r="T264" s="2">
        <v>-282.5727</v>
      </c>
      <c r="U264" s="2">
        <v>229.01339999999999</v>
      </c>
      <c r="V264" s="2">
        <v>99.397713021597085</v>
      </c>
      <c r="W264" s="2">
        <v>-4.235169335875983</v>
      </c>
      <c r="X264" s="2">
        <v>84.97</v>
      </c>
      <c r="Y264" s="2">
        <v>15.62</v>
      </c>
      <c r="Z264" s="4">
        <v>2.2999999999999998</v>
      </c>
      <c r="AA264" s="4">
        <v>10.100000000000001</v>
      </c>
      <c r="AB264" s="2">
        <v>2.5</v>
      </c>
      <c r="AC264" s="2">
        <v>16.100000000000001</v>
      </c>
      <c r="AD264" s="2">
        <v>2.4000000000000057</v>
      </c>
      <c r="AE264" s="2">
        <v>1</v>
      </c>
    </row>
    <row r="265" spans="1:31" x14ac:dyDescent="0.25">
      <c r="A265" s="2" t="s">
        <v>77</v>
      </c>
      <c r="B265" s="2">
        <v>2020</v>
      </c>
      <c r="C265" s="2" t="s">
        <v>221</v>
      </c>
      <c r="D265" s="2" t="s">
        <v>324</v>
      </c>
      <c r="E265" s="2">
        <v>-43.978900000000003</v>
      </c>
      <c r="F265" s="2">
        <v>-45.003829500000023</v>
      </c>
      <c r="G265" s="2">
        <v>-426.81650000000002</v>
      </c>
      <c r="H265" s="2">
        <v>0.53310000000000002</v>
      </c>
      <c r="I265" s="2">
        <v>0.44030000000000002</v>
      </c>
      <c r="J265">
        <f>0.0350557043616939*(100)</f>
        <v>3.5055704361693896</v>
      </c>
      <c r="K265">
        <f>-0.0379*(100)</f>
        <v>-3.7900000000000005</v>
      </c>
      <c r="L265" s="2">
        <v>0.33050000000000002</v>
      </c>
      <c r="M265" s="2">
        <v>0.11550000000000001</v>
      </c>
      <c r="N265" s="2">
        <v>0.71260000000000001</v>
      </c>
      <c r="O265" s="2">
        <v>8.7300000000000003E-2</v>
      </c>
      <c r="P265" s="2">
        <v>0.31580000000000003</v>
      </c>
      <c r="Q265" s="2">
        <v>-65.244399999999999</v>
      </c>
      <c r="R265" s="2">
        <v>-433.82726474862648</v>
      </c>
      <c r="S265" s="2">
        <v>-69.981099999999998</v>
      </c>
      <c r="T265" s="2">
        <v>-1137.32</v>
      </c>
      <c r="U265" s="2">
        <v>191.30189999999999</v>
      </c>
      <c r="V265" s="2">
        <v>54.578223993628562</v>
      </c>
      <c r="W265" s="2">
        <v>-7.471253819656412</v>
      </c>
      <c r="X265" s="2">
        <v>144.4</v>
      </c>
      <c r="Y265" s="2">
        <v>-38.380000000000003</v>
      </c>
      <c r="Z265" s="4">
        <v>2.2999999999999998</v>
      </c>
      <c r="AA265" s="4">
        <v>10.100000000000001</v>
      </c>
      <c r="AB265" s="2">
        <v>2.5</v>
      </c>
      <c r="AC265" s="2">
        <v>16.100000000000001</v>
      </c>
      <c r="AD265" s="2">
        <v>2.4000000000000057</v>
      </c>
      <c r="AE265" s="2">
        <v>1</v>
      </c>
    </row>
    <row r="266" spans="1:31" x14ac:dyDescent="0.25">
      <c r="A266" s="2" t="s">
        <v>85</v>
      </c>
      <c r="B266" s="2">
        <v>2020</v>
      </c>
      <c r="C266" s="2" t="s">
        <v>225</v>
      </c>
      <c r="D266" s="2" t="s">
        <v>326</v>
      </c>
      <c r="E266" s="2">
        <v>-12.946099999999999</v>
      </c>
      <c r="F266" s="2">
        <v>-45.003829500000023</v>
      </c>
      <c r="G266" s="2">
        <v>-78.161600000000007</v>
      </c>
      <c r="H266" s="2">
        <v>0.60250000000000004</v>
      </c>
      <c r="I266" s="2">
        <v>0.33050000000000002</v>
      </c>
      <c r="J266">
        <f>0.0649743791969313*(100)</f>
        <v>6.4974379196931302</v>
      </c>
      <c r="K266">
        <f>0.035*(100)</f>
        <v>3.5000000000000004</v>
      </c>
      <c r="L266" s="2">
        <v>0.5907</v>
      </c>
      <c r="M266" s="2">
        <v>0.35199999999999998</v>
      </c>
      <c r="N266" s="2">
        <v>1.1983999999999999</v>
      </c>
      <c r="O266" s="2">
        <v>0.19409999999999999</v>
      </c>
      <c r="P266" s="2">
        <v>6.17</v>
      </c>
      <c r="Q266" s="2">
        <v>-18.315000000000001</v>
      </c>
      <c r="R266" s="2">
        <v>-586.38682127007519</v>
      </c>
      <c r="S266" s="2">
        <v>-9.0371000000000006</v>
      </c>
      <c r="T266" s="2">
        <v>-2837.6078000000002</v>
      </c>
      <c r="U266" s="2">
        <v>103.8888</v>
      </c>
      <c r="V266" s="2">
        <v>16.91749552301496</v>
      </c>
      <c r="W266" s="2">
        <v>-1.0188695188998353</v>
      </c>
      <c r="X266" s="2">
        <v>91.55</v>
      </c>
      <c r="Y266" s="2">
        <v>17.899999999999999</v>
      </c>
      <c r="Z266" s="4">
        <v>2.2999999999999998</v>
      </c>
      <c r="AA266" s="4">
        <v>10.100000000000001</v>
      </c>
      <c r="AB266" s="2">
        <v>2.5</v>
      </c>
      <c r="AC266" s="2">
        <v>16.100000000000001</v>
      </c>
      <c r="AD266" s="2">
        <v>2.4000000000000057</v>
      </c>
      <c r="AE266" s="2">
        <v>1</v>
      </c>
    </row>
    <row r="267" spans="1:31" x14ac:dyDescent="0.25">
      <c r="A267" s="2" t="s">
        <v>88</v>
      </c>
      <c r="B267" s="2">
        <v>2020</v>
      </c>
      <c r="C267" s="2" t="s">
        <v>228</v>
      </c>
      <c r="D267" s="2" t="s">
        <v>298</v>
      </c>
      <c r="E267" s="2">
        <v>-0.53779999999999994</v>
      </c>
      <c r="F267" s="2">
        <v>-5.2782</v>
      </c>
      <c r="G267" s="2">
        <v>-73.640900000000002</v>
      </c>
      <c r="H267" s="2">
        <v>2.9588000000000001</v>
      </c>
      <c r="I267" s="2">
        <v>2.8199000000000001</v>
      </c>
      <c r="J267">
        <f>0.249123915403925*(100)</f>
        <v>24.912391540392502</v>
      </c>
      <c r="K267">
        <f>0.0285*(100)</f>
        <v>2.85</v>
      </c>
      <c r="L267" s="2">
        <v>0.8982</v>
      </c>
      <c r="M267" s="2">
        <v>0.18160000000000001</v>
      </c>
      <c r="N267" s="2">
        <v>14.0177</v>
      </c>
      <c r="O267" s="2">
        <v>4.5600000000000002E-2</v>
      </c>
      <c r="P267" s="2">
        <v>16.519500000000001</v>
      </c>
      <c r="Q267" s="2">
        <v>2.5783999999999998</v>
      </c>
      <c r="R267" s="2">
        <v>-208.31838800156359</v>
      </c>
      <c r="S267" s="2">
        <v>-0.81159999999999999</v>
      </c>
      <c r="T267" s="2">
        <v>-6.5991</v>
      </c>
      <c r="U267" s="2">
        <v>51.145699999999998</v>
      </c>
      <c r="V267" s="2">
        <v>42.995897852667333</v>
      </c>
      <c r="W267" s="2">
        <v>154.12828171032132</v>
      </c>
      <c r="X267" s="2">
        <v>91.24</v>
      </c>
      <c r="Y267" s="2">
        <v>31.68</v>
      </c>
      <c r="Z267" s="4">
        <v>2.2999999999999998</v>
      </c>
      <c r="AA267" s="4">
        <v>10.100000000000001</v>
      </c>
      <c r="AB267" s="2">
        <v>2.5</v>
      </c>
      <c r="AC267" s="2">
        <v>16.100000000000001</v>
      </c>
      <c r="AD267" s="2">
        <v>2.4000000000000057</v>
      </c>
      <c r="AE267" s="2">
        <v>1</v>
      </c>
    </row>
    <row r="268" spans="1:31" x14ac:dyDescent="0.25">
      <c r="A268" s="2" t="s">
        <v>59</v>
      </c>
      <c r="B268" s="2">
        <v>2020</v>
      </c>
      <c r="C268" s="2" t="s">
        <v>209</v>
      </c>
      <c r="D268" s="2" t="s">
        <v>316</v>
      </c>
      <c r="E268" s="2">
        <v>3.8161</v>
      </c>
      <c r="F268" s="2">
        <v>14.4015</v>
      </c>
      <c r="G268" s="2">
        <v>3.7437</v>
      </c>
      <c r="H268" s="2">
        <v>0.96560000000000001</v>
      </c>
      <c r="I268" s="2">
        <v>0.79690000000000005</v>
      </c>
      <c r="J268">
        <f>0.535431156507465*(100)</f>
        <v>53.5431156507465</v>
      </c>
      <c r="K268">
        <f>0.107*(100)</f>
        <v>10.7</v>
      </c>
      <c r="L268" s="2">
        <v>2.98</v>
      </c>
      <c r="M268" s="2">
        <v>0.62639999999999996</v>
      </c>
      <c r="N268" s="2">
        <v>2.9822000000000002</v>
      </c>
      <c r="O268" s="2">
        <v>0.2676</v>
      </c>
      <c r="P268" s="2">
        <v>6.9836999999999998</v>
      </c>
      <c r="Q268" s="2">
        <v>-3.7724000000000002</v>
      </c>
      <c r="R268" s="2">
        <v>214.6424195318277</v>
      </c>
      <c r="S268" s="2">
        <v>7.3856999999999999</v>
      </c>
      <c r="T268" s="2">
        <v>-39.9893</v>
      </c>
      <c r="U268" s="2">
        <v>73.463800000000006</v>
      </c>
      <c r="V268" s="2">
        <v>32.946722889685795</v>
      </c>
      <c r="W268" s="2">
        <v>0.23296953100271581</v>
      </c>
      <c r="X268" s="2">
        <v>127.26</v>
      </c>
      <c r="Y268" s="2">
        <v>30.42</v>
      </c>
      <c r="Z268" s="4">
        <v>2.2999999999999998</v>
      </c>
      <c r="AA268" s="4">
        <v>10.100000000000001</v>
      </c>
      <c r="AB268" s="2">
        <v>2.5</v>
      </c>
      <c r="AC268" s="2">
        <v>16.100000000000001</v>
      </c>
      <c r="AD268" s="2">
        <v>2.4000000000000057</v>
      </c>
      <c r="AE268" s="2">
        <v>1</v>
      </c>
    </row>
    <row r="269" spans="1:31" x14ac:dyDescent="0.25">
      <c r="A269" s="2" t="s">
        <v>63</v>
      </c>
      <c r="B269" s="2">
        <v>2020</v>
      </c>
      <c r="C269" s="2" t="s">
        <v>178</v>
      </c>
      <c r="D269" s="2" t="s">
        <v>297</v>
      </c>
      <c r="E269" s="2">
        <v>4.1201999999999996</v>
      </c>
      <c r="F269" s="2">
        <v>3.8359999999999999</v>
      </c>
      <c r="G269" s="2">
        <v>7.4812000000000003</v>
      </c>
      <c r="H269" s="2">
        <v>1.5414000000000001</v>
      </c>
      <c r="I269" s="2">
        <v>1.2369000000000001</v>
      </c>
      <c r="J269">
        <f>0.383267034023821*(100)</f>
        <v>38.326703402382101</v>
      </c>
      <c r="K269">
        <f>0.0212*(100)</f>
        <v>2.12</v>
      </c>
      <c r="L269" s="2">
        <v>2.0495999999999999</v>
      </c>
      <c r="M269" s="2">
        <v>0.56810000000000005</v>
      </c>
      <c r="N269" s="2">
        <v>0.68110000000000004</v>
      </c>
      <c r="O269" s="2">
        <v>0.2707</v>
      </c>
      <c r="P269" s="2">
        <v>2.4336000000000002</v>
      </c>
      <c r="Q269" s="2">
        <v>-7.5583999999999998</v>
      </c>
      <c r="R269" s="2">
        <v>-5.9701670320642632</v>
      </c>
      <c r="S269" s="2">
        <v>7.8010000000000002</v>
      </c>
      <c r="T269" s="2">
        <v>4.8895999999999997</v>
      </c>
      <c r="U269" s="2">
        <v>66.327799999999996</v>
      </c>
      <c r="V269" s="2">
        <v>34.104286506653224</v>
      </c>
      <c r="W269" s="2">
        <v>0.55500236267481184</v>
      </c>
      <c r="X269" s="2">
        <v>83.21</v>
      </c>
      <c r="Y269" s="2">
        <v>5.38</v>
      </c>
      <c r="Z269" s="4">
        <v>2.2999999999999998</v>
      </c>
      <c r="AA269" s="4">
        <v>10.100000000000001</v>
      </c>
      <c r="AB269" s="2">
        <v>2.5</v>
      </c>
      <c r="AC269" s="2">
        <v>16.100000000000001</v>
      </c>
      <c r="AD269" s="2">
        <v>2.4000000000000057</v>
      </c>
      <c r="AE269" s="2">
        <v>1</v>
      </c>
    </row>
    <row r="270" spans="1:31" x14ac:dyDescent="0.25">
      <c r="A270" s="2" t="s">
        <v>80</v>
      </c>
      <c r="B270" s="2">
        <v>2020</v>
      </c>
      <c r="C270" s="2" t="s">
        <v>207</v>
      </c>
      <c r="D270" s="2" t="s">
        <v>314</v>
      </c>
      <c r="E270" s="2">
        <v>2.9424000000000001</v>
      </c>
      <c r="F270" s="2">
        <v>1.0277000000000001</v>
      </c>
      <c r="G270" s="2">
        <v>1.1449</v>
      </c>
      <c r="H270" s="2">
        <v>0.41770000000000002</v>
      </c>
      <c r="I270" s="2">
        <v>0.4093</v>
      </c>
      <c r="J270">
        <f>0.252511973706475*(100)</f>
        <v>25.2511973706475</v>
      </c>
      <c r="K270">
        <f>0.1022*(100)</f>
        <v>10.220000000000001</v>
      </c>
      <c r="L270" s="2">
        <v>112.8051</v>
      </c>
      <c r="M270" s="2">
        <v>1.3745000000000001</v>
      </c>
      <c r="N270" s="2">
        <v>1.1193</v>
      </c>
      <c r="O270" s="2">
        <v>0.36080000000000001</v>
      </c>
      <c r="P270" s="2">
        <v>18.474799999999998</v>
      </c>
      <c r="Q270" s="2">
        <v>6.8258999999999999</v>
      </c>
      <c r="R270" s="2">
        <v>120.7047628550376</v>
      </c>
      <c r="S270" s="2">
        <v>-4.0053000000000001</v>
      </c>
      <c r="T270" s="2">
        <v>-2.5318000000000001</v>
      </c>
      <c r="U270" s="2">
        <v>68.398899999999998</v>
      </c>
      <c r="V270" s="2">
        <v>6.7967312774506157</v>
      </c>
      <c r="W270" s="2">
        <v>0.88091186984616299</v>
      </c>
      <c r="X270" s="2">
        <v>110.76</v>
      </c>
      <c r="Y270" s="2">
        <v>18.97</v>
      </c>
      <c r="Z270" s="4">
        <v>2.2999999999999998</v>
      </c>
      <c r="AA270" s="4">
        <v>10.100000000000001</v>
      </c>
      <c r="AB270" s="2">
        <v>2.5</v>
      </c>
      <c r="AC270" s="2">
        <v>16.100000000000001</v>
      </c>
      <c r="AD270" s="2">
        <v>0.79999999999999716</v>
      </c>
      <c r="AE270" s="2">
        <v>1</v>
      </c>
    </row>
    <row r="271" spans="1:31" x14ac:dyDescent="0.25">
      <c r="A271" s="2" t="s">
        <v>56</v>
      </c>
      <c r="B271" s="2">
        <v>2020</v>
      </c>
      <c r="C271" s="2" t="s">
        <v>206</v>
      </c>
      <c r="D271" s="2" t="s">
        <v>313</v>
      </c>
      <c r="E271" s="2">
        <v>2.0733000000000001</v>
      </c>
      <c r="F271" s="2">
        <v>-2.0901000000000001</v>
      </c>
      <c r="G271" s="2">
        <v>-19.2135</v>
      </c>
      <c r="H271" s="2">
        <v>0.53610000000000002</v>
      </c>
      <c r="I271" s="2">
        <v>0.53590000000000004</v>
      </c>
      <c r="J271">
        <f>0.0721922186091352*(100)</f>
        <v>7.2192218609135201</v>
      </c>
      <c r="K271">
        <f>0.0814*(100)</f>
        <v>8.14</v>
      </c>
      <c r="L271" s="2">
        <v>321.41430000000003</v>
      </c>
      <c r="M271" s="2">
        <v>0.27239999999999998</v>
      </c>
      <c r="N271" s="2">
        <v>0.44679999999999997</v>
      </c>
      <c r="O271" s="2">
        <v>5.6800000000000003E-2</v>
      </c>
      <c r="P271" s="2">
        <v>3.8180999999999998</v>
      </c>
      <c r="Q271" s="2">
        <v>-0.61770000000000003</v>
      </c>
      <c r="R271" s="2">
        <v>-201.92583628379271</v>
      </c>
      <c r="S271" s="2">
        <v>-16.241099999999999</v>
      </c>
      <c r="T271" s="2">
        <v>-32.373899999999999</v>
      </c>
      <c r="U271" s="2">
        <v>52.896299999999997</v>
      </c>
      <c r="V271" s="2">
        <v>13.541109151686998</v>
      </c>
      <c r="W271" s="2">
        <v>3.4277438079339233</v>
      </c>
      <c r="X271" s="2">
        <v>89.08</v>
      </c>
      <c r="Y271" s="2">
        <v>69.14</v>
      </c>
      <c r="Z271" s="4">
        <v>2.2999999999999998</v>
      </c>
      <c r="AA271" s="4">
        <v>10.100000000000001</v>
      </c>
      <c r="AB271" s="2">
        <v>2.5</v>
      </c>
      <c r="AC271" s="2">
        <v>16.100000000000001</v>
      </c>
      <c r="AD271" s="2">
        <v>0.79999999999999716</v>
      </c>
      <c r="AE271" s="2">
        <v>1</v>
      </c>
    </row>
    <row r="272" spans="1:31" x14ac:dyDescent="0.25">
      <c r="A272" s="2" t="s">
        <v>69</v>
      </c>
      <c r="B272" s="2">
        <v>2020</v>
      </c>
      <c r="C272" s="2" t="s">
        <v>192</v>
      </c>
      <c r="D272" s="2" t="s">
        <v>305</v>
      </c>
      <c r="E272" s="2">
        <v>2.9581</v>
      </c>
      <c r="F272" s="2">
        <v>3.7805</v>
      </c>
      <c r="G272" s="2">
        <v>7.4206000000000003</v>
      </c>
      <c r="H272" s="2">
        <v>0.87450000000000006</v>
      </c>
      <c r="I272" s="2">
        <v>0.82930000000000004</v>
      </c>
      <c r="J272">
        <f>0.0325986158268679*(100)</f>
        <v>3.2598615826867898</v>
      </c>
      <c r="K272">
        <f>0.084*(100)</f>
        <v>8.4</v>
      </c>
      <c r="L272" s="2">
        <v>4.9027000000000003</v>
      </c>
      <c r="M272" s="2">
        <v>0.37269999999999998</v>
      </c>
      <c r="N272" s="2">
        <v>12.258100000000001</v>
      </c>
      <c r="O272" s="2">
        <v>0.13569999999999999</v>
      </c>
      <c r="P272" s="2">
        <v>1.0341</v>
      </c>
      <c r="Q272" s="2">
        <v>-25.669799999999999</v>
      </c>
      <c r="R272" s="2">
        <v>-43.269789074726567</v>
      </c>
      <c r="S272" s="2">
        <v>8.3842999999999996</v>
      </c>
      <c r="T272" s="2">
        <v>12.037599999999999</v>
      </c>
      <c r="U272" s="2">
        <v>76.7</v>
      </c>
      <c r="V272" s="2">
        <v>31.006045104037653</v>
      </c>
      <c r="W272" s="2">
        <v>19.239908629703596</v>
      </c>
      <c r="X272" s="2">
        <v>95.47</v>
      </c>
      <c r="Y272" s="2">
        <v>49.51</v>
      </c>
      <c r="Z272" s="4">
        <v>2.2999999999999998</v>
      </c>
      <c r="AA272" s="4">
        <v>10.100000000000001</v>
      </c>
      <c r="AB272" s="2">
        <v>2.5</v>
      </c>
      <c r="AC272" s="2">
        <v>16.100000000000001</v>
      </c>
      <c r="AD272" s="2">
        <v>2.4000000000000057</v>
      </c>
      <c r="AE272" s="2">
        <v>1</v>
      </c>
    </row>
    <row r="273" spans="1:31" x14ac:dyDescent="0.25">
      <c r="A273" s="2" t="s">
        <v>78</v>
      </c>
      <c r="B273" s="2">
        <v>2020</v>
      </c>
      <c r="C273" s="2" t="s">
        <v>222</v>
      </c>
      <c r="D273" s="2" t="s">
        <v>313</v>
      </c>
      <c r="E273" s="2">
        <v>-0.43730000000000002</v>
      </c>
      <c r="F273" s="2">
        <v>-11.7812</v>
      </c>
      <c r="G273" s="2">
        <v>-16.517600000000002</v>
      </c>
      <c r="H273" s="2">
        <v>0.3715</v>
      </c>
      <c r="I273" s="2">
        <v>0.3659</v>
      </c>
      <c r="J273">
        <f>0.0757662348798543*(100)</f>
        <v>7.5766234879854304</v>
      </c>
      <c r="K273">
        <f>-0.0935*(100)</f>
        <v>-9.35</v>
      </c>
      <c r="L273" s="2">
        <v>24.469000000000001</v>
      </c>
      <c r="M273" s="2">
        <v>0.75590000000000002</v>
      </c>
      <c r="N273" s="2">
        <v>1.0461</v>
      </c>
      <c r="O273" s="2">
        <v>9.3799999999999994E-2</v>
      </c>
      <c r="P273" s="2">
        <v>6.4090999999999996</v>
      </c>
      <c r="Q273" s="2">
        <v>-5.7278000000000002</v>
      </c>
      <c r="R273" s="2">
        <v>-1323.016654278531</v>
      </c>
      <c r="S273" s="2">
        <v>-4.3268000000000004</v>
      </c>
      <c r="T273" s="2">
        <v>-21.799499999999998</v>
      </c>
      <c r="U273" s="2">
        <v>73.460400000000007</v>
      </c>
      <c r="V273" s="2">
        <v>23.272827705570538</v>
      </c>
      <c r="W273" s="2">
        <v>2.3386232432231533</v>
      </c>
      <c r="X273" s="2">
        <v>105.7</v>
      </c>
      <c r="Y273" s="2">
        <v>-71.58</v>
      </c>
      <c r="Z273" s="4">
        <v>2.2999999999999998</v>
      </c>
      <c r="AA273" s="4">
        <v>10.100000000000001</v>
      </c>
      <c r="AB273" s="2">
        <v>2.5</v>
      </c>
      <c r="AC273" s="2">
        <v>16.100000000000001</v>
      </c>
      <c r="AD273" s="2">
        <v>0.79999999999999716</v>
      </c>
      <c r="AE273" s="2">
        <v>1</v>
      </c>
    </row>
    <row r="274" spans="1:31" x14ac:dyDescent="0.25">
      <c r="A274" s="2" t="s">
        <v>107</v>
      </c>
      <c r="B274" s="2">
        <v>2019</v>
      </c>
      <c r="C274" s="2" t="s">
        <v>246</v>
      </c>
      <c r="D274" s="2" t="s">
        <v>334</v>
      </c>
      <c r="E274" s="2">
        <v>-109.2029</v>
      </c>
      <c r="F274" s="2">
        <v>-428.53109999999998</v>
      </c>
      <c r="G274" s="2">
        <v>-87.479100000000003</v>
      </c>
      <c r="H274" s="2">
        <v>0.49990000000000001</v>
      </c>
      <c r="I274" s="2">
        <v>0.33229999999999998</v>
      </c>
      <c r="J274">
        <f>0.17580996375886*(100)</f>
        <v>17.580996375885999</v>
      </c>
      <c r="K274">
        <f>0.0766*(100)</f>
        <v>7.66</v>
      </c>
      <c r="L274" s="2">
        <v>2.3188</v>
      </c>
      <c r="M274" s="2">
        <v>1.5881000000000001</v>
      </c>
      <c r="N274" s="2">
        <v>26.146999999999998</v>
      </c>
      <c r="O274" s="2">
        <v>1.3073999999999999</v>
      </c>
      <c r="P274" s="2">
        <v>11.438000000000001</v>
      </c>
      <c r="Q274" s="2">
        <v>-30.6769</v>
      </c>
      <c r="R274" s="2">
        <v>-2634.445135974061</v>
      </c>
      <c r="S274" s="2">
        <v>-75.053299999999993</v>
      </c>
      <c r="T274" s="2">
        <v>-136.35059999999999</v>
      </c>
      <c r="U274" s="2">
        <v>175.83539999999999</v>
      </c>
      <c r="V274" s="2">
        <v>35.505654374739969</v>
      </c>
      <c r="W274" s="2">
        <v>-6.3410787378439775</v>
      </c>
      <c r="X274" s="2">
        <v>121.98</v>
      </c>
      <c r="Y274" s="2">
        <v>4.1099999999999994</v>
      </c>
      <c r="Z274" s="4">
        <v>6</v>
      </c>
      <c r="AA274" s="4">
        <v>8.6999999999999993</v>
      </c>
      <c r="AB274" s="2">
        <v>2.9</v>
      </c>
      <c r="AC274" s="2">
        <v>15.6</v>
      </c>
      <c r="AD274" s="2">
        <v>5.5999999999999943</v>
      </c>
      <c r="AE274" s="2">
        <v>1</v>
      </c>
    </row>
    <row r="275" spans="1:31" x14ac:dyDescent="0.25">
      <c r="A275" s="2" t="s">
        <v>118</v>
      </c>
      <c r="B275" s="2">
        <v>2019</v>
      </c>
      <c r="C275" s="2" t="s">
        <v>255</v>
      </c>
      <c r="D275" s="2" t="s">
        <v>329</v>
      </c>
      <c r="E275" s="2">
        <v>4.8010999999999999</v>
      </c>
      <c r="F275" s="2">
        <v>4.1261999999999999</v>
      </c>
      <c r="G275" s="2">
        <v>0.55149999999999999</v>
      </c>
      <c r="H275" s="2">
        <v>1.2934000000000001</v>
      </c>
      <c r="I275" s="2">
        <v>0.7954</v>
      </c>
      <c r="J275">
        <f>0.590866884787797*(100)</f>
        <v>59.086688478779706</v>
      </c>
      <c r="K275">
        <f>-0.0413*(100)</f>
        <v>-4.1300000000000008</v>
      </c>
      <c r="L275" s="2">
        <v>9.5381</v>
      </c>
      <c r="M275" s="2">
        <v>3.7559</v>
      </c>
      <c r="N275" s="2">
        <v>494.3974</v>
      </c>
      <c r="O275" s="2">
        <v>2.7305999999999999</v>
      </c>
      <c r="P275" s="2">
        <v>737877.179</v>
      </c>
      <c r="Q275" s="2">
        <v>-9.0615000000000006</v>
      </c>
      <c r="R275" s="2">
        <v>-20.61162495186683</v>
      </c>
      <c r="S275" s="2">
        <v>40.856000000000002</v>
      </c>
      <c r="T275" s="2">
        <v>1.2539</v>
      </c>
      <c r="U275" s="2">
        <v>75.306799999999996</v>
      </c>
      <c r="V275" s="2">
        <v>16.131143000000002</v>
      </c>
      <c r="W275" s="2">
        <v>53.023236320000002</v>
      </c>
      <c r="X275" s="2">
        <v>115.79</v>
      </c>
      <c r="Y275" s="2">
        <v>-1.33</v>
      </c>
      <c r="Z275" s="4">
        <v>6</v>
      </c>
      <c r="AA275" s="4">
        <v>8.6999999999999993</v>
      </c>
      <c r="AB275" s="2">
        <v>2.9</v>
      </c>
      <c r="AC275" s="2">
        <v>15.6</v>
      </c>
      <c r="AD275" s="2">
        <v>4.7999999999999972</v>
      </c>
      <c r="AE275" s="2">
        <v>1</v>
      </c>
    </row>
    <row r="276" spans="1:31" x14ac:dyDescent="0.25">
      <c r="A276" s="2" t="s">
        <v>95</v>
      </c>
      <c r="B276" s="2">
        <v>2019</v>
      </c>
      <c r="C276" s="2" t="s">
        <v>234</v>
      </c>
      <c r="D276" s="2" t="s">
        <v>329</v>
      </c>
      <c r="E276" s="2">
        <v>-0.62539999999999996</v>
      </c>
      <c r="F276" s="2">
        <v>-9.8646999999999991</v>
      </c>
      <c r="G276" s="2">
        <v>-5.6463999999999999</v>
      </c>
      <c r="H276" s="2">
        <v>0.3458</v>
      </c>
      <c r="I276" s="2">
        <v>0.28489999999999999</v>
      </c>
      <c r="J276">
        <f>0.140290275791979*(100)</f>
        <v>14.0290275791979</v>
      </c>
      <c r="K276">
        <f>0.0429*(100)</f>
        <v>4.29</v>
      </c>
      <c r="L276" s="2">
        <v>6.0155000000000003</v>
      </c>
      <c r="M276" s="2">
        <v>1.4366000000000001</v>
      </c>
      <c r="N276" s="2">
        <v>1.1756</v>
      </c>
      <c r="O276" s="2">
        <v>0.26419999999999999</v>
      </c>
      <c r="P276" s="2">
        <v>19.131499999999999</v>
      </c>
      <c r="Q276" s="2">
        <v>8.3765999999999998</v>
      </c>
      <c r="R276" s="2">
        <v>-962.58267080349583</v>
      </c>
      <c r="S276" s="2">
        <v>20.9908</v>
      </c>
      <c r="T276" s="2">
        <v>-10.985799999999999</v>
      </c>
      <c r="U276" s="2">
        <v>82.669300000000007</v>
      </c>
      <c r="V276" s="2">
        <v>28.75526662662876</v>
      </c>
      <c r="W276" s="2">
        <v>0.59050074754079951</v>
      </c>
      <c r="X276" s="2">
        <v>103.31</v>
      </c>
      <c r="Y276" s="2">
        <v>14.71</v>
      </c>
      <c r="Z276" s="4">
        <v>6</v>
      </c>
      <c r="AA276" s="4">
        <v>8.6999999999999993</v>
      </c>
      <c r="AB276" s="2">
        <v>2.9</v>
      </c>
      <c r="AC276" s="2">
        <v>15.6</v>
      </c>
      <c r="AD276" s="2">
        <v>4.7999999999999972</v>
      </c>
      <c r="AE276" s="2">
        <v>1</v>
      </c>
    </row>
    <row r="277" spans="1:31" x14ac:dyDescent="0.25">
      <c r="A277" s="2" t="s">
        <v>94</v>
      </c>
      <c r="B277" s="2">
        <v>2019</v>
      </c>
      <c r="C277" s="2" t="s">
        <v>233</v>
      </c>
      <c r="D277" s="2" t="s">
        <v>328</v>
      </c>
      <c r="E277" s="2">
        <v>3.0146999999999999</v>
      </c>
      <c r="F277" s="2">
        <v>2.0739000000000001</v>
      </c>
      <c r="G277" s="2">
        <v>0.438</v>
      </c>
      <c r="H277" s="2">
        <v>1.4599</v>
      </c>
      <c r="I277" s="2">
        <v>1.2572000000000001</v>
      </c>
      <c r="J277">
        <f>0.502363377347863*(100)</f>
        <v>50.236337734786296</v>
      </c>
      <c r="K277">
        <f>0.0165*(100)</f>
        <v>1.6500000000000001</v>
      </c>
      <c r="L277" s="2">
        <v>15.0245</v>
      </c>
      <c r="M277" s="2">
        <v>2.2490999999999999</v>
      </c>
      <c r="N277" s="2">
        <v>339.3854</v>
      </c>
      <c r="O277" s="2">
        <v>1.8064</v>
      </c>
      <c r="P277" s="2">
        <v>29.617000000000001</v>
      </c>
      <c r="Q277" s="2">
        <v>-0.1283</v>
      </c>
      <c r="R277" s="2">
        <v>-15.11443751730614</v>
      </c>
      <c r="S277" s="2">
        <v>19.455100000000002</v>
      </c>
      <c r="T277" s="2">
        <v>0.72089999999999999</v>
      </c>
      <c r="U277" s="2">
        <v>75.1828</v>
      </c>
      <c r="V277" s="2">
        <v>19.716939237149823</v>
      </c>
      <c r="W277" s="2">
        <v>25.570389134358866</v>
      </c>
      <c r="X277" s="2">
        <v>140.37</v>
      </c>
      <c r="Y277" s="2">
        <v>0.75</v>
      </c>
      <c r="Z277" s="4">
        <v>6</v>
      </c>
      <c r="AA277" s="4">
        <v>8.6999999999999993</v>
      </c>
      <c r="AB277" s="2">
        <v>2.9</v>
      </c>
      <c r="AC277" s="2">
        <v>15.6</v>
      </c>
      <c r="AD277" s="2">
        <v>4.7999999999999972</v>
      </c>
      <c r="AE277" s="2">
        <v>1</v>
      </c>
    </row>
    <row r="278" spans="1:31" x14ac:dyDescent="0.25">
      <c r="A278" s="2" t="s">
        <v>113</v>
      </c>
      <c r="B278" s="2">
        <v>2019</v>
      </c>
      <c r="C278" s="2" t="s">
        <v>250</v>
      </c>
      <c r="D278" s="2" t="s">
        <v>337</v>
      </c>
      <c r="E278" s="2">
        <v>-4.7282999999999999</v>
      </c>
      <c r="F278" s="2">
        <v>-51.818899999999999</v>
      </c>
      <c r="G278" s="2">
        <v>-17.913399999999999</v>
      </c>
      <c r="H278" s="2">
        <v>1.7376</v>
      </c>
      <c r="I278" s="2">
        <v>0.98</v>
      </c>
      <c r="J278">
        <f>0.0626121515414764*(100)</f>
        <v>6.2612151541476395</v>
      </c>
      <c r="K278">
        <f>-0.1525*(100)</f>
        <v>-15.25</v>
      </c>
      <c r="L278" s="2">
        <v>1.2677</v>
      </c>
      <c r="M278" s="2">
        <v>0.61609999999999998</v>
      </c>
      <c r="N278" s="2">
        <v>22.0212</v>
      </c>
      <c r="O278" s="2">
        <v>0.43690000000000001</v>
      </c>
      <c r="P278" s="2">
        <v>3.2982999999999998</v>
      </c>
      <c r="Q278" s="2">
        <v>2.2608000000000001</v>
      </c>
      <c r="R278" s="2">
        <v>-467.69567482864147</v>
      </c>
      <c r="S278" s="2">
        <v>-10.555</v>
      </c>
      <c r="T278" s="2">
        <v>-47.9482</v>
      </c>
      <c r="U278" s="2">
        <v>59.063299999999998</v>
      </c>
      <c r="V278" s="2">
        <v>15.545975236649632</v>
      </c>
      <c r="W278" s="2">
        <v>3.6200511441666947</v>
      </c>
      <c r="X278" s="2">
        <v>110.21</v>
      </c>
      <c r="Y278" s="2">
        <v>-19.46</v>
      </c>
      <c r="Z278" s="4">
        <v>6</v>
      </c>
      <c r="AA278" s="4">
        <v>8.6999999999999993</v>
      </c>
      <c r="AB278" s="2">
        <v>2.9</v>
      </c>
      <c r="AC278" s="2">
        <v>15.6</v>
      </c>
      <c r="AD278" s="2">
        <v>4.7999999999999972</v>
      </c>
      <c r="AE278" s="2">
        <v>1</v>
      </c>
    </row>
    <row r="279" spans="1:31" x14ac:dyDescent="0.25">
      <c r="A279" s="2" t="s">
        <v>103</v>
      </c>
      <c r="B279" s="2">
        <v>2019</v>
      </c>
      <c r="C279" s="2" t="s">
        <v>242</v>
      </c>
      <c r="D279" s="2" t="s">
        <v>315</v>
      </c>
      <c r="E279" s="2">
        <v>-104.3428</v>
      </c>
      <c r="F279" s="2">
        <v>-45.003829500000023</v>
      </c>
      <c r="G279" s="2">
        <v>-1124.6746000000001</v>
      </c>
      <c r="H279" s="2">
        <v>7.9699999999999993E-2</v>
      </c>
      <c r="I279" s="2">
        <v>5.2400000000000002E-2</v>
      </c>
      <c r="J279">
        <f>0.0347963430266884*(100)</f>
        <v>3.4796343026688401</v>
      </c>
      <c r="K279">
        <f>-0.0142*(100)</f>
        <v>-1.4200000000000002</v>
      </c>
      <c r="L279" s="2">
        <v>0.47460000000000002</v>
      </c>
      <c r="M279" s="2">
        <v>0.1605</v>
      </c>
      <c r="N279" s="2">
        <v>0.64890000000000003</v>
      </c>
      <c r="O279" s="2">
        <v>0.1076</v>
      </c>
      <c r="P279" s="2">
        <v>0.54349999999999998</v>
      </c>
      <c r="Q279" s="2">
        <v>-94.853899999999996</v>
      </c>
      <c r="R279" s="2">
        <v>77.275637873251085</v>
      </c>
      <c r="S279" s="2">
        <v>-64.805499999999995</v>
      </c>
      <c r="T279" s="2">
        <v>-50.258600000000001</v>
      </c>
      <c r="U279" s="2">
        <v>800.92470000000003</v>
      </c>
      <c r="V279" s="2">
        <v>4.8489044267786134</v>
      </c>
      <c r="W279" s="2">
        <v>-28.217791734068442</v>
      </c>
      <c r="X279" s="2">
        <v>104.15</v>
      </c>
      <c r="Y279" s="2">
        <v>-55.09</v>
      </c>
      <c r="Z279" s="4">
        <v>6</v>
      </c>
      <c r="AA279" s="4">
        <v>8.6999999999999993</v>
      </c>
      <c r="AB279" s="2">
        <v>2.9</v>
      </c>
      <c r="AC279" s="2">
        <v>15.6</v>
      </c>
      <c r="AD279" s="2">
        <v>4.7999999999999972</v>
      </c>
      <c r="AE279" s="2">
        <v>1</v>
      </c>
    </row>
    <row r="280" spans="1:31" x14ac:dyDescent="0.25">
      <c r="A280" s="2" t="s">
        <v>101</v>
      </c>
      <c r="B280" s="2">
        <v>2019</v>
      </c>
      <c r="C280" s="2" t="s">
        <v>240</v>
      </c>
      <c r="D280" s="2" t="s">
        <v>298</v>
      </c>
      <c r="E280" s="2">
        <v>4.9638999999999998</v>
      </c>
      <c r="F280" s="2">
        <v>3.2584</v>
      </c>
      <c r="G280" s="2">
        <v>5.7164000000000001</v>
      </c>
      <c r="H280" s="2">
        <v>1.2461</v>
      </c>
      <c r="I280" s="2">
        <v>1.0397000000000001</v>
      </c>
      <c r="J280">
        <f>0.442705386304937*(100)</f>
        <v>44.270538630493697</v>
      </c>
      <c r="K280">
        <f>0.0775*(100)</f>
        <v>7.75</v>
      </c>
      <c r="L280" s="2">
        <v>9.6282999999999994</v>
      </c>
      <c r="M280" s="2">
        <v>1.6561999999999999</v>
      </c>
      <c r="N280" s="2">
        <v>3.7259000000000002</v>
      </c>
      <c r="O280" s="2">
        <v>0.5726</v>
      </c>
      <c r="P280" s="2">
        <v>11.5252</v>
      </c>
      <c r="Q280" s="2">
        <v>13.079599999999999</v>
      </c>
      <c r="R280" s="2">
        <v>-37.97917868927339</v>
      </c>
      <c r="S280" s="2">
        <v>14.069900000000001</v>
      </c>
      <c r="T280" s="2">
        <v>-0.65849999999999997</v>
      </c>
      <c r="U280" s="2">
        <v>45.223500000000001</v>
      </c>
      <c r="V280" s="2">
        <v>16.089343172576683</v>
      </c>
      <c r="W280" s="2">
        <v>2.5150600050698499</v>
      </c>
      <c r="X280" s="2">
        <v>116.81</v>
      </c>
      <c r="Y280" s="2">
        <v>6.56</v>
      </c>
      <c r="Z280" s="4">
        <v>6</v>
      </c>
      <c r="AA280" s="4">
        <v>8.6999999999999993</v>
      </c>
      <c r="AB280" s="2">
        <v>2.9</v>
      </c>
      <c r="AC280" s="2">
        <v>15.6</v>
      </c>
      <c r="AD280" s="2">
        <v>4.7999999999999972</v>
      </c>
      <c r="AE280" s="2">
        <v>1</v>
      </c>
    </row>
    <row r="281" spans="1:31" x14ac:dyDescent="0.25">
      <c r="A281" s="2" t="s">
        <v>72</v>
      </c>
      <c r="B281" s="2">
        <v>2019</v>
      </c>
      <c r="C281" s="2" t="s">
        <v>218</v>
      </c>
      <c r="D281" s="2" t="s">
        <v>322</v>
      </c>
      <c r="E281" s="2">
        <v>-7.2465000000000002</v>
      </c>
      <c r="F281" s="2">
        <v>-21.229900000000001</v>
      </c>
      <c r="G281" s="2">
        <v>-10.3484</v>
      </c>
      <c r="H281" s="2">
        <v>1.8574999999999999</v>
      </c>
      <c r="I281" s="2">
        <v>0.90410000000000001</v>
      </c>
      <c r="J281">
        <f>0.0504837228006937*(100)</f>
        <v>5.04837228006937</v>
      </c>
      <c r="K281">
        <f>-0.0324*(100)</f>
        <v>-3.2399999999999998</v>
      </c>
      <c r="L281" s="2">
        <v>1.8269</v>
      </c>
      <c r="M281" s="2">
        <v>1.0779000000000001</v>
      </c>
      <c r="N281" s="2">
        <v>21.502800000000001</v>
      </c>
      <c r="O281" s="2">
        <v>0.9103</v>
      </c>
      <c r="P281" s="2">
        <v>3.8772000000000002</v>
      </c>
      <c r="Q281" s="2">
        <v>34.328299999999999</v>
      </c>
      <c r="R281" s="2">
        <v>-308.82259125283542</v>
      </c>
      <c r="S281" s="2">
        <v>-11.9938</v>
      </c>
      <c r="T281" s="2">
        <v>-20.053799999999999</v>
      </c>
      <c r="U281" s="2">
        <v>56.438400000000001</v>
      </c>
      <c r="V281" s="2">
        <v>8.3824928378220829</v>
      </c>
      <c r="W281" s="2">
        <v>9.7944485363924034</v>
      </c>
      <c r="X281" s="2">
        <v>98.48</v>
      </c>
      <c r="Y281" s="2">
        <v>-1.88</v>
      </c>
      <c r="Z281" s="4">
        <v>6</v>
      </c>
      <c r="AA281" s="4">
        <v>8.6999999999999993</v>
      </c>
      <c r="AB281" s="2">
        <v>2.9</v>
      </c>
      <c r="AC281" s="2">
        <v>15.6</v>
      </c>
      <c r="AD281" s="2">
        <v>5.5999999999999943</v>
      </c>
      <c r="AE281" s="2">
        <v>1</v>
      </c>
    </row>
    <row r="282" spans="1:31" x14ac:dyDescent="0.25">
      <c r="A282" s="2" t="s">
        <v>121</v>
      </c>
      <c r="B282" s="2">
        <v>2019</v>
      </c>
      <c r="C282" s="2" t="s">
        <v>258</v>
      </c>
      <c r="D282" s="2" t="s">
        <v>339</v>
      </c>
      <c r="E282" s="2">
        <v>4.7450000000000001</v>
      </c>
      <c r="F282" s="2">
        <v>1.2539</v>
      </c>
      <c r="G282" s="2">
        <v>3.8713000000000002</v>
      </c>
      <c r="H282" s="2">
        <v>1.2301</v>
      </c>
      <c r="I282" s="2">
        <v>0.97089999999999999</v>
      </c>
      <c r="J282">
        <f>0.0914722035355251*(100)</f>
        <v>9.147220353552509</v>
      </c>
      <c r="K282">
        <f>-0.0658*(100)</f>
        <v>-6.58</v>
      </c>
      <c r="L282" s="2">
        <v>2.7671999999999999</v>
      </c>
      <c r="M282" s="2">
        <v>0.88790000000000002</v>
      </c>
      <c r="N282" s="2">
        <v>3.8454000000000002</v>
      </c>
      <c r="O282" s="2">
        <v>0.36330000000000001</v>
      </c>
      <c r="P282" s="2">
        <v>7.8533999999999997</v>
      </c>
      <c r="Q282" s="2">
        <v>-24.363199999999999</v>
      </c>
      <c r="R282" s="2">
        <v>-81.235087483596786</v>
      </c>
      <c r="S282" s="2">
        <v>4.9127999999999998</v>
      </c>
      <c r="T282" s="2">
        <v>1.2618</v>
      </c>
      <c r="U282" s="2">
        <v>53.584099999999999</v>
      </c>
      <c r="V282" s="2">
        <v>17.81622292121224</v>
      </c>
      <c r="W282" s="2">
        <v>4.9956196043827186</v>
      </c>
      <c r="X282" s="2">
        <v>112.05</v>
      </c>
      <c r="Y282" s="2">
        <v>-9.94</v>
      </c>
      <c r="Z282" s="4">
        <v>6</v>
      </c>
      <c r="AA282" s="4">
        <v>8.6999999999999993</v>
      </c>
      <c r="AB282" s="2">
        <v>2.9</v>
      </c>
      <c r="AC282" s="2">
        <v>15.6</v>
      </c>
      <c r="AD282" s="2">
        <v>5.5999999999999943</v>
      </c>
      <c r="AE282" s="2">
        <v>1</v>
      </c>
    </row>
    <row r="283" spans="1:31" x14ac:dyDescent="0.25">
      <c r="A283" s="2" t="s">
        <v>124</v>
      </c>
      <c r="B283" s="2">
        <v>2019</v>
      </c>
      <c r="C283" s="2" t="s">
        <v>261</v>
      </c>
      <c r="D283" s="2" t="s">
        <v>322</v>
      </c>
      <c r="E283" s="2">
        <v>-12.9506</v>
      </c>
      <c r="F283" s="2">
        <v>-73.181200000000004</v>
      </c>
      <c r="G283" s="2">
        <v>-46.466900000000003</v>
      </c>
      <c r="H283" s="2">
        <v>1.2336</v>
      </c>
      <c r="I283" s="2">
        <v>8.1299999999999997E-2</v>
      </c>
      <c r="J283">
        <f>0.000830349816197122*(100)</f>
        <v>8.3034981619712206E-2</v>
      </c>
      <c r="K283">
        <f>-0.0147*(100)</f>
        <v>-1.47</v>
      </c>
      <c r="L283" s="2">
        <v>0.33750000000000002</v>
      </c>
      <c r="M283" s="2">
        <v>0.29149999999999998</v>
      </c>
      <c r="N283" s="2">
        <v>13.327199999999999</v>
      </c>
      <c r="O283" s="2">
        <v>0.24679999999999999</v>
      </c>
      <c r="P283" s="2">
        <v>8.1181000000000001</v>
      </c>
      <c r="Q283" s="2">
        <v>-68.081299999999999</v>
      </c>
      <c r="R283" s="2">
        <v>-843.62154936724642</v>
      </c>
      <c r="S283" s="2">
        <v>-8.3412000000000006</v>
      </c>
      <c r="T283" s="2">
        <v>-53.576999999999998</v>
      </c>
      <c r="U283" s="2">
        <v>86.8245</v>
      </c>
      <c r="V283" s="2">
        <v>20.200305496251815</v>
      </c>
      <c r="W283" s="2">
        <v>7.5769845873722588</v>
      </c>
      <c r="X283" s="2">
        <v>80.38</v>
      </c>
      <c r="Y283" s="2">
        <v>-4.96</v>
      </c>
      <c r="Z283" s="4">
        <v>6</v>
      </c>
      <c r="AA283" s="4">
        <v>8.6999999999999993</v>
      </c>
      <c r="AB283" s="2">
        <v>2.9</v>
      </c>
      <c r="AC283" s="2">
        <v>15.6</v>
      </c>
      <c r="AD283" s="2">
        <v>5.5999999999999943</v>
      </c>
      <c r="AE283" s="2">
        <v>1</v>
      </c>
    </row>
    <row r="284" spans="1:31" x14ac:dyDescent="0.25">
      <c r="A284" s="2" t="s">
        <v>99</v>
      </c>
      <c r="B284" s="2">
        <v>2019</v>
      </c>
      <c r="C284" s="2" t="s">
        <v>238</v>
      </c>
      <c r="D284" s="2" t="s">
        <v>297</v>
      </c>
      <c r="E284" s="2">
        <v>7.1694000000000004</v>
      </c>
      <c r="F284" s="2">
        <v>7.4852999999999996</v>
      </c>
      <c r="G284" s="2">
        <v>5.2385999999999999</v>
      </c>
      <c r="H284" s="2">
        <v>1.1533</v>
      </c>
      <c r="I284" s="2">
        <v>0.70920000000000005</v>
      </c>
      <c r="J284">
        <f>0.256674609672327*(100)</f>
        <v>25.667460967232703</v>
      </c>
      <c r="K284">
        <f>0.0729*(100)</f>
        <v>7.2900000000000009</v>
      </c>
      <c r="L284" s="2">
        <v>6.0715000000000003</v>
      </c>
      <c r="M284" s="2">
        <v>2.5663999999999998</v>
      </c>
      <c r="N284" s="2">
        <v>3.1629999999999998</v>
      </c>
      <c r="O284" s="2">
        <v>1.0854999999999999</v>
      </c>
      <c r="P284" s="2">
        <v>54.070099999999996</v>
      </c>
      <c r="Q284" s="2">
        <v>0.25590000000000002</v>
      </c>
      <c r="R284" s="2">
        <v>-11.05442502370922</v>
      </c>
      <c r="S284" s="2">
        <v>-0.56279999999999997</v>
      </c>
      <c r="T284" s="2">
        <v>7.8753000000000002</v>
      </c>
      <c r="U284" s="2">
        <v>55.164299999999997</v>
      </c>
      <c r="V284" s="2">
        <v>16.928608517804541</v>
      </c>
      <c r="W284" s="2">
        <v>1.2303363254367141</v>
      </c>
      <c r="X284" s="2">
        <v>113.76</v>
      </c>
      <c r="Y284" s="2">
        <v>3.7</v>
      </c>
      <c r="Z284" s="4">
        <v>6</v>
      </c>
      <c r="AA284" s="4">
        <v>8.6999999999999993</v>
      </c>
      <c r="AB284" s="2">
        <v>2.9</v>
      </c>
      <c r="AC284" s="2">
        <v>15.6</v>
      </c>
      <c r="AD284" s="2">
        <v>4.7999999999999972</v>
      </c>
      <c r="AE284" s="2">
        <v>1</v>
      </c>
    </row>
    <row r="285" spans="1:31" x14ac:dyDescent="0.25">
      <c r="A285" s="2" t="s">
        <v>109</v>
      </c>
      <c r="B285" s="2">
        <v>2019</v>
      </c>
      <c r="C285" s="2" t="s">
        <v>248</v>
      </c>
      <c r="D285" s="2" t="s">
        <v>300</v>
      </c>
      <c r="E285" s="2">
        <v>-24.2714</v>
      </c>
      <c r="F285" s="2">
        <v>-166.22739999999999</v>
      </c>
      <c r="G285" s="2">
        <v>-46.682299999999998</v>
      </c>
      <c r="H285" s="2">
        <v>0.56730000000000003</v>
      </c>
      <c r="I285" s="2">
        <v>0.312</v>
      </c>
      <c r="J285">
        <f>0.1008740350189*(100)</f>
        <v>10.08740350189</v>
      </c>
      <c r="K285">
        <f>0.0087*(100)</f>
        <v>0.86999999999999988</v>
      </c>
      <c r="L285" s="2">
        <v>2.0907</v>
      </c>
      <c r="M285" s="2">
        <v>0.98740000000000006</v>
      </c>
      <c r="N285" s="2">
        <v>8.4374000000000002</v>
      </c>
      <c r="O285" s="2">
        <v>0.48830000000000001</v>
      </c>
      <c r="P285" s="2">
        <v>5.4752000000000001</v>
      </c>
      <c r="Q285" s="2">
        <v>22.138400000000001</v>
      </c>
      <c r="R285" s="2">
        <v>-169.46787853320731</v>
      </c>
      <c r="S285" s="2">
        <v>-39.439900000000002</v>
      </c>
      <c r="T285" s="2">
        <v>-90.101799999999997</v>
      </c>
      <c r="U285" s="2">
        <v>96.168599999999998</v>
      </c>
      <c r="V285" s="2">
        <v>10.678805661807427</v>
      </c>
      <c r="W285" s="2">
        <v>0.51283569437732501</v>
      </c>
      <c r="X285" s="2">
        <v>90.19</v>
      </c>
      <c r="Y285" s="2">
        <v>1.29</v>
      </c>
      <c r="Z285" s="4">
        <v>6</v>
      </c>
      <c r="AA285" s="4">
        <v>8.6999999999999993</v>
      </c>
      <c r="AB285" s="2">
        <v>2.9</v>
      </c>
      <c r="AC285" s="2">
        <v>15.6</v>
      </c>
      <c r="AD285" s="2">
        <v>4.7999999999999972</v>
      </c>
      <c r="AE285" s="2">
        <v>1</v>
      </c>
    </row>
    <row r="286" spans="1:31" x14ac:dyDescent="0.25">
      <c r="A286" s="2" t="s">
        <v>108</v>
      </c>
      <c r="B286" s="2">
        <v>2019</v>
      </c>
      <c r="C286" s="2" t="s">
        <v>247</v>
      </c>
      <c r="D286" s="2" t="s">
        <v>335</v>
      </c>
      <c r="E286" s="2">
        <v>-10.239000000000001</v>
      </c>
      <c r="F286" s="2">
        <v>-46.159700000000001</v>
      </c>
      <c r="G286" s="2">
        <v>-28.130600000000001</v>
      </c>
      <c r="H286" s="2">
        <v>1.1876</v>
      </c>
      <c r="I286" s="2">
        <v>1.1218999999999999</v>
      </c>
      <c r="J286">
        <f>0.153054778111768*(100)</f>
        <v>15.305477811176798</v>
      </c>
      <c r="K286">
        <f>-0.0762*(100)</f>
        <v>-7.62</v>
      </c>
      <c r="L286" s="2">
        <v>6.9203000000000001</v>
      </c>
      <c r="M286" s="2">
        <v>0.82199999999999995</v>
      </c>
      <c r="N286" s="2">
        <v>14.8461</v>
      </c>
      <c r="O286" s="2">
        <v>0.46820000000000001</v>
      </c>
      <c r="P286" s="2">
        <v>7.2343000000000002</v>
      </c>
      <c r="Q286" s="2">
        <v>-43.646099999999997</v>
      </c>
      <c r="R286" s="2">
        <v>-478.80540324869071</v>
      </c>
      <c r="S286" s="2">
        <v>1.839</v>
      </c>
      <c r="T286" s="2">
        <v>-48.556800000000003</v>
      </c>
      <c r="U286" s="2">
        <v>75.062600000000003</v>
      </c>
      <c r="V286" s="2">
        <v>25.785127088737724</v>
      </c>
      <c r="W286" s="2">
        <v>4.9925201913916144</v>
      </c>
      <c r="X286" s="2">
        <v>120.13</v>
      </c>
      <c r="Y286" s="2">
        <v>-12.33</v>
      </c>
      <c r="Z286" s="4">
        <v>6</v>
      </c>
      <c r="AA286" s="4">
        <v>8.6999999999999993</v>
      </c>
      <c r="AB286" s="2">
        <v>2.9</v>
      </c>
      <c r="AC286" s="2">
        <v>15.6</v>
      </c>
      <c r="AD286" s="2">
        <v>5.5999999999999943</v>
      </c>
      <c r="AE286" s="2">
        <v>1</v>
      </c>
    </row>
    <row r="287" spans="1:31" x14ac:dyDescent="0.25">
      <c r="A287" s="2" t="s">
        <v>110</v>
      </c>
      <c r="B287" s="2">
        <v>2019</v>
      </c>
      <c r="C287" s="2" t="s">
        <v>249</v>
      </c>
      <c r="D287" s="2" t="s">
        <v>336</v>
      </c>
      <c r="E287" s="2">
        <v>1.3321000000000001</v>
      </c>
      <c r="F287" s="2">
        <v>-10.8284</v>
      </c>
      <c r="G287" s="2">
        <v>-6.1437999999999997</v>
      </c>
      <c r="H287" s="2">
        <v>0.84209999999999996</v>
      </c>
      <c r="I287" s="2">
        <v>0.54449999999999998</v>
      </c>
      <c r="J287">
        <f>0.256916573977158*(100)</f>
        <v>25.691657397715801</v>
      </c>
      <c r="K287">
        <f>0.0549*(100)</f>
        <v>5.4899999999999993</v>
      </c>
      <c r="L287" s="2">
        <v>2.1320999999999999</v>
      </c>
      <c r="M287" s="2">
        <v>0.84440000000000004</v>
      </c>
      <c r="N287" s="2">
        <v>1.9201999999999999</v>
      </c>
      <c r="O287" s="2">
        <v>0.34960000000000002</v>
      </c>
      <c r="P287" s="2">
        <v>6.7991000000000001</v>
      </c>
      <c r="Q287" s="2">
        <v>1.798</v>
      </c>
      <c r="R287" s="2">
        <v>-243.23560814292679</v>
      </c>
      <c r="S287" s="2">
        <v>7.3853999999999997</v>
      </c>
      <c r="T287" s="2">
        <v>-12.2334</v>
      </c>
      <c r="U287" s="2">
        <v>68.900999999999996</v>
      </c>
      <c r="V287" s="2">
        <v>21.139215760330039</v>
      </c>
      <c r="W287" s="2">
        <v>1.252331465175899</v>
      </c>
      <c r="X287" s="2">
        <v>119.38</v>
      </c>
      <c r="Y287" s="2">
        <v>11.35</v>
      </c>
      <c r="Z287" s="4">
        <v>6</v>
      </c>
      <c r="AA287" s="4">
        <v>8.6999999999999993</v>
      </c>
      <c r="AB287" s="2">
        <v>2.9</v>
      </c>
      <c r="AC287" s="2">
        <v>15.6</v>
      </c>
      <c r="AD287" s="2">
        <v>5.5999999999999943</v>
      </c>
      <c r="AE287" s="2">
        <v>1</v>
      </c>
    </row>
    <row r="288" spans="1:31" x14ac:dyDescent="0.25">
      <c r="A288" s="2" t="s">
        <v>105</v>
      </c>
      <c r="B288" s="2">
        <v>2019</v>
      </c>
      <c r="C288" s="2" t="s">
        <v>244</v>
      </c>
      <c r="D288" s="2" t="s">
        <v>333</v>
      </c>
      <c r="E288" s="2">
        <v>-4.3856999999999999</v>
      </c>
      <c r="F288" s="2">
        <v>-171.6722</v>
      </c>
      <c r="G288" s="2">
        <v>-14.1958</v>
      </c>
      <c r="H288" s="2">
        <v>0.96899999999999997</v>
      </c>
      <c r="I288" s="2">
        <v>0.81259999999999999</v>
      </c>
      <c r="J288">
        <f>0.291640661986438*(100)</f>
        <v>29.164066198643802</v>
      </c>
      <c r="K288">
        <f>-0.1489*(100)</f>
        <v>-14.89</v>
      </c>
      <c r="L288" s="2">
        <v>4.5621999999999998</v>
      </c>
      <c r="M288" s="2">
        <v>0.95220000000000005</v>
      </c>
      <c r="N288" s="2">
        <v>7.5156999999999998</v>
      </c>
      <c r="O288" s="2">
        <v>0.52529999999999999</v>
      </c>
      <c r="P288" s="2">
        <v>8.8219999999999992</v>
      </c>
      <c r="Q288" s="2">
        <v>-22.6584</v>
      </c>
      <c r="R288" s="2">
        <v>-632.64242566387395</v>
      </c>
      <c r="S288" s="2">
        <v>-12.7128</v>
      </c>
      <c r="T288" s="2">
        <v>-225.6103</v>
      </c>
      <c r="U288" s="2">
        <v>73.312600000000003</v>
      </c>
      <c r="V288" s="2">
        <v>14.850805634226868</v>
      </c>
      <c r="W288" s="2">
        <v>-0.59471557550906262</v>
      </c>
      <c r="X288" s="2">
        <v>107.88</v>
      </c>
      <c r="Y288" s="2">
        <v>-19.38</v>
      </c>
      <c r="Z288" s="4">
        <v>6</v>
      </c>
      <c r="AA288" s="4">
        <v>8.6999999999999993</v>
      </c>
      <c r="AB288" s="2">
        <v>2.9</v>
      </c>
      <c r="AC288" s="2">
        <v>15.6</v>
      </c>
      <c r="AD288" s="2">
        <v>5.5999999999999943</v>
      </c>
      <c r="AE288" s="2">
        <v>1</v>
      </c>
    </row>
    <row r="289" spans="1:31" x14ac:dyDescent="0.25">
      <c r="A289" s="2" t="s">
        <v>115</v>
      </c>
      <c r="B289" s="2">
        <v>2019</v>
      </c>
      <c r="C289" s="2" t="s">
        <v>252</v>
      </c>
      <c r="D289" s="2" t="s">
        <v>295</v>
      </c>
      <c r="E289" s="2">
        <v>1.9703999999999999</v>
      </c>
      <c r="F289" s="2">
        <v>-3.5642</v>
      </c>
      <c r="G289" s="2">
        <v>-5.3503999999999996</v>
      </c>
      <c r="H289" s="2">
        <v>2.8148</v>
      </c>
      <c r="I289" s="2">
        <v>1.4962</v>
      </c>
      <c r="J289">
        <f>0.332843691409624*(100)</f>
        <v>33.284369140962397</v>
      </c>
      <c r="K289">
        <f>0.0013*(100)</f>
        <v>0.13</v>
      </c>
      <c r="L289" s="2">
        <v>0.2606</v>
      </c>
      <c r="M289" s="2">
        <v>0.15049999999999999</v>
      </c>
      <c r="N289" s="2">
        <v>1.4486000000000001</v>
      </c>
      <c r="O289" s="2">
        <v>8.4500000000000006E-2</v>
      </c>
      <c r="P289" s="2">
        <v>2.7155</v>
      </c>
      <c r="Q289" s="2">
        <v>-18.789200000000001</v>
      </c>
      <c r="R289" s="2">
        <v>-227.83302767190489</v>
      </c>
      <c r="S289" s="2">
        <v>5.2432999999999996</v>
      </c>
      <c r="T289" s="2">
        <v>-3.6212</v>
      </c>
      <c r="U289" s="2">
        <v>59.549799999999998</v>
      </c>
      <c r="V289" s="2">
        <v>40.104879759268073</v>
      </c>
      <c r="W289" s="2">
        <v>4.8030690465453016</v>
      </c>
      <c r="X289" s="2">
        <v>117.71</v>
      </c>
      <c r="Y289" s="2">
        <v>0.95</v>
      </c>
      <c r="Z289" s="4">
        <v>6</v>
      </c>
      <c r="AA289" s="4">
        <v>8.6999999999999993</v>
      </c>
      <c r="AB289" s="2">
        <v>2.9</v>
      </c>
      <c r="AC289" s="2">
        <v>15.6</v>
      </c>
      <c r="AD289" s="2">
        <v>2.5999999999999943</v>
      </c>
      <c r="AE289" s="2">
        <v>1</v>
      </c>
    </row>
    <row r="290" spans="1:31" x14ac:dyDescent="0.25">
      <c r="A290" s="2" t="s">
        <v>116</v>
      </c>
      <c r="B290" s="2">
        <v>2019</v>
      </c>
      <c r="C290" s="2" t="s">
        <v>253</v>
      </c>
      <c r="D290" s="2" t="s">
        <v>338</v>
      </c>
      <c r="E290" s="2">
        <v>-11.481400000000001</v>
      </c>
      <c r="F290" s="2">
        <v>-62.477699999999999</v>
      </c>
      <c r="G290" s="2">
        <v>-14.4026</v>
      </c>
      <c r="H290" s="2">
        <v>0.71389999999999998</v>
      </c>
      <c r="I290" s="2">
        <v>0.57699999999999996</v>
      </c>
      <c r="J290">
        <f>0.272480225564692*(100)</f>
        <v>27.248022556469198</v>
      </c>
      <c r="K290">
        <f>-0.4635*(100)</f>
        <v>-46.35</v>
      </c>
      <c r="L290" s="2">
        <v>7.1738</v>
      </c>
      <c r="M290" s="2">
        <v>1.3069</v>
      </c>
      <c r="N290" s="2">
        <v>5.2343999999999999</v>
      </c>
      <c r="O290" s="2">
        <v>0.87209999999999999</v>
      </c>
      <c r="P290" s="2">
        <v>34.2224</v>
      </c>
      <c r="Q290" s="2">
        <v>-40.365299999999998</v>
      </c>
      <c r="R290" s="2">
        <v>-3277.0906885678492</v>
      </c>
      <c r="S290" s="2">
        <v>-48.260300000000001</v>
      </c>
      <c r="T290" s="2">
        <v>-51.724600000000002</v>
      </c>
      <c r="U290" s="2">
        <v>80.284300000000002</v>
      </c>
      <c r="V290" s="2">
        <v>4.4031487754623715</v>
      </c>
      <c r="W290" s="2">
        <v>0.82498851762393988</v>
      </c>
      <c r="X290" s="2">
        <v>121.67</v>
      </c>
      <c r="Y290" s="2">
        <v>-29.1</v>
      </c>
      <c r="Z290" s="4">
        <v>6</v>
      </c>
      <c r="AA290" s="4">
        <v>8.6999999999999993</v>
      </c>
      <c r="AB290" s="2">
        <v>2.9</v>
      </c>
      <c r="AC290" s="2">
        <v>15.6</v>
      </c>
      <c r="AD290" s="2">
        <v>5.5999999999999943</v>
      </c>
      <c r="AE290" s="2">
        <v>1</v>
      </c>
    </row>
    <row r="291" spans="1:31" x14ac:dyDescent="0.25">
      <c r="A291" s="2" t="s">
        <v>125</v>
      </c>
      <c r="B291" s="2">
        <v>2019</v>
      </c>
      <c r="C291" s="2" t="s">
        <v>262</v>
      </c>
      <c r="D291" s="2" t="s">
        <v>298</v>
      </c>
      <c r="E291" s="2">
        <v>7.1459000000000001</v>
      </c>
      <c r="F291" s="2">
        <v>6.9002999999999997</v>
      </c>
      <c r="G291" s="2">
        <v>1.8249</v>
      </c>
      <c r="H291" s="2">
        <v>1.4408000000000001</v>
      </c>
      <c r="I291" s="2">
        <v>1.1299999999999999</v>
      </c>
      <c r="J291">
        <f>0.0578934318777602*(100)</f>
        <v>5.7893431877760202</v>
      </c>
      <c r="K291">
        <f>-0.0117*(100)</f>
        <v>-1.17</v>
      </c>
      <c r="L291" s="2">
        <v>4.9325000000000001</v>
      </c>
      <c r="M291" s="2">
        <v>1.6194</v>
      </c>
      <c r="N291" s="2">
        <v>2.7320000000000002</v>
      </c>
      <c r="O291" s="2">
        <v>0.86780000000000002</v>
      </c>
      <c r="P291" s="2">
        <v>21.4054</v>
      </c>
      <c r="Q291" s="2">
        <v>27.742699999999999</v>
      </c>
      <c r="R291" s="2">
        <v>-59.941445638398363</v>
      </c>
      <c r="S291" s="2">
        <v>28.4908</v>
      </c>
      <c r="T291" s="2">
        <v>8.3879000000000001</v>
      </c>
      <c r="U291" s="2">
        <v>80.529600000000002</v>
      </c>
      <c r="V291" s="2">
        <v>38.521143344181375</v>
      </c>
      <c r="W291" s="2">
        <v>0.53862709819301446</v>
      </c>
      <c r="X291" s="2">
        <v>95.59</v>
      </c>
      <c r="Y291" s="2">
        <v>-1.22</v>
      </c>
      <c r="Z291" s="4">
        <v>6</v>
      </c>
      <c r="AA291" s="4">
        <v>8.6999999999999993</v>
      </c>
      <c r="AB291" s="2">
        <v>2.9</v>
      </c>
      <c r="AC291" s="2">
        <v>15.6</v>
      </c>
      <c r="AD291" s="2">
        <v>4.7999999999999972</v>
      </c>
      <c r="AE291" s="2">
        <v>1</v>
      </c>
    </row>
    <row r="292" spans="1:31" x14ac:dyDescent="0.25">
      <c r="A292" s="2" t="s">
        <v>31</v>
      </c>
      <c r="B292" s="2">
        <v>2019</v>
      </c>
      <c r="C292" s="2" t="s">
        <v>184</v>
      </c>
      <c r="D292" s="2" t="s">
        <v>295</v>
      </c>
      <c r="E292" s="2">
        <v>-33.497900000000001</v>
      </c>
      <c r="F292" s="2">
        <v>-183.10509999999999</v>
      </c>
      <c r="G292" s="2">
        <v>-80.145899999999997</v>
      </c>
      <c r="H292" s="2">
        <v>0.61299999999999999</v>
      </c>
      <c r="I292" s="2">
        <v>0.17630000000000001</v>
      </c>
      <c r="J292">
        <f>0.0403162867130535*(100)</f>
        <v>4.0316286713053495</v>
      </c>
      <c r="K292">
        <f>0.0018*(100)</f>
        <v>0.18</v>
      </c>
      <c r="L292" s="2">
        <v>0.66569999999999996</v>
      </c>
      <c r="M292" s="2">
        <v>0.89980000000000004</v>
      </c>
      <c r="N292" s="2">
        <v>34.026899999999998</v>
      </c>
      <c r="O292" s="2">
        <v>0.29620000000000002</v>
      </c>
      <c r="P292" s="2">
        <v>12.388299999999999</v>
      </c>
      <c r="Q292" s="2">
        <v>26.544499999999999</v>
      </c>
      <c r="R292" s="2">
        <v>-749.79019366346483</v>
      </c>
      <c r="S292" s="2">
        <v>-41.782299999999999</v>
      </c>
      <c r="T292" s="2">
        <v>-96.637100000000004</v>
      </c>
      <c r="U292" s="2">
        <v>98.3857</v>
      </c>
      <c r="V292" s="2">
        <v>51.50483306614867</v>
      </c>
      <c r="W292" s="2">
        <v>2.9044509786395207</v>
      </c>
      <c r="X292" s="2">
        <v>44.36</v>
      </c>
      <c r="Y292" s="2">
        <v>0.43</v>
      </c>
      <c r="Z292" s="4">
        <v>6</v>
      </c>
      <c r="AA292" s="4">
        <v>8.6999999999999993</v>
      </c>
      <c r="AB292" s="2">
        <v>2.9</v>
      </c>
      <c r="AC292" s="2">
        <v>15.6</v>
      </c>
      <c r="AD292" s="2">
        <v>2.5999999999999943</v>
      </c>
      <c r="AE292" s="2">
        <v>1</v>
      </c>
    </row>
    <row r="293" spans="1:31" x14ac:dyDescent="0.25">
      <c r="A293" s="2" t="s">
        <v>102</v>
      </c>
      <c r="B293" s="2">
        <v>2019</v>
      </c>
      <c r="C293" s="2" t="s">
        <v>241</v>
      </c>
      <c r="D293" s="2" t="s">
        <v>322</v>
      </c>
      <c r="E293" s="2">
        <v>-6.5330000000000004</v>
      </c>
      <c r="F293" s="2">
        <v>-35.566499999999998</v>
      </c>
      <c r="G293" s="2">
        <v>-22.310099999999998</v>
      </c>
      <c r="H293" s="2">
        <v>0.77159999999999995</v>
      </c>
      <c r="I293" s="2">
        <v>0.6139</v>
      </c>
      <c r="J293">
        <f>0.0478486766982601*(100)</f>
        <v>4.78486766982601</v>
      </c>
      <c r="K293">
        <f>0.1736*(100)</f>
        <v>17.36</v>
      </c>
      <c r="L293" s="2">
        <v>4.0331000000000001</v>
      </c>
      <c r="M293" s="2">
        <v>0.85719999999999996</v>
      </c>
      <c r="N293" s="2">
        <v>4.2096</v>
      </c>
      <c r="O293" s="2">
        <v>0.45600000000000002</v>
      </c>
      <c r="P293" s="2">
        <v>1.7784</v>
      </c>
      <c r="Q293" s="2">
        <v>-13.518000000000001</v>
      </c>
      <c r="R293" s="2">
        <v>-469.39613657375719</v>
      </c>
      <c r="S293" s="2">
        <v>-37.316400000000002</v>
      </c>
      <c r="T293" s="2">
        <v>-34.268599999999999</v>
      </c>
      <c r="U293" s="2">
        <v>67.809899999999999</v>
      </c>
      <c r="V293" s="2">
        <v>0.73548759991592005</v>
      </c>
      <c r="W293" s="2">
        <v>2.8848011219288905</v>
      </c>
      <c r="X293" s="2">
        <v>123.8</v>
      </c>
      <c r="Y293" s="2">
        <v>19.89</v>
      </c>
      <c r="Z293" s="4">
        <v>6</v>
      </c>
      <c r="AA293" s="4">
        <v>8.6999999999999993</v>
      </c>
      <c r="AB293" s="2">
        <v>2.9</v>
      </c>
      <c r="AC293" s="2">
        <v>15.6</v>
      </c>
      <c r="AD293" s="2">
        <v>5.5999999999999943</v>
      </c>
      <c r="AE293" s="2">
        <v>1</v>
      </c>
    </row>
    <row r="294" spans="1:31" x14ac:dyDescent="0.25">
      <c r="A294" s="2" t="s">
        <v>123</v>
      </c>
      <c r="B294" s="2">
        <v>2019</v>
      </c>
      <c r="C294" s="2" t="s">
        <v>260</v>
      </c>
      <c r="D294" s="2" t="s">
        <v>310</v>
      </c>
      <c r="E294" s="2">
        <v>-26.9711</v>
      </c>
      <c r="F294" s="2">
        <v>-179.78579999999999</v>
      </c>
      <c r="G294" s="2">
        <v>-440.15129999999999</v>
      </c>
      <c r="H294" s="2">
        <v>0.8871</v>
      </c>
      <c r="I294" s="2">
        <v>0.79900000000000004</v>
      </c>
      <c r="J294">
        <f>0.0564179321956467*(100)</f>
        <v>5.6417932195646694</v>
      </c>
      <c r="K294">
        <f>0.0035*(100)</f>
        <v>0.35000000000000003</v>
      </c>
      <c r="L294" s="2">
        <v>0.95099999999999996</v>
      </c>
      <c r="M294" s="2">
        <v>0.1075</v>
      </c>
      <c r="N294" s="2">
        <v>0.58279999999999998</v>
      </c>
      <c r="O294" s="2">
        <v>6.8000000000000005E-2</v>
      </c>
      <c r="P294" s="2">
        <v>0.78300000000000003</v>
      </c>
      <c r="Q294" s="2">
        <v>-62.677199999999999</v>
      </c>
      <c r="R294" s="2">
        <v>-2599.5041079122329</v>
      </c>
      <c r="S294" s="2">
        <v>-2.1486999999999998</v>
      </c>
      <c r="T294" s="2">
        <v>-92.7102</v>
      </c>
      <c r="U294" s="2">
        <v>96.661900000000003</v>
      </c>
      <c r="V294" s="2">
        <v>19.340243417931742</v>
      </c>
      <c r="W294" s="2">
        <v>0.17477451850460618</v>
      </c>
      <c r="X294" s="2">
        <v>157.08000000000001</v>
      </c>
      <c r="Y294" s="2">
        <v>4.9400000000000004</v>
      </c>
      <c r="Z294" s="4">
        <v>6</v>
      </c>
      <c r="AA294" s="4">
        <v>8.6999999999999993</v>
      </c>
      <c r="AB294" s="2">
        <v>2.9</v>
      </c>
      <c r="AC294" s="2">
        <v>15.6</v>
      </c>
      <c r="AD294" s="2">
        <v>4.7999999999999972</v>
      </c>
      <c r="AE294" s="2">
        <v>1</v>
      </c>
    </row>
    <row r="295" spans="1:31" x14ac:dyDescent="0.25">
      <c r="A295" s="2" t="s">
        <v>45</v>
      </c>
      <c r="B295" s="2">
        <v>2019</v>
      </c>
      <c r="C295" s="2" t="s">
        <v>197</v>
      </c>
      <c r="D295" s="2" t="s">
        <v>307</v>
      </c>
      <c r="E295" s="2">
        <v>-14.7849</v>
      </c>
      <c r="F295" s="2">
        <v>-128.0121</v>
      </c>
      <c r="G295" s="2">
        <v>-113.8254</v>
      </c>
      <c r="H295" s="2">
        <v>0.62180000000000002</v>
      </c>
      <c r="I295" s="2">
        <v>0.55710000000000004</v>
      </c>
      <c r="J295">
        <f>0.0293875481336888*(100)</f>
        <v>2.9387548133688801</v>
      </c>
      <c r="K295">
        <f>-0.045*(100)</f>
        <v>-4.5</v>
      </c>
      <c r="L295" s="2">
        <v>3.1993</v>
      </c>
      <c r="M295" s="2">
        <v>0.33189999999999997</v>
      </c>
      <c r="N295" s="2">
        <v>0.96599999999999997</v>
      </c>
      <c r="O295" s="2">
        <v>0.16189999999999999</v>
      </c>
      <c r="P295" s="2">
        <v>6.5629999999999997</v>
      </c>
      <c r="Q295" s="2">
        <v>-37.5974</v>
      </c>
      <c r="R295" s="2">
        <v>-3940.0099946970122</v>
      </c>
      <c r="S295" s="2">
        <v>-7.8409000000000004</v>
      </c>
      <c r="T295" s="2">
        <v>-78.379900000000006</v>
      </c>
      <c r="U295" s="2">
        <v>87.885400000000004</v>
      </c>
      <c r="V295" s="2">
        <v>16.539326412037646</v>
      </c>
      <c r="W295" s="2">
        <v>0.28664339253754229</v>
      </c>
      <c r="X295" s="2">
        <v>102.88</v>
      </c>
      <c r="Y295" s="2">
        <v>-23.44</v>
      </c>
      <c r="Z295" s="4">
        <v>6</v>
      </c>
      <c r="AA295" s="4">
        <v>8.6999999999999993</v>
      </c>
      <c r="AB295" s="2">
        <v>2.9</v>
      </c>
      <c r="AC295" s="2">
        <v>15.6</v>
      </c>
      <c r="AD295" s="2">
        <v>5.5</v>
      </c>
      <c r="AE295" s="2">
        <v>1</v>
      </c>
    </row>
    <row r="296" spans="1:31" x14ac:dyDescent="0.25">
      <c r="A296" s="2" t="s">
        <v>100</v>
      </c>
      <c r="B296" s="2">
        <v>2019</v>
      </c>
      <c r="C296" s="2" t="s">
        <v>239</v>
      </c>
      <c r="D296" s="2" t="s">
        <v>331</v>
      </c>
      <c r="E296" s="2">
        <v>-1.3199000000000001</v>
      </c>
      <c r="F296" s="2">
        <v>-12.681900000000001</v>
      </c>
      <c r="G296" s="2">
        <v>-42.541899999999998</v>
      </c>
      <c r="H296" s="2">
        <v>0.89419999999999999</v>
      </c>
      <c r="I296" s="2">
        <v>0.86709999999999998</v>
      </c>
      <c r="J296">
        <f>0.091655881898212*(100)</f>
        <v>9.1655881898212002</v>
      </c>
      <c r="K296">
        <f>0.0704*(100)</f>
        <v>7.04</v>
      </c>
      <c r="L296" s="2">
        <v>9.1267999999999994</v>
      </c>
      <c r="M296" s="2">
        <v>0.35549999999999998</v>
      </c>
      <c r="N296" s="2">
        <v>1.0042</v>
      </c>
      <c r="O296" s="2">
        <v>0.13600000000000001</v>
      </c>
      <c r="P296" s="2">
        <v>2.0402</v>
      </c>
      <c r="Q296" s="2">
        <v>-36.580100000000002</v>
      </c>
      <c r="R296" s="2">
        <v>-374.26434963814671</v>
      </c>
      <c r="S296" s="2">
        <v>17.210799999999999</v>
      </c>
      <c r="T296" s="2">
        <v>-11.7865</v>
      </c>
      <c r="U296" s="2">
        <v>69.239400000000003</v>
      </c>
      <c r="V296" s="2">
        <v>24.990314255832445</v>
      </c>
      <c r="W296" s="2">
        <v>1.6768892141845626</v>
      </c>
      <c r="X296" s="2">
        <v>114.55</v>
      </c>
      <c r="Y296" s="2">
        <v>38.65</v>
      </c>
      <c r="Z296" s="4">
        <v>6</v>
      </c>
      <c r="AA296" s="4">
        <v>8.6999999999999993</v>
      </c>
      <c r="AB296" s="2">
        <v>2.9</v>
      </c>
      <c r="AC296" s="2">
        <v>15.6</v>
      </c>
      <c r="AD296" s="2">
        <v>4.7999999999999972</v>
      </c>
      <c r="AE296" s="2">
        <v>1</v>
      </c>
    </row>
    <row r="297" spans="1:31" x14ac:dyDescent="0.25">
      <c r="A297" s="2" t="s">
        <v>98</v>
      </c>
      <c r="B297" s="2">
        <v>2019</v>
      </c>
      <c r="C297" s="2" t="s">
        <v>237</v>
      </c>
      <c r="D297" s="2" t="s">
        <v>310</v>
      </c>
      <c r="E297" s="2">
        <v>-11.5692</v>
      </c>
      <c r="F297" s="2">
        <v>-45.003829500000023</v>
      </c>
      <c r="G297" s="2">
        <v>-2803.8413</v>
      </c>
      <c r="H297" s="2">
        <v>0.89100000000000001</v>
      </c>
      <c r="I297" s="2">
        <v>0.65810000000000002</v>
      </c>
      <c r="J297">
        <f>0.00759552742655651*(100)</f>
        <v>0.75955274265565098</v>
      </c>
      <c r="K297">
        <f>-0.0269*(100)</f>
        <v>-2.69</v>
      </c>
      <c r="L297" s="2">
        <v>1.34E-2</v>
      </c>
      <c r="M297" s="2">
        <v>6.3E-3</v>
      </c>
      <c r="N297" s="2">
        <v>0.2147</v>
      </c>
      <c r="O297" s="2">
        <v>5.4999999999999997E-3</v>
      </c>
      <c r="P297" s="2">
        <v>3707.2373380000008</v>
      </c>
      <c r="Q297" s="2">
        <v>-97.410799999999995</v>
      </c>
      <c r="R297" s="2">
        <v>-174.729961788959</v>
      </c>
      <c r="S297" s="2">
        <v>-15.560499999999999</v>
      </c>
      <c r="T297" s="2">
        <v>-487.75560000000002</v>
      </c>
      <c r="U297" s="2">
        <v>103.87560000000001</v>
      </c>
      <c r="V297" s="2">
        <v>3.9018749636671353</v>
      </c>
      <c r="W297" s="2">
        <v>-3.2594269554365543</v>
      </c>
      <c r="X297" s="2">
        <v>819.2299999999999</v>
      </c>
      <c r="Y297" s="2">
        <v>-465.59</v>
      </c>
      <c r="Z297" s="4">
        <v>6</v>
      </c>
      <c r="AA297" s="4">
        <v>8.6999999999999993</v>
      </c>
      <c r="AB297" s="2">
        <v>2.9</v>
      </c>
      <c r="AC297" s="2">
        <v>15.6</v>
      </c>
      <c r="AD297" s="2">
        <v>4.7999999999999972</v>
      </c>
      <c r="AE297" s="2">
        <v>1</v>
      </c>
    </row>
    <row r="298" spans="1:31" x14ac:dyDescent="0.25">
      <c r="A298" s="2" t="s">
        <v>111</v>
      </c>
      <c r="B298" s="2">
        <v>2019</v>
      </c>
      <c r="C298" s="2" t="s">
        <v>201</v>
      </c>
      <c r="D298" s="2" t="s">
        <v>309</v>
      </c>
      <c r="E298" s="2">
        <v>-5.1215000000000002</v>
      </c>
      <c r="F298" s="2">
        <v>-20.0029</v>
      </c>
      <c r="G298" s="2">
        <v>-39.527900000000002</v>
      </c>
      <c r="H298" s="2">
        <v>0.47720000000000001</v>
      </c>
      <c r="I298" s="2">
        <v>0.42809999999999998</v>
      </c>
      <c r="J298">
        <f>0.0498660359026324*(100)</f>
        <v>4.9866035902632406</v>
      </c>
      <c r="K298">
        <f>0.0736*(100)</f>
        <v>7.3599999999999994</v>
      </c>
      <c r="L298" s="2">
        <v>8.2123000000000008</v>
      </c>
      <c r="M298" s="2">
        <v>1.0239</v>
      </c>
      <c r="N298" s="2">
        <v>0.93520000000000003</v>
      </c>
      <c r="O298" s="2">
        <v>0.189</v>
      </c>
      <c r="P298" s="2">
        <v>2.3054000000000001</v>
      </c>
      <c r="Q298" s="2">
        <v>28.657299999999999</v>
      </c>
      <c r="R298" s="2">
        <v>-610.07481926978778</v>
      </c>
      <c r="S298" s="2">
        <v>26.384399999999999</v>
      </c>
      <c r="T298" s="2">
        <v>-18.159600000000001</v>
      </c>
      <c r="U298" s="2">
        <v>68.7226</v>
      </c>
      <c r="V298" s="2">
        <v>30.767171754953704</v>
      </c>
      <c r="W298" s="2">
        <v>1.8603548594104686</v>
      </c>
      <c r="X298" s="2">
        <v>87.47</v>
      </c>
      <c r="Y298" s="2">
        <v>29.88</v>
      </c>
      <c r="Z298" s="4">
        <v>6</v>
      </c>
      <c r="AA298" s="4">
        <v>8.6999999999999993</v>
      </c>
      <c r="AB298" s="2">
        <v>2.9</v>
      </c>
      <c r="AC298" s="2">
        <v>15.6</v>
      </c>
      <c r="AD298" s="2">
        <v>5.2000000000000028</v>
      </c>
      <c r="AE298" s="2">
        <v>1</v>
      </c>
    </row>
    <row r="299" spans="1:31" x14ac:dyDescent="0.25">
      <c r="A299" s="2" t="s">
        <v>62</v>
      </c>
      <c r="B299" s="2">
        <v>2019</v>
      </c>
      <c r="C299" s="2" t="s">
        <v>211</v>
      </c>
      <c r="D299" s="2" t="s">
        <v>317</v>
      </c>
      <c r="E299" s="2">
        <v>4.1024000000000003</v>
      </c>
      <c r="F299" s="2">
        <v>3.2744</v>
      </c>
      <c r="G299" s="2">
        <v>1.6679999999999999</v>
      </c>
      <c r="H299" s="2">
        <v>1.3309</v>
      </c>
      <c r="I299" s="2">
        <v>0.66149999999999998</v>
      </c>
      <c r="J299">
        <f>0.25217922080507*(100)</f>
        <v>25.217922080506998</v>
      </c>
      <c r="K299">
        <f>-0.0068*(100)</f>
        <v>-0.67999999999999994</v>
      </c>
      <c r="L299" s="2">
        <v>2.3397999999999999</v>
      </c>
      <c r="M299" s="2">
        <v>1.3499000000000001</v>
      </c>
      <c r="N299" s="2">
        <v>7.9665999999999997</v>
      </c>
      <c r="O299" s="2">
        <v>1.0007999999999999</v>
      </c>
      <c r="P299" s="2">
        <v>1407.3228999999999</v>
      </c>
      <c r="Q299" s="2">
        <v>-5.7087000000000003</v>
      </c>
      <c r="R299" s="2">
        <v>-48.52212867215033</v>
      </c>
      <c r="S299" s="2">
        <v>22.3855</v>
      </c>
      <c r="T299" s="2">
        <v>4.5537999999999998</v>
      </c>
      <c r="U299" s="2">
        <v>68.450599999999994</v>
      </c>
      <c r="V299" s="2">
        <v>11.055923560438046</v>
      </c>
      <c r="W299" s="2">
        <v>2.8189671200413509</v>
      </c>
      <c r="X299" s="2">
        <v>117.96</v>
      </c>
      <c r="Y299" s="2">
        <v>-0.51</v>
      </c>
      <c r="Z299" s="4">
        <v>6</v>
      </c>
      <c r="AA299" s="4">
        <v>8.6999999999999993</v>
      </c>
      <c r="AB299" s="2">
        <v>2.9</v>
      </c>
      <c r="AC299" s="2">
        <v>15.6</v>
      </c>
      <c r="AD299" s="2">
        <v>4.7999999999999972</v>
      </c>
      <c r="AE299" s="2">
        <v>1</v>
      </c>
    </row>
    <row r="300" spans="1:31" x14ac:dyDescent="0.25">
      <c r="A300" s="2" t="s">
        <v>64</v>
      </c>
      <c r="B300" s="2">
        <v>2019</v>
      </c>
      <c r="C300" s="2" t="s">
        <v>212</v>
      </c>
      <c r="D300" s="2" t="s">
        <v>311</v>
      </c>
      <c r="E300" s="2">
        <v>0.6905</v>
      </c>
      <c r="F300" s="2">
        <v>5.0200000000000002E-2</v>
      </c>
      <c r="G300" s="2">
        <v>0.83140000000000003</v>
      </c>
      <c r="H300" s="2">
        <v>1.3724000000000001</v>
      </c>
      <c r="I300" s="2">
        <v>1.1326000000000001</v>
      </c>
      <c r="J300">
        <f>0.052193952155693*(100)</f>
        <v>5.2193952155692998</v>
      </c>
      <c r="K300">
        <f>0.0318*(100)</f>
        <v>3.18</v>
      </c>
      <c r="L300" s="2">
        <v>2.2850999999999999</v>
      </c>
      <c r="M300" s="2">
        <v>0.44950000000000001</v>
      </c>
      <c r="N300" s="2">
        <v>19.5487</v>
      </c>
      <c r="O300" s="2">
        <v>0.27600000000000002</v>
      </c>
      <c r="P300" s="2">
        <v>1.8381000000000001</v>
      </c>
      <c r="Q300" s="2">
        <v>13.6479</v>
      </c>
      <c r="R300" s="2">
        <v>-110.1366248662966</v>
      </c>
      <c r="S300" s="2">
        <v>17.025500000000001</v>
      </c>
      <c r="T300" s="2">
        <v>-0.30249999999999999</v>
      </c>
      <c r="U300" s="2">
        <v>71.373099999999994</v>
      </c>
      <c r="V300" s="2">
        <v>22.128362277217818</v>
      </c>
      <c r="W300" s="2">
        <v>13.94767097440597</v>
      </c>
      <c r="X300" s="2">
        <v>97.61</v>
      </c>
      <c r="Y300" s="2">
        <v>8.870000000000001</v>
      </c>
      <c r="Z300" s="4">
        <v>6</v>
      </c>
      <c r="AA300" s="4">
        <v>8.6999999999999993</v>
      </c>
      <c r="AB300" s="2">
        <v>2.9</v>
      </c>
      <c r="AC300" s="2">
        <v>15.6</v>
      </c>
      <c r="AD300" s="2">
        <v>5.2000000000000028</v>
      </c>
      <c r="AE300" s="2">
        <v>1</v>
      </c>
    </row>
    <row r="301" spans="1:31" x14ac:dyDescent="0.25">
      <c r="A301" s="2" t="s">
        <v>122</v>
      </c>
      <c r="B301" s="2">
        <v>2019</v>
      </c>
      <c r="C301" s="2" t="s">
        <v>259</v>
      </c>
      <c r="D301" s="2" t="s">
        <v>307</v>
      </c>
      <c r="E301" s="2">
        <v>-0.53059999999999996</v>
      </c>
      <c r="F301" s="2">
        <v>-6.1917</v>
      </c>
      <c r="G301" s="2">
        <v>-15.3934</v>
      </c>
      <c r="H301" s="2">
        <v>1.2215</v>
      </c>
      <c r="I301" s="2">
        <v>1.1626000000000001</v>
      </c>
      <c r="J301">
        <f>0.0583817468666215*(100)</f>
        <v>5.8381746866621498</v>
      </c>
      <c r="K301">
        <f>0.0423*(100)</f>
        <v>4.2299999999999995</v>
      </c>
      <c r="L301" s="2">
        <v>4.7595000000000001</v>
      </c>
      <c r="M301" s="2">
        <v>0.3871</v>
      </c>
      <c r="N301" s="2">
        <v>0.46870000000000001</v>
      </c>
      <c r="O301" s="2">
        <v>0.20580000000000001</v>
      </c>
      <c r="P301" s="2">
        <v>0.80089999999999995</v>
      </c>
      <c r="Q301" s="2">
        <v>-29.0943</v>
      </c>
      <c r="R301" s="2">
        <v>-223.48660388444469</v>
      </c>
      <c r="S301" s="2">
        <v>-3.0625</v>
      </c>
      <c r="T301" s="2">
        <v>-6.3117999999999999</v>
      </c>
      <c r="U301" s="2">
        <v>48.0486</v>
      </c>
      <c r="V301" s="2">
        <v>3.5803810813689969</v>
      </c>
      <c r="W301" s="2">
        <v>1.217179291640905</v>
      </c>
      <c r="X301" s="2">
        <v>86.25</v>
      </c>
      <c r="Y301" s="2">
        <v>9.73</v>
      </c>
      <c r="Z301" s="4">
        <v>6</v>
      </c>
      <c r="AA301" s="4">
        <v>8.6999999999999993</v>
      </c>
      <c r="AB301" s="2">
        <v>2.9</v>
      </c>
      <c r="AC301" s="2">
        <v>15.6</v>
      </c>
      <c r="AD301" s="2">
        <v>5.5</v>
      </c>
      <c r="AE301" s="2">
        <v>1</v>
      </c>
    </row>
    <row r="302" spans="1:31" x14ac:dyDescent="0.25">
      <c r="A302" s="2" t="s">
        <v>92</v>
      </c>
      <c r="B302" s="2">
        <v>2019</v>
      </c>
      <c r="C302" s="2" t="s">
        <v>193</v>
      </c>
      <c r="D302" s="2" t="s">
        <v>298</v>
      </c>
      <c r="E302" s="2">
        <v>4.1464999999999996</v>
      </c>
      <c r="F302" s="2">
        <v>0.31169999999999998</v>
      </c>
      <c r="G302" s="2">
        <v>6.3616000000000001</v>
      </c>
      <c r="H302" s="2">
        <v>1.9273</v>
      </c>
      <c r="I302" s="2">
        <v>1.5909</v>
      </c>
      <c r="J302">
        <f>0.797089392170333*(100)</f>
        <v>79.708939217033304</v>
      </c>
      <c r="K302">
        <f>0.0597*(100)</f>
        <v>5.9700000000000006</v>
      </c>
      <c r="L302" s="2">
        <v>2.0082</v>
      </c>
      <c r="M302" s="2">
        <v>0.3619</v>
      </c>
      <c r="N302" s="2">
        <v>2.883</v>
      </c>
      <c r="O302" s="2">
        <v>0.25569999999999998</v>
      </c>
      <c r="P302" s="2">
        <v>3.0598999999999998</v>
      </c>
      <c r="Q302" s="2">
        <v>35.680399999999999</v>
      </c>
      <c r="R302" s="2">
        <v>-21.452566796880031</v>
      </c>
      <c r="S302" s="2">
        <v>4.4050000000000002</v>
      </c>
      <c r="T302" s="2">
        <v>43.268799999999999</v>
      </c>
      <c r="U302" s="2">
        <v>62.7044</v>
      </c>
      <c r="V302" s="2">
        <v>27.978340185255135</v>
      </c>
      <c r="W302" s="2">
        <v>2.3795067625496444</v>
      </c>
      <c r="X302" s="2">
        <v>97.8</v>
      </c>
      <c r="Y302" s="2">
        <v>15.22</v>
      </c>
      <c r="Z302" s="4">
        <v>6</v>
      </c>
      <c r="AA302" s="4">
        <v>8.6999999999999993</v>
      </c>
      <c r="AB302" s="2">
        <v>2.9</v>
      </c>
      <c r="AC302" s="2">
        <v>15.6</v>
      </c>
      <c r="AD302" s="2">
        <v>4.7999999999999972</v>
      </c>
      <c r="AE302" s="2">
        <v>1</v>
      </c>
    </row>
    <row r="303" spans="1:31" x14ac:dyDescent="0.25">
      <c r="A303" s="2" t="s">
        <v>86</v>
      </c>
      <c r="B303" s="2">
        <v>2019</v>
      </c>
      <c r="C303" s="2" t="s">
        <v>226</v>
      </c>
      <c r="D303" s="2" t="s">
        <v>322</v>
      </c>
      <c r="E303" s="2">
        <v>-5.8247</v>
      </c>
      <c r="F303" s="2">
        <v>-35.6</v>
      </c>
      <c r="G303" s="2">
        <v>-29.677199999999999</v>
      </c>
      <c r="H303" s="2">
        <v>0.79490000000000005</v>
      </c>
      <c r="I303" s="2">
        <v>0.58760000000000001</v>
      </c>
      <c r="J303">
        <f>0.0854368418218008*(100)</f>
        <v>8.5436841821800797</v>
      </c>
      <c r="K303">
        <f>-0.1244*(100)</f>
        <v>-12.44</v>
      </c>
      <c r="L303" s="2">
        <v>3.1583999999999999</v>
      </c>
      <c r="M303" s="2">
        <v>0.64700000000000002</v>
      </c>
      <c r="N303" s="2">
        <v>94.969399999999993</v>
      </c>
      <c r="O303" s="2">
        <v>0.31219999999999998</v>
      </c>
      <c r="P303" s="2">
        <v>5.2336999999999998</v>
      </c>
      <c r="Q303" s="2">
        <v>-10.4124</v>
      </c>
      <c r="R303" s="2">
        <v>-376.84667190651999</v>
      </c>
      <c r="S303" s="2">
        <v>-13.9116</v>
      </c>
      <c r="T303" s="2">
        <v>-30.202999999999999</v>
      </c>
      <c r="U303" s="2">
        <v>78.634</v>
      </c>
      <c r="V303" s="2">
        <v>13.501295774752903</v>
      </c>
      <c r="W303" s="2">
        <v>40.133368637086519</v>
      </c>
      <c r="X303" s="2">
        <v>124.77</v>
      </c>
      <c r="Y303" s="2">
        <v>-28.99</v>
      </c>
      <c r="Z303" s="4">
        <v>6</v>
      </c>
      <c r="AA303" s="4">
        <v>8.6999999999999993</v>
      </c>
      <c r="AB303" s="2">
        <v>2.9</v>
      </c>
      <c r="AC303" s="2">
        <v>15.6</v>
      </c>
      <c r="AD303" s="2">
        <v>5.5999999999999943</v>
      </c>
      <c r="AE303" s="2">
        <v>1</v>
      </c>
    </row>
    <row r="304" spans="1:31" x14ac:dyDescent="0.25">
      <c r="A304" s="2" t="s">
        <v>97</v>
      </c>
      <c r="B304" s="2">
        <v>2019</v>
      </c>
      <c r="C304" s="2" t="s">
        <v>236</v>
      </c>
      <c r="D304" s="2" t="s">
        <v>330</v>
      </c>
      <c r="E304" s="2">
        <v>-9.2052999999999994</v>
      </c>
      <c r="F304" s="2">
        <v>-96.082800000000006</v>
      </c>
      <c r="G304" s="2">
        <v>-190.2345</v>
      </c>
      <c r="H304" s="2">
        <v>0.2417</v>
      </c>
      <c r="I304" s="2">
        <v>0.17780000000000001</v>
      </c>
      <c r="J304">
        <f>0.0270501352853986*(100)</f>
        <v>2.70501352853986</v>
      </c>
      <c r="K304">
        <f>-0.0108*(100)</f>
        <v>-1.08</v>
      </c>
      <c r="L304" s="2">
        <v>1.5567</v>
      </c>
      <c r="M304" s="2">
        <v>0.2631</v>
      </c>
      <c r="N304" s="2">
        <v>0.16170000000000001</v>
      </c>
      <c r="O304" s="2">
        <v>6.8699999999999997E-2</v>
      </c>
      <c r="P304" s="2">
        <v>1.1112</v>
      </c>
      <c r="Q304" s="2">
        <v>-56.084099999999999</v>
      </c>
      <c r="R304" s="2">
        <v>22.41103885191707</v>
      </c>
      <c r="S304" s="2">
        <v>-10.8819</v>
      </c>
      <c r="T304" s="2">
        <v>-80.9696</v>
      </c>
      <c r="U304" s="2">
        <v>96.965199999999996</v>
      </c>
      <c r="V304" s="2">
        <v>18.055416631673797</v>
      </c>
      <c r="W304" s="2">
        <v>0.13840186105304023</v>
      </c>
      <c r="X304" s="2">
        <v>82.42</v>
      </c>
      <c r="Y304" s="2">
        <v>-13.7</v>
      </c>
      <c r="Z304" s="4">
        <v>6</v>
      </c>
      <c r="AA304" s="4">
        <v>8.6999999999999993</v>
      </c>
      <c r="AB304" s="2">
        <v>2.9</v>
      </c>
      <c r="AC304" s="2">
        <v>15.6</v>
      </c>
      <c r="AD304" s="2">
        <v>4.7999999999999972</v>
      </c>
      <c r="AE304" s="2">
        <v>1</v>
      </c>
    </row>
    <row r="305" spans="1:31" x14ac:dyDescent="0.25">
      <c r="A305" s="2" t="s">
        <v>75</v>
      </c>
      <c r="B305" s="2">
        <v>2019</v>
      </c>
      <c r="C305" s="2" t="s">
        <v>220</v>
      </c>
      <c r="D305" s="2" t="s">
        <v>311</v>
      </c>
      <c r="E305" s="2">
        <v>-3.7890000000000001</v>
      </c>
      <c r="F305" s="2">
        <v>-9.4352999999999998</v>
      </c>
      <c r="G305" s="2">
        <v>-19.828499999999998</v>
      </c>
      <c r="H305" s="2">
        <v>2.1907000000000001</v>
      </c>
      <c r="I305" s="2">
        <v>0.69899999999999995</v>
      </c>
      <c r="J305">
        <f>0.0563810361335783*(100)</f>
        <v>5.6381036133578295</v>
      </c>
      <c r="K305">
        <f>-0.037*(100)</f>
        <v>-3.6999999999999997</v>
      </c>
      <c r="L305" s="2">
        <v>0.37059999999999998</v>
      </c>
      <c r="M305" s="2">
        <v>0.33329999999999999</v>
      </c>
      <c r="N305" s="2">
        <v>2.4462999999999999</v>
      </c>
      <c r="O305" s="2">
        <v>0.2394</v>
      </c>
      <c r="P305" s="2">
        <v>1.2927</v>
      </c>
      <c r="Q305" s="2">
        <v>-37.686199999999999</v>
      </c>
      <c r="R305" s="2">
        <v>-175.58190457043881</v>
      </c>
      <c r="S305" s="2">
        <v>2.5228999999999999</v>
      </c>
      <c r="T305" s="2">
        <v>-9.4624000000000006</v>
      </c>
      <c r="U305" s="2">
        <v>48.529899999999998</v>
      </c>
      <c r="V305" s="2">
        <v>14.030743250461533</v>
      </c>
      <c r="W305" s="2">
        <v>5.2892259471197427</v>
      </c>
      <c r="X305" s="2">
        <v>61.83</v>
      </c>
      <c r="Y305" s="2">
        <v>-7.59</v>
      </c>
      <c r="Z305" s="4">
        <v>6</v>
      </c>
      <c r="AA305" s="4">
        <v>8.6999999999999993</v>
      </c>
      <c r="AB305" s="2">
        <v>2.9</v>
      </c>
      <c r="AC305" s="2">
        <v>15.6</v>
      </c>
      <c r="AD305" s="2">
        <v>5.2000000000000028</v>
      </c>
      <c r="AE305" s="2">
        <v>1</v>
      </c>
    </row>
    <row r="306" spans="1:31" x14ac:dyDescent="0.25">
      <c r="A306" s="2" t="s">
        <v>117</v>
      </c>
      <c r="B306" s="2">
        <v>2019</v>
      </c>
      <c r="C306" s="2" t="s">
        <v>254</v>
      </c>
      <c r="D306" s="2" t="s">
        <v>336</v>
      </c>
      <c r="E306" s="2">
        <v>0.9869</v>
      </c>
      <c r="F306" s="2">
        <v>-3.5206</v>
      </c>
      <c r="G306" s="2">
        <v>-3.7210000000000001</v>
      </c>
      <c r="H306" s="2">
        <v>0.92349999999999999</v>
      </c>
      <c r="I306" s="2">
        <v>0.4037</v>
      </c>
      <c r="J306">
        <f>0.0501611885842634*(100)</f>
        <v>5.0161188584263394</v>
      </c>
      <c r="K306">
        <f>0.0057*(100)</f>
        <v>0.57000000000000006</v>
      </c>
      <c r="L306" s="2">
        <v>0.54590000000000005</v>
      </c>
      <c r="M306" s="2">
        <v>0.4047</v>
      </c>
      <c r="N306" s="2">
        <v>2.6326999999999998</v>
      </c>
      <c r="O306" s="2">
        <v>0.22220000000000001</v>
      </c>
      <c r="P306" s="2">
        <v>4.4339000000000004</v>
      </c>
      <c r="Q306" s="2">
        <v>-29.3872</v>
      </c>
      <c r="R306" s="2">
        <v>-128.4806580873578</v>
      </c>
      <c r="S306" s="2">
        <v>-16.292300000000001</v>
      </c>
      <c r="T306" s="2">
        <v>-18.527200000000001</v>
      </c>
      <c r="U306" s="2">
        <v>59.039299999999997</v>
      </c>
      <c r="V306" s="2">
        <v>7.2819383931472483</v>
      </c>
      <c r="W306" s="2">
        <v>3.8953583617036194</v>
      </c>
      <c r="X306" s="2">
        <v>152.31</v>
      </c>
      <c r="Y306" s="2">
        <v>1.38</v>
      </c>
      <c r="Z306" s="4">
        <v>6</v>
      </c>
      <c r="AA306" s="4">
        <v>8.6999999999999993</v>
      </c>
      <c r="AB306" s="2">
        <v>2.9</v>
      </c>
      <c r="AC306" s="2">
        <v>15.6</v>
      </c>
      <c r="AD306" s="2">
        <v>5.5999999999999943</v>
      </c>
      <c r="AE306" s="2">
        <v>1</v>
      </c>
    </row>
    <row r="307" spans="1:31" x14ac:dyDescent="0.25">
      <c r="A307" s="2" t="s">
        <v>119</v>
      </c>
      <c r="B307" s="2">
        <v>2019</v>
      </c>
      <c r="C307" s="2" t="s">
        <v>256</v>
      </c>
      <c r="D307" s="2" t="s">
        <v>295</v>
      </c>
      <c r="E307" s="2">
        <v>6.2E-2</v>
      </c>
      <c r="F307" s="2">
        <v>-64.992199999999997</v>
      </c>
      <c r="G307" s="2">
        <v>-31.806699999999999</v>
      </c>
      <c r="H307" s="2">
        <v>0.82130000000000003</v>
      </c>
      <c r="I307" s="2">
        <v>0.32800000000000001</v>
      </c>
      <c r="J307">
        <f>0.077506682847723*(100)</f>
        <v>7.7506682847722992</v>
      </c>
      <c r="K307">
        <f>-0.0005*(100)</f>
        <v>-0.05</v>
      </c>
      <c r="L307" s="2">
        <v>0.4264</v>
      </c>
      <c r="M307" s="2">
        <v>0.32840000000000003</v>
      </c>
      <c r="N307" s="2">
        <v>4.2698</v>
      </c>
      <c r="O307" s="2">
        <v>0.15859999999999999</v>
      </c>
      <c r="P307" s="2">
        <v>36.07</v>
      </c>
      <c r="Q307" s="2">
        <v>-16.406600000000001</v>
      </c>
      <c r="R307" s="2">
        <v>-610.29623925653823</v>
      </c>
      <c r="S307" s="2">
        <v>-2.7267999999999999</v>
      </c>
      <c r="T307" s="2">
        <v>-55.734400000000001</v>
      </c>
      <c r="U307" s="2">
        <v>81.217100000000002</v>
      </c>
      <c r="V307" s="2">
        <v>20.057455730996228</v>
      </c>
      <c r="W307" s="2">
        <v>1.5269140061387867</v>
      </c>
      <c r="X307" s="2">
        <v>100.02</v>
      </c>
      <c r="Y307" s="2">
        <v>-0.25</v>
      </c>
      <c r="Z307" s="4">
        <v>6</v>
      </c>
      <c r="AA307" s="4">
        <v>8.6999999999999993</v>
      </c>
      <c r="AB307" s="2">
        <v>2.9</v>
      </c>
      <c r="AC307" s="2">
        <v>15.6</v>
      </c>
      <c r="AD307" s="2">
        <v>2.5999999999999943</v>
      </c>
      <c r="AE307" s="2">
        <v>1</v>
      </c>
    </row>
    <row r="308" spans="1:31" x14ac:dyDescent="0.25">
      <c r="A308" s="2" t="s">
        <v>52</v>
      </c>
      <c r="B308" s="2">
        <v>2019</v>
      </c>
      <c r="C308" s="2" t="s">
        <v>203</v>
      </c>
      <c r="D308" s="2" t="s">
        <v>311</v>
      </c>
      <c r="E308" s="2">
        <v>-19.669899999999998</v>
      </c>
      <c r="F308" s="2">
        <v>-45.003829500000023</v>
      </c>
      <c r="G308" s="2">
        <v>-343.85219999999998</v>
      </c>
      <c r="H308" s="2">
        <v>0.33229999999999998</v>
      </c>
      <c r="I308" s="2">
        <v>0.28770000000000001</v>
      </c>
      <c r="J308">
        <f>0.0289778426333973*(100)</f>
        <v>2.8977842633397302</v>
      </c>
      <c r="K308">
        <f>-0.0216*(100)</f>
        <v>-2.16</v>
      </c>
      <c r="L308" s="2">
        <v>2.4994999999999998</v>
      </c>
      <c r="M308" s="2">
        <v>0.2041</v>
      </c>
      <c r="N308" s="2">
        <v>0.2215</v>
      </c>
      <c r="O308" s="2">
        <v>7.2499999999999995E-2</v>
      </c>
      <c r="P308" s="2">
        <v>1.0953999999999999</v>
      </c>
      <c r="Q308" s="2">
        <v>-43.472099999999998</v>
      </c>
      <c r="R308" s="2">
        <v>-29.53333037451246</v>
      </c>
      <c r="S308" s="2">
        <v>-12.357200000000001</v>
      </c>
      <c r="T308" s="2">
        <v>-56.535899999999998</v>
      </c>
      <c r="U308" s="2">
        <v>111.67829999999999</v>
      </c>
      <c r="V308" s="2">
        <v>22.733179000765873</v>
      </c>
      <c r="W308" s="2">
        <v>-0.48283016988584182</v>
      </c>
      <c r="X308" s="2">
        <v>128.04</v>
      </c>
      <c r="Y308" s="2">
        <v>-30.23</v>
      </c>
      <c r="Z308" s="4">
        <v>6</v>
      </c>
      <c r="AA308" s="4">
        <v>8.6999999999999993</v>
      </c>
      <c r="AB308" s="2">
        <v>2.9</v>
      </c>
      <c r="AC308" s="2">
        <v>15.6</v>
      </c>
      <c r="AD308" s="2">
        <v>5.2000000000000028</v>
      </c>
      <c r="AE308" s="2">
        <v>1</v>
      </c>
    </row>
    <row r="309" spans="1:31" x14ac:dyDescent="0.25">
      <c r="A309" s="2" t="s">
        <v>114</v>
      </c>
      <c r="B309" s="2">
        <v>2019</v>
      </c>
      <c r="C309" s="2" t="s">
        <v>251</v>
      </c>
      <c r="D309" s="2" t="s">
        <v>323</v>
      </c>
      <c r="E309" s="2">
        <v>-24.276700000000002</v>
      </c>
      <c r="F309" s="2">
        <v>-67.527299999999997</v>
      </c>
      <c r="G309" s="2">
        <v>-815.58349999999996</v>
      </c>
      <c r="H309" s="2">
        <v>0.12330000000000001</v>
      </c>
      <c r="I309" s="2">
        <v>9.8799999999999999E-2</v>
      </c>
      <c r="J309">
        <f>0.0258806517469506*(100)</f>
        <v>2.58806517469506</v>
      </c>
      <c r="K309">
        <f>-0.0296*(100)</f>
        <v>-2.96</v>
      </c>
      <c r="L309" s="2">
        <v>3.8883000000000001</v>
      </c>
      <c r="M309" s="2">
        <v>0.54800000000000004</v>
      </c>
      <c r="N309" s="2">
        <v>5.0799999999999998E-2</v>
      </c>
      <c r="O309" s="2">
        <v>3.4700000000000002E-2</v>
      </c>
      <c r="P309" s="2">
        <v>4.0134999999999996</v>
      </c>
      <c r="Q309" s="2">
        <v>-84.236000000000004</v>
      </c>
      <c r="R309" s="2">
        <v>-872.18439288760032</v>
      </c>
      <c r="S309" s="2">
        <v>-19.260200000000001</v>
      </c>
      <c r="T309" s="2">
        <v>-50.332599999999999</v>
      </c>
      <c r="U309" s="2">
        <v>67.701599999999999</v>
      </c>
      <c r="V309" s="2">
        <v>14.422140055262631</v>
      </c>
      <c r="W309" s="2">
        <v>0.37022139687626787</v>
      </c>
      <c r="X309" s="2">
        <v>138.51</v>
      </c>
      <c r="Y309" s="2">
        <v>-51.5</v>
      </c>
      <c r="Z309" s="4">
        <v>6</v>
      </c>
      <c r="AA309" s="4">
        <v>8.6999999999999993</v>
      </c>
      <c r="AB309" s="2">
        <v>2.9</v>
      </c>
      <c r="AC309" s="2">
        <v>15.6</v>
      </c>
      <c r="AD309" s="2">
        <v>4.7999999999999972</v>
      </c>
      <c r="AE309" s="2">
        <v>1</v>
      </c>
    </row>
    <row r="310" spans="1:31" x14ac:dyDescent="0.25">
      <c r="A310" s="2" t="s">
        <v>112</v>
      </c>
      <c r="B310" s="2">
        <v>2019</v>
      </c>
      <c r="C310" s="2" t="s">
        <v>224</v>
      </c>
      <c r="D310" s="2" t="s">
        <v>325</v>
      </c>
      <c r="E310" s="2">
        <v>-1.6637</v>
      </c>
      <c r="F310" s="2">
        <v>-18.654</v>
      </c>
      <c r="G310" s="2">
        <v>-18.5304</v>
      </c>
      <c r="H310" s="2">
        <v>0.36480000000000001</v>
      </c>
      <c r="I310" s="2">
        <v>0.2727</v>
      </c>
      <c r="J310">
        <f>0.121052570188951*(100)</f>
        <v>12.105257018895101</v>
      </c>
      <c r="K310">
        <f>0.1272*(100)</f>
        <v>12.72</v>
      </c>
      <c r="L310" s="2">
        <v>4.1694000000000004</v>
      </c>
      <c r="M310" s="2">
        <v>1.2593000000000001</v>
      </c>
      <c r="N310" s="2">
        <v>0.34239999999999998</v>
      </c>
      <c r="O310" s="2">
        <v>0.2273</v>
      </c>
      <c r="P310" s="2">
        <v>43.773400000000002</v>
      </c>
      <c r="Q310" s="2">
        <v>52.911499999999997</v>
      </c>
      <c r="R310" s="2">
        <v>16.039791825332621</v>
      </c>
      <c r="S310" s="2">
        <v>-9.0043000000000006</v>
      </c>
      <c r="T310" s="2">
        <v>-17.3933</v>
      </c>
      <c r="U310" s="2">
        <v>74.948899999999995</v>
      </c>
      <c r="V310" s="2">
        <v>31.090782273214501</v>
      </c>
      <c r="W310" s="2">
        <v>0.32242121684476671</v>
      </c>
      <c r="X310" s="2">
        <v>111.91</v>
      </c>
      <c r="Y310" s="2">
        <v>39.950000000000003</v>
      </c>
      <c r="Z310" s="4">
        <v>6</v>
      </c>
      <c r="AA310" s="4">
        <v>8.6999999999999993</v>
      </c>
      <c r="AB310" s="2">
        <v>2.9</v>
      </c>
      <c r="AC310" s="2">
        <v>15.6</v>
      </c>
      <c r="AD310" s="2">
        <v>4.7999999999999972</v>
      </c>
      <c r="AE310" s="2">
        <v>1</v>
      </c>
    </row>
    <row r="311" spans="1:31" x14ac:dyDescent="0.25">
      <c r="A311" s="2" t="s">
        <v>93</v>
      </c>
      <c r="B311" s="2">
        <v>2019</v>
      </c>
      <c r="C311" s="2" t="s">
        <v>232</v>
      </c>
      <c r="D311" s="2" t="s">
        <v>311</v>
      </c>
      <c r="E311" s="2">
        <v>8.9827999999999992</v>
      </c>
      <c r="F311" s="2">
        <v>7.5940000000000003</v>
      </c>
      <c r="G311" s="2">
        <v>27.5061</v>
      </c>
      <c r="H311" s="2">
        <v>1.6504000000000001</v>
      </c>
      <c r="I311" s="2">
        <v>0.57950000000000002</v>
      </c>
      <c r="J311">
        <f>0.211248888585318*(100)</f>
        <v>21.124888858531801</v>
      </c>
      <c r="K311">
        <f>0.1901*(100)</f>
        <v>19.009999999999998</v>
      </c>
      <c r="L311" s="2">
        <v>0.79430000000000001</v>
      </c>
      <c r="M311" s="2">
        <v>0.97819999999999996</v>
      </c>
      <c r="N311" s="2">
        <v>0.83199999999999996</v>
      </c>
      <c r="O311" s="2">
        <v>0.2475</v>
      </c>
      <c r="P311" s="2">
        <v>14.392099999999999</v>
      </c>
      <c r="Q311" s="2">
        <v>2.4647999999999999</v>
      </c>
      <c r="R311" s="2">
        <v>-5.2861668113395943</v>
      </c>
      <c r="S311" s="2">
        <v>5.4611000000000001</v>
      </c>
      <c r="T311" s="2">
        <v>9.0645000000000007</v>
      </c>
      <c r="U311" s="2">
        <v>37.418500000000002</v>
      </c>
      <c r="V311" s="2">
        <v>23.330669089543822</v>
      </c>
      <c r="W311" s="2">
        <v>1.9528724621751106</v>
      </c>
      <c r="X311" s="2">
        <v>102.13</v>
      </c>
      <c r="Y311" s="2">
        <v>29.51</v>
      </c>
      <c r="Z311" s="4">
        <v>6</v>
      </c>
      <c r="AA311" s="4">
        <v>8.6999999999999993</v>
      </c>
      <c r="AB311" s="2">
        <v>2.9</v>
      </c>
      <c r="AC311" s="2">
        <v>15.6</v>
      </c>
      <c r="AD311" s="2">
        <v>5.2000000000000028</v>
      </c>
      <c r="AE311" s="2">
        <v>1</v>
      </c>
    </row>
    <row r="312" spans="1:31" x14ac:dyDescent="0.25">
      <c r="A312" s="2" t="s">
        <v>46</v>
      </c>
      <c r="B312" s="2">
        <v>2019</v>
      </c>
      <c r="C312" s="2" t="s">
        <v>198</v>
      </c>
      <c r="D312" s="2" t="s">
        <v>307</v>
      </c>
      <c r="E312" s="2">
        <v>-3.8512</v>
      </c>
      <c r="F312" s="2">
        <v>-17.374199999999998</v>
      </c>
      <c r="G312" s="2">
        <v>-25.861000000000001</v>
      </c>
      <c r="H312" s="2">
        <v>1.7876000000000001</v>
      </c>
      <c r="I312" s="2">
        <v>1.5998000000000001</v>
      </c>
      <c r="J312">
        <f>0.0903284015795264*(100)</f>
        <v>9.0328401579526396</v>
      </c>
      <c r="K312">
        <f>0.0169*(100)</f>
        <v>1.69</v>
      </c>
      <c r="L312" s="2">
        <v>3.5634999999999999</v>
      </c>
      <c r="M312" s="2">
        <v>0.52129999999999999</v>
      </c>
      <c r="N312" s="2">
        <v>1.5873999999999999</v>
      </c>
      <c r="O312" s="2">
        <v>0.28160000000000002</v>
      </c>
      <c r="P312" s="2">
        <v>9.3491999999999997</v>
      </c>
      <c r="Q312" s="2">
        <v>-30.6</v>
      </c>
      <c r="R312" s="2">
        <v>-384.50417711980089</v>
      </c>
      <c r="S312" s="2">
        <v>-5.6120000000000001</v>
      </c>
      <c r="T312" s="2">
        <v>-23.148800000000001</v>
      </c>
      <c r="U312" s="2">
        <v>60.631900000000002</v>
      </c>
      <c r="V312" s="2">
        <v>30.769033537965718</v>
      </c>
      <c r="W312" s="2">
        <v>2.0243005102220133</v>
      </c>
      <c r="X312" s="2">
        <v>114.61</v>
      </c>
      <c r="Y312" s="2">
        <v>3.34</v>
      </c>
      <c r="Z312" s="4">
        <v>6</v>
      </c>
      <c r="AA312" s="4">
        <v>8.6999999999999993</v>
      </c>
      <c r="AB312" s="2">
        <v>2.9</v>
      </c>
      <c r="AC312" s="2">
        <v>15.6</v>
      </c>
      <c r="AD312" s="2">
        <v>5.5</v>
      </c>
      <c r="AE312" s="2">
        <v>1</v>
      </c>
    </row>
    <row r="313" spans="1:31" x14ac:dyDescent="0.25">
      <c r="A313" s="2" t="s">
        <v>106</v>
      </c>
      <c r="B313" s="2">
        <v>2019</v>
      </c>
      <c r="C313" s="2" t="s">
        <v>245</v>
      </c>
      <c r="D313" s="2" t="s">
        <v>298</v>
      </c>
      <c r="E313" s="2">
        <v>-1.2978000000000001</v>
      </c>
      <c r="F313" s="2">
        <v>-36.657299999999999</v>
      </c>
      <c r="G313" s="2">
        <v>-8.8293999999999997</v>
      </c>
      <c r="H313" s="2">
        <v>1.0303</v>
      </c>
      <c r="I313" s="2">
        <v>0.74009999999999998</v>
      </c>
      <c r="J313">
        <f>0.183950553506805*(100)</f>
        <v>18.395055350680501</v>
      </c>
      <c r="K313">
        <f>0.0395*(100)</f>
        <v>3.95</v>
      </c>
      <c r="L313" s="2">
        <v>2.5152999999999999</v>
      </c>
      <c r="M313" s="2">
        <v>0.75080000000000002</v>
      </c>
      <c r="N313" s="2">
        <v>5.4066000000000001</v>
      </c>
      <c r="O313" s="2">
        <v>0.43390000000000001</v>
      </c>
      <c r="P313" s="2">
        <v>5.7207999999999997</v>
      </c>
      <c r="Q313" s="2">
        <v>-4.6844000000000001</v>
      </c>
      <c r="R313" s="2">
        <v>-373.18392420757573</v>
      </c>
      <c r="S313" s="2">
        <v>-5.5294999999999996</v>
      </c>
      <c r="T313" s="2">
        <v>-45.548400000000001</v>
      </c>
      <c r="U313" s="2">
        <v>72.824200000000005</v>
      </c>
      <c r="V313" s="2">
        <v>17.050943548468073</v>
      </c>
      <c r="W313" s="2">
        <v>0.79459486651062616</v>
      </c>
      <c r="X313" s="2">
        <v>106.86</v>
      </c>
      <c r="Y313" s="2">
        <v>6.45</v>
      </c>
      <c r="Z313" s="4">
        <v>6</v>
      </c>
      <c r="AA313" s="4">
        <v>8.6999999999999993</v>
      </c>
      <c r="AB313" s="2">
        <v>2.9</v>
      </c>
      <c r="AC313" s="2">
        <v>15.6</v>
      </c>
      <c r="AD313" s="2">
        <v>4.7999999999999972</v>
      </c>
      <c r="AE313" s="2">
        <v>1</v>
      </c>
    </row>
    <row r="314" spans="1:31" x14ac:dyDescent="0.25">
      <c r="A314" s="2" t="s">
        <v>65</v>
      </c>
      <c r="B314" s="2">
        <v>2019</v>
      </c>
      <c r="C314" s="2" t="s">
        <v>213</v>
      </c>
      <c r="D314" s="2" t="s">
        <v>318</v>
      </c>
      <c r="E314" s="2">
        <v>4.5000999999999998</v>
      </c>
      <c r="F314" s="2">
        <v>0.27210000000000001</v>
      </c>
      <c r="G314" s="2">
        <v>2.9039999999999999</v>
      </c>
      <c r="H314" s="2">
        <v>0.21479999999999999</v>
      </c>
      <c r="I314" s="2">
        <v>0.20150000000000001</v>
      </c>
      <c r="J314">
        <f>0.0691320442489399*(100)</f>
        <v>6.9132044248939897</v>
      </c>
      <c r="K314">
        <f>0.062*(100)</f>
        <v>6.2</v>
      </c>
      <c r="L314" s="2">
        <v>27.647200000000002</v>
      </c>
      <c r="M314" s="2">
        <v>1.492</v>
      </c>
      <c r="N314" s="2">
        <v>0.84079999999999999</v>
      </c>
      <c r="O314" s="2">
        <v>0.20899999999999999</v>
      </c>
      <c r="P314" s="2">
        <v>6.9579000000000004</v>
      </c>
      <c r="Q314" s="2">
        <v>-0.27229999999999999</v>
      </c>
      <c r="R314" s="2">
        <v>-81.636859478895317</v>
      </c>
      <c r="S314" s="2">
        <v>-0.60060000000000002</v>
      </c>
      <c r="T314" s="2">
        <v>-0.96030000000000004</v>
      </c>
      <c r="U314" s="2">
        <v>73.293700000000001</v>
      </c>
      <c r="V314" s="2">
        <v>29.928861434087288</v>
      </c>
      <c r="W314" s="2">
        <v>0.89628645237041271</v>
      </c>
      <c r="X314" s="2">
        <v>89.28</v>
      </c>
      <c r="Y314" s="2">
        <v>21.67</v>
      </c>
      <c r="Z314" s="4">
        <v>6</v>
      </c>
      <c r="AA314" s="4">
        <v>8.6999999999999993</v>
      </c>
      <c r="AB314" s="2">
        <v>2.9</v>
      </c>
      <c r="AC314" s="2">
        <v>15.6</v>
      </c>
      <c r="AD314" s="2">
        <v>4.7999999999999972</v>
      </c>
      <c r="AE314" s="2">
        <v>1</v>
      </c>
    </row>
    <row r="315" spans="1:31" x14ac:dyDescent="0.25">
      <c r="A315" s="2" t="s">
        <v>126</v>
      </c>
      <c r="B315" s="2">
        <v>2019</v>
      </c>
      <c r="C315" s="2" t="s">
        <v>263</v>
      </c>
      <c r="D315" s="2" t="s">
        <v>340</v>
      </c>
      <c r="E315" s="2">
        <v>-45.7883</v>
      </c>
      <c r="F315" s="2">
        <v>-86.875299999999996</v>
      </c>
      <c r="G315" s="2">
        <v>-488.8467</v>
      </c>
      <c r="H315" s="2">
        <v>2.4708999999999999</v>
      </c>
      <c r="I315" s="2">
        <v>2.1640999999999999</v>
      </c>
      <c r="J315">
        <f>0.118455123337103*(100)</f>
        <v>11.8455123337103</v>
      </c>
      <c r="K315">
        <f>-0.2919*(100)</f>
        <v>-29.189999999999998</v>
      </c>
      <c r="L315" s="2">
        <v>0.58740000000000003</v>
      </c>
      <c r="M315" s="2">
        <v>0.1069</v>
      </c>
      <c r="N315" s="2">
        <v>41.849299999999999</v>
      </c>
      <c r="O315" s="2">
        <v>9.7199999999999995E-2</v>
      </c>
      <c r="P315" s="2">
        <v>0.22650000000000001</v>
      </c>
      <c r="Q315" s="2">
        <v>-83.4405</v>
      </c>
      <c r="R315" s="2">
        <v>-337.70479181584318</v>
      </c>
      <c r="S315" s="2">
        <v>-39.222499999999997</v>
      </c>
      <c r="T315" s="2">
        <v>-58.870199999999997</v>
      </c>
      <c r="U315" s="2">
        <v>51.455100000000002</v>
      </c>
      <c r="V315" s="2">
        <v>14.149422537623641</v>
      </c>
      <c r="W315" s="2">
        <v>721.20222288310913</v>
      </c>
      <c r="X315" s="2">
        <v>149.96</v>
      </c>
      <c r="Y315" s="2">
        <v>-116.82</v>
      </c>
      <c r="Z315" s="4">
        <v>6</v>
      </c>
      <c r="AA315" s="4">
        <v>8.6999999999999993</v>
      </c>
      <c r="AB315" s="2">
        <v>2.9</v>
      </c>
      <c r="AC315" s="2">
        <v>15.6</v>
      </c>
      <c r="AD315" s="2">
        <v>5.5999999999999943</v>
      </c>
      <c r="AE315" s="2">
        <v>1</v>
      </c>
    </row>
    <row r="316" spans="1:31" x14ac:dyDescent="0.25">
      <c r="A316" s="2" t="s">
        <v>120</v>
      </c>
      <c r="B316" s="2">
        <v>2019</v>
      </c>
      <c r="C316" s="2" t="s">
        <v>257</v>
      </c>
      <c r="D316" s="2" t="s">
        <v>333</v>
      </c>
      <c r="E316" s="2">
        <v>-9.7576000000000001</v>
      </c>
      <c r="F316" s="2">
        <v>-27.9209</v>
      </c>
      <c r="G316" s="2">
        <v>-15.0768</v>
      </c>
      <c r="H316" s="2">
        <v>1.5014000000000001</v>
      </c>
      <c r="I316" s="2">
        <v>1.1100000000000001</v>
      </c>
      <c r="J316">
        <f>0.186849495021875*(100)</f>
        <v>18.6849495021875</v>
      </c>
      <c r="K316">
        <f>-0.5481*(100)</f>
        <v>-54.81</v>
      </c>
      <c r="L316" s="2">
        <v>4.7877000000000001</v>
      </c>
      <c r="M316" s="2">
        <v>1.052</v>
      </c>
      <c r="N316" s="2">
        <v>20.239000000000001</v>
      </c>
      <c r="O316" s="2">
        <v>0.77510000000000001</v>
      </c>
      <c r="P316" s="2">
        <v>13.8193</v>
      </c>
      <c r="Q316" s="2">
        <v>-26.345199999999998</v>
      </c>
      <c r="R316" s="2">
        <v>-471.00580405460829</v>
      </c>
      <c r="S316" s="2">
        <v>-19.844799999999999</v>
      </c>
      <c r="T316" s="2">
        <v>-28.178899999999999</v>
      </c>
      <c r="U316" s="2">
        <v>58.259399999999999</v>
      </c>
      <c r="V316" s="2">
        <v>7.0746293572247323</v>
      </c>
      <c r="W316" s="2">
        <v>9.4826649360561923</v>
      </c>
      <c r="X316" s="2">
        <v>112.13</v>
      </c>
      <c r="Y316" s="2">
        <v>-36.659999999999997</v>
      </c>
      <c r="Z316" s="4">
        <v>6</v>
      </c>
      <c r="AA316" s="4">
        <v>8.6999999999999993</v>
      </c>
      <c r="AB316" s="2">
        <v>2.9</v>
      </c>
      <c r="AC316" s="2">
        <v>15.6</v>
      </c>
      <c r="AD316" s="2">
        <v>5.5999999999999943</v>
      </c>
      <c r="AE316" s="2">
        <v>1</v>
      </c>
    </row>
    <row r="317" spans="1:31" x14ac:dyDescent="0.25">
      <c r="A317" s="2" t="s">
        <v>83</v>
      </c>
      <c r="B317" s="2">
        <v>2019</v>
      </c>
      <c r="C317" s="2" t="s">
        <v>189</v>
      </c>
      <c r="D317" s="2" t="s">
        <v>297</v>
      </c>
      <c r="E317" s="2">
        <v>-9.1024999999999991</v>
      </c>
      <c r="F317" s="2">
        <v>-104.416</v>
      </c>
      <c r="G317" s="2">
        <v>-74.775700000000001</v>
      </c>
      <c r="H317" s="2">
        <v>0.64639999999999997</v>
      </c>
      <c r="I317" s="2">
        <v>0.58850000000000002</v>
      </c>
      <c r="J317">
        <f>0.298047516585405*(100)</f>
        <v>29.8047516585405</v>
      </c>
      <c r="K317">
        <f>-0.2206*(100)</f>
        <v>-22.06</v>
      </c>
      <c r="L317" s="2">
        <v>3.2086999999999999</v>
      </c>
      <c r="M317" s="2">
        <v>0.30690000000000001</v>
      </c>
      <c r="N317" s="2">
        <v>0.75190000000000001</v>
      </c>
      <c r="O317" s="2">
        <v>0.1502</v>
      </c>
      <c r="P317" s="2">
        <v>2.0173999999999999</v>
      </c>
      <c r="Q317" s="2">
        <v>6.4659000000000004</v>
      </c>
      <c r="R317" s="2">
        <v>4.2184021293672576</v>
      </c>
      <c r="S317" s="2">
        <v>-16.795200000000001</v>
      </c>
      <c r="T317" s="2">
        <v>-71.5501</v>
      </c>
      <c r="U317" s="2">
        <v>93.806200000000004</v>
      </c>
      <c r="V317" s="2">
        <v>13.600761124138666</v>
      </c>
      <c r="W317" s="2">
        <v>4.8913873674110242</v>
      </c>
      <c r="X317" s="2">
        <v>33.79</v>
      </c>
      <c r="Y317" s="2">
        <v>-125.1</v>
      </c>
      <c r="Z317" s="4">
        <v>6</v>
      </c>
      <c r="AA317" s="4">
        <v>8.6999999999999993</v>
      </c>
      <c r="AB317" s="2">
        <v>2.9</v>
      </c>
      <c r="AC317" s="2">
        <v>15.6</v>
      </c>
      <c r="AD317" s="2">
        <v>4.7999999999999972</v>
      </c>
      <c r="AE317" s="2">
        <v>1</v>
      </c>
    </row>
    <row r="318" spans="1:31" x14ac:dyDescent="0.25">
      <c r="A318" s="2" t="s">
        <v>96</v>
      </c>
      <c r="B318" s="2">
        <v>2019</v>
      </c>
      <c r="C318" s="2" t="s">
        <v>235</v>
      </c>
      <c r="D318" s="2" t="s">
        <v>298</v>
      </c>
      <c r="E318" s="2">
        <v>1.1851</v>
      </c>
      <c r="F318" s="2">
        <v>-56.412599999999998</v>
      </c>
      <c r="G318" s="2">
        <v>-3.3169</v>
      </c>
      <c r="H318" s="2">
        <v>1.0621</v>
      </c>
      <c r="I318" s="2">
        <v>0.57399999999999995</v>
      </c>
      <c r="J318">
        <f>0.184551080970043*(100)</f>
        <v>18.455108097004299</v>
      </c>
      <c r="K318">
        <f>-0.0085*(100)</f>
        <v>-0.85000000000000009</v>
      </c>
      <c r="L318" s="2">
        <v>2.0232000000000001</v>
      </c>
      <c r="M318" s="2">
        <v>0.88949999999999996</v>
      </c>
      <c r="N318" s="2">
        <v>8.6869999999999994</v>
      </c>
      <c r="O318" s="2">
        <v>0.51629999999999998</v>
      </c>
      <c r="P318" s="2">
        <v>29.0655</v>
      </c>
      <c r="Q318" s="2">
        <v>2.4211999999999998</v>
      </c>
      <c r="R318" s="2">
        <v>-927.27595615932682</v>
      </c>
      <c r="S318" s="2">
        <v>-7.0145</v>
      </c>
      <c r="T318" s="2">
        <v>-46.064100000000003</v>
      </c>
      <c r="U318" s="2">
        <v>86.112899999999996</v>
      </c>
      <c r="V318" s="2">
        <v>33.738860553583308</v>
      </c>
      <c r="W318" s="2">
        <v>0.50204338147933059</v>
      </c>
      <c r="X318" s="2">
        <v>113.31</v>
      </c>
      <c r="Y318" s="2">
        <v>-1.36</v>
      </c>
      <c r="Z318" s="4">
        <v>6</v>
      </c>
      <c r="AA318" s="4">
        <v>8.6999999999999993</v>
      </c>
      <c r="AB318" s="2">
        <v>2.9</v>
      </c>
      <c r="AC318" s="2">
        <v>15.6</v>
      </c>
      <c r="AD318" s="2">
        <v>4.7999999999999972</v>
      </c>
      <c r="AE318" s="2">
        <v>1</v>
      </c>
    </row>
    <row r="319" spans="1:31" x14ac:dyDescent="0.25">
      <c r="A319" s="2" t="s">
        <v>127</v>
      </c>
      <c r="B319" s="2">
        <v>2019</v>
      </c>
      <c r="C319" s="2" t="s">
        <v>264</v>
      </c>
      <c r="D319" s="2" t="s">
        <v>341</v>
      </c>
      <c r="E319" s="2">
        <v>-10.063800000000001</v>
      </c>
      <c r="F319" s="2">
        <v>-47.714100000000002</v>
      </c>
      <c r="G319" s="2">
        <v>-35.0655</v>
      </c>
      <c r="H319" s="2">
        <v>0.31140000000000001</v>
      </c>
      <c r="I319" s="2">
        <v>0.29139999999999999</v>
      </c>
      <c r="J319">
        <f>0.0923122585216867*(100)</f>
        <v>9.2312258521686701</v>
      </c>
      <c r="K319">
        <f>0.1082*(100)</f>
        <v>10.82</v>
      </c>
      <c r="L319" s="2">
        <v>38.666200000000003</v>
      </c>
      <c r="M319" s="2">
        <v>2.1282000000000001</v>
      </c>
      <c r="N319" s="2">
        <v>0.66820000000000002</v>
      </c>
      <c r="O319" s="2">
        <v>0.36</v>
      </c>
      <c r="P319" s="2">
        <v>6.6279000000000003</v>
      </c>
      <c r="Q319" s="2">
        <v>17.645499999999998</v>
      </c>
      <c r="R319" s="2">
        <v>-707.21425690357148</v>
      </c>
      <c r="S319" s="2">
        <v>-14.9719</v>
      </c>
      <c r="T319" s="2">
        <v>-38.701700000000002</v>
      </c>
      <c r="U319" s="2">
        <v>75.201899999999995</v>
      </c>
      <c r="V319" s="2">
        <v>25.076479837940035</v>
      </c>
      <c r="W319" s="2">
        <v>0.38176211323470272</v>
      </c>
      <c r="X319" s="2">
        <v>105.64</v>
      </c>
      <c r="Y319" s="2">
        <v>20.78</v>
      </c>
      <c r="Z319" s="4">
        <v>6</v>
      </c>
      <c r="AA319" s="4">
        <v>8.6999999999999993</v>
      </c>
      <c r="AB319" s="2">
        <v>2.9</v>
      </c>
      <c r="AC319" s="2">
        <v>15.6</v>
      </c>
      <c r="AD319" s="2">
        <v>4.7999999999999972</v>
      </c>
      <c r="AE319" s="2">
        <v>1</v>
      </c>
    </row>
    <row r="320" spans="1:31" x14ac:dyDescent="0.25">
      <c r="A320" s="2" t="s">
        <v>34</v>
      </c>
      <c r="B320" s="2">
        <v>2019</v>
      </c>
      <c r="C320" s="2" t="s">
        <v>187</v>
      </c>
      <c r="D320" s="2" t="s">
        <v>301</v>
      </c>
      <c r="E320" s="2">
        <v>4.8994999999999997</v>
      </c>
      <c r="F320" s="2">
        <v>6.8205</v>
      </c>
      <c r="G320" s="2">
        <v>9.6684999999999999</v>
      </c>
      <c r="H320" s="2">
        <v>1.6708000000000001</v>
      </c>
      <c r="I320" s="2">
        <v>1.5417000000000001</v>
      </c>
      <c r="J320">
        <f>0.746658830576507*(100)</f>
        <v>74.665883057650689</v>
      </c>
      <c r="K320">
        <f>0.0099*(100)</f>
        <v>0.9900000000000001</v>
      </c>
      <c r="L320" s="2">
        <v>5.5239000000000003</v>
      </c>
      <c r="M320" s="2">
        <v>0.61350000000000005</v>
      </c>
      <c r="N320" s="2">
        <v>2.7223000000000002</v>
      </c>
      <c r="O320" s="2">
        <v>0.40229999999999999</v>
      </c>
      <c r="P320" s="2">
        <v>2.5341</v>
      </c>
      <c r="Q320" s="2">
        <v>63.290799999999997</v>
      </c>
      <c r="R320" s="2">
        <v>18.112824273265471</v>
      </c>
      <c r="S320" s="2">
        <v>5.7786</v>
      </c>
      <c r="T320" s="2">
        <v>5.1067999999999998</v>
      </c>
      <c r="U320" s="2">
        <v>53.947200000000002</v>
      </c>
      <c r="V320" s="2">
        <v>16.473493871694945</v>
      </c>
      <c r="W320" s="2">
        <v>3.375499997483447</v>
      </c>
      <c r="X320" s="2">
        <v>86.7</v>
      </c>
      <c r="Y320" s="2">
        <v>1.38</v>
      </c>
      <c r="Z320" s="4">
        <v>6</v>
      </c>
      <c r="AA320" s="4">
        <v>8.6999999999999993</v>
      </c>
      <c r="AB320" s="2">
        <v>2.9</v>
      </c>
      <c r="AC320" s="2">
        <v>15.6</v>
      </c>
      <c r="AD320" s="2">
        <v>4.7999999999999972</v>
      </c>
      <c r="AE320" s="2">
        <v>1</v>
      </c>
    </row>
    <row r="321" spans="1:31" x14ac:dyDescent="0.25">
      <c r="A321" s="2" t="s">
        <v>77</v>
      </c>
      <c r="B321" s="2">
        <v>2019</v>
      </c>
      <c r="C321" s="2" t="s">
        <v>221</v>
      </c>
      <c r="D321" s="2" t="s">
        <v>324</v>
      </c>
      <c r="E321" s="2">
        <v>-2.4615</v>
      </c>
      <c r="F321" s="2">
        <v>-87.524500000000003</v>
      </c>
      <c r="G321" s="2">
        <v>-33.307899999999997</v>
      </c>
      <c r="H321" s="2">
        <v>0.93679999999999997</v>
      </c>
      <c r="I321" s="2">
        <v>0.50290000000000001</v>
      </c>
      <c r="J321">
        <f>0.126793073733366*(100)</f>
        <v>12.679307373336602</v>
      </c>
      <c r="K321">
        <f>0.0166*(100)</f>
        <v>1.66</v>
      </c>
      <c r="L321" s="2">
        <v>0.39460000000000001</v>
      </c>
      <c r="M321" s="2">
        <v>0.2039</v>
      </c>
      <c r="N321" s="2">
        <v>1.3655999999999999</v>
      </c>
      <c r="O321" s="2">
        <v>0.15809999999999999</v>
      </c>
      <c r="P321" s="2">
        <v>0.62490000000000001</v>
      </c>
      <c r="Q321" s="2">
        <v>18.3782</v>
      </c>
      <c r="R321" s="2">
        <v>-290.79328082194831</v>
      </c>
      <c r="S321" s="2">
        <v>-6.1516000000000002</v>
      </c>
      <c r="T321" s="2">
        <v>-62.842599999999997</v>
      </c>
      <c r="U321" s="2">
        <v>97.327100000000002</v>
      </c>
      <c r="V321" s="2">
        <v>15.793937792244497</v>
      </c>
      <c r="W321" s="2">
        <v>0.20920776857160581</v>
      </c>
      <c r="X321" s="2">
        <v>87.050000000000011</v>
      </c>
      <c r="Y321" s="2">
        <v>9.9</v>
      </c>
      <c r="Z321" s="4">
        <v>6</v>
      </c>
      <c r="AA321" s="4">
        <v>8.6999999999999993</v>
      </c>
      <c r="AB321" s="2">
        <v>2.9</v>
      </c>
      <c r="AC321" s="2">
        <v>15.6</v>
      </c>
      <c r="AD321" s="2">
        <v>4.7999999999999972</v>
      </c>
      <c r="AE321" s="2">
        <v>1</v>
      </c>
    </row>
    <row r="322" spans="1:31" x14ac:dyDescent="0.25">
      <c r="A322" s="2" t="s">
        <v>91</v>
      </c>
      <c r="B322" s="2">
        <v>2019</v>
      </c>
      <c r="C322" s="2" t="s">
        <v>231</v>
      </c>
      <c r="D322" s="2" t="s">
        <v>307</v>
      </c>
      <c r="E322" s="2">
        <v>4.5831</v>
      </c>
      <c r="F322" s="2">
        <v>1.7397</v>
      </c>
      <c r="G322" s="2">
        <v>4.4119999999999999</v>
      </c>
      <c r="H322" s="2">
        <v>0.82720000000000005</v>
      </c>
      <c r="I322" s="2">
        <v>0.59670000000000001</v>
      </c>
      <c r="J322">
        <f>0.344181836603633*(100)</f>
        <v>34.418183660363297</v>
      </c>
      <c r="K322">
        <f>0.2451*(100)</f>
        <v>24.51</v>
      </c>
      <c r="L322" s="2">
        <v>8.1420999999999992</v>
      </c>
      <c r="M322" s="2">
        <v>3.1097000000000001</v>
      </c>
      <c r="N322" s="2">
        <v>1.7133</v>
      </c>
      <c r="O322" s="2">
        <v>0.74129999999999996</v>
      </c>
      <c r="P322" s="2">
        <v>57.470999999999997</v>
      </c>
      <c r="Q322" s="2">
        <v>0.50229999999999997</v>
      </c>
      <c r="R322" s="2">
        <v>10.129029419662871</v>
      </c>
      <c r="S322" s="2">
        <v>3.7991999999999999</v>
      </c>
      <c r="T322" s="2">
        <v>13.3139</v>
      </c>
      <c r="U322" s="2">
        <v>61.346699999999998</v>
      </c>
      <c r="V322" s="2">
        <v>31.027863855905814</v>
      </c>
      <c r="W322" s="2">
        <v>0.62914794695729193</v>
      </c>
      <c r="X322" s="2">
        <v>112.93</v>
      </c>
      <c r="Y322" s="2">
        <v>20.66</v>
      </c>
      <c r="Z322" s="4">
        <v>6</v>
      </c>
      <c r="AA322" s="4">
        <v>8.6999999999999993</v>
      </c>
      <c r="AB322" s="2">
        <v>2.9</v>
      </c>
      <c r="AC322" s="2">
        <v>15.6</v>
      </c>
      <c r="AD322" s="2">
        <v>5.5</v>
      </c>
      <c r="AE322" s="2">
        <v>1</v>
      </c>
    </row>
    <row r="323" spans="1:31" x14ac:dyDescent="0.25">
      <c r="A323" s="2" t="s">
        <v>78</v>
      </c>
      <c r="B323" s="2">
        <v>2019</v>
      </c>
      <c r="C323" s="2" t="s">
        <v>222</v>
      </c>
      <c r="D323" s="2" t="s">
        <v>313</v>
      </c>
      <c r="E323" s="2">
        <v>2.0676000000000001</v>
      </c>
      <c r="F323" s="2">
        <v>0.56289999999999996</v>
      </c>
      <c r="G323" s="2">
        <v>6.5929000000000002</v>
      </c>
      <c r="H323" s="2">
        <v>0.1787</v>
      </c>
      <c r="I323" s="2">
        <v>0.1709</v>
      </c>
      <c r="J323">
        <f>0.0103690899749349*(100)</f>
        <v>1.03690899749349</v>
      </c>
      <c r="K323">
        <f>0.0405*(100)</f>
        <v>4.05</v>
      </c>
      <c r="L323" s="2">
        <v>19.421500000000002</v>
      </c>
      <c r="M323" s="2">
        <v>0.49590000000000001</v>
      </c>
      <c r="N323" s="2">
        <v>1.0908</v>
      </c>
      <c r="O323" s="2">
        <v>9.5200000000000007E-2</v>
      </c>
      <c r="P323" s="2">
        <v>7.1135000000000002</v>
      </c>
      <c r="Q323" s="2">
        <v>23.711600000000001</v>
      </c>
      <c r="R323" s="2">
        <v>-81.177889467169635</v>
      </c>
      <c r="S323" s="2">
        <v>-4.3667999999999996</v>
      </c>
      <c r="T323" s="2">
        <v>-40.872700000000002</v>
      </c>
      <c r="U323" s="2">
        <v>60.6327</v>
      </c>
      <c r="V323" s="2">
        <v>24.57379687328611</v>
      </c>
      <c r="W323" s="2">
        <v>2.8030833517163356</v>
      </c>
      <c r="X323" s="2">
        <v>112.3</v>
      </c>
      <c r="Y323" s="2">
        <v>25.25</v>
      </c>
      <c r="Z323" s="4">
        <v>6</v>
      </c>
      <c r="AA323" s="4">
        <v>8.6999999999999993</v>
      </c>
      <c r="AB323" s="2">
        <v>2.9</v>
      </c>
      <c r="AC323" s="2">
        <v>15.6</v>
      </c>
      <c r="AD323" s="2">
        <v>6.5</v>
      </c>
      <c r="AE323" s="2">
        <v>1</v>
      </c>
    </row>
    <row r="324" spans="1:31" x14ac:dyDescent="0.25">
      <c r="A324" s="2" t="s">
        <v>104</v>
      </c>
      <c r="B324" s="2">
        <v>2019</v>
      </c>
      <c r="C324" s="2" t="s">
        <v>243</v>
      </c>
      <c r="D324" s="2" t="s">
        <v>332</v>
      </c>
      <c r="E324" s="2">
        <v>4.0930999999999997</v>
      </c>
      <c r="F324" s="2">
        <v>-1.7165999999999999</v>
      </c>
      <c r="G324" s="2">
        <v>3.3948999999999998</v>
      </c>
      <c r="H324" s="2">
        <v>1.4011</v>
      </c>
      <c r="I324" s="2">
        <v>1.0336000000000001</v>
      </c>
      <c r="J324">
        <f>0.414083879521643*(100)</f>
        <v>41.408387952164297</v>
      </c>
      <c r="K324">
        <f>0.0173*(100)</f>
        <v>1.73</v>
      </c>
      <c r="L324" s="2">
        <v>3.3645999999999998</v>
      </c>
      <c r="M324" s="2">
        <v>0.66720000000000002</v>
      </c>
      <c r="N324" s="2">
        <v>14.8796</v>
      </c>
      <c r="O324" s="2">
        <v>0.43930000000000002</v>
      </c>
      <c r="P324" s="2">
        <v>11.603199999999999</v>
      </c>
      <c r="Q324" s="2">
        <v>7.3761999999999999</v>
      </c>
      <c r="R324" s="2">
        <v>-4.2908185043007929</v>
      </c>
      <c r="S324" s="2">
        <v>8.5327000000000002</v>
      </c>
      <c r="T324" s="2">
        <v>-4.4273999999999996</v>
      </c>
      <c r="U324" s="2">
        <v>81.842399999999998</v>
      </c>
      <c r="V324" s="2">
        <v>35.596897617457437</v>
      </c>
      <c r="W324" s="2">
        <v>2.0793644128894329</v>
      </c>
      <c r="X324" s="2">
        <v>102.43</v>
      </c>
      <c r="Y324" s="2">
        <v>3.84</v>
      </c>
      <c r="Z324" s="4">
        <v>6</v>
      </c>
      <c r="AA324" s="4">
        <v>8.6999999999999993</v>
      </c>
      <c r="AB324" s="2">
        <v>2.9</v>
      </c>
      <c r="AC324" s="2">
        <v>15.6</v>
      </c>
      <c r="AD324" s="2">
        <v>4.7999999999999972</v>
      </c>
      <c r="AE324" s="2">
        <v>1</v>
      </c>
    </row>
    <row r="325" spans="1:31" x14ac:dyDescent="0.25">
      <c r="A325" s="2" t="s">
        <v>103</v>
      </c>
      <c r="B325" s="2">
        <v>2018</v>
      </c>
      <c r="C325" s="2" t="s">
        <v>242</v>
      </c>
      <c r="D325" s="2" t="s">
        <v>315</v>
      </c>
      <c r="E325" s="2">
        <v>-131.81399999999999</v>
      </c>
      <c r="F325" s="2">
        <v>-1522.2429999999999</v>
      </c>
      <c r="G325" s="2">
        <v>-274.81610000000001</v>
      </c>
      <c r="H325" s="2">
        <v>0.34429999999999999</v>
      </c>
      <c r="I325" s="2">
        <v>0.25030000000000002</v>
      </c>
      <c r="J325">
        <f>0.0728071579794262*(100)</f>
        <v>7.2807157979426202</v>
      </c>
      <c r="K325">
        <f>-0.1565*(100)</f>
        <v>-15.65</v>
      </c>
      <c r="L325" s="2">
        <v>2.7035999999999998</v>
      </c>
      <c r="M325" s="2">
        <v>0.73160000000000003</v>
      </c>
      <c r="N325" s="2">
        <v>9.1236999999999995</v>
      </c>
      <c r="O325" s="2">
        <v>0.49680000000000002</v>
      </c>
      <c r="P325" s="2">
        <v>3.4459</v>
      </c>
      <c r="Q325" s="2">
        <v>-30.829599999999999</v>
      </c>
      <c r="R325" s="2">
        <v>-1085.166953022723</v>
      </c>
      <c r="S325" s="2">
        <v>-78.671899999999994</v>
      </c>
      <c r="T325" s="2">
        <v>-176.77950000000001</v>
      </c>
      <c r="U325" s="2">
        <v>257.85399999999998</v>
      </c>
      <c r="V325" s="2">
        <v>59.524387264150079</v>
      </c>
      <c r="W325" s="2">
        <v>-12.327943698920539</v>
      </c>
      <c r="X325" s="2">
        <v>78.2</v>
      </c>
      <c r="Y325" s="2">
        <v>-28.55</v>
      </c>
      <c r="Z325" s="4">
        <v>6.6000000000000005</v>
      </c>
      <c r="AA325" s="4">
        <v>8.1</v>
      </c>
      <c r="AB325" s="2">
        <v>2.1</v>
      </c>
      <c r="AC325" s="2">
        <v>12.5</v>
      </c>
      <c r="AD325" s="2">
        <v>6.0999999999999943</v>
      </c>
      <c r="AE325" s="2">
        <v>1</v>
      </c>
    </row>
    <row r="326" spans="1:31" x14ac:dyDescent="0.25">
      <c r="A326" s="2" t="s">
        <v>138</v>
      </c>
      <c r="B326" s="2">
        <v>2018</v>
      </c>
      <c r="C326" s="2" t="s">
        <v>269</v>
      </c>
      <c r="D326" s="2" t="s">
        <v>297</v>
      </c>
      <c r="E326" s="2">
        <v>10.931800000000001</v>
      </c>
      <c r="F326" s="2">
        <v>15.0959</v>
      </c>
      <c r="G326" s="2">
        <v>10.392899999999999</v>
      </c>
      <c r="H326" s="2">
        <v>1.5295000000000001</v>
      </c>
      <c r="I326" s="2">
        <v>1.2276</v>
      </c>
      <c r="J326">
        <f>0.720027672661886*(100)</f>
        <v>72.002767266188599</v>
      </c>
      <c r="K326">
        <f>0.2486*(100)</f>
        <v>24.86</v>
      </c>
      <c r="L326" s="2">
        <v>6.7845000000000004</v>
      </c>
      <c r="M326" s="2">
        <v>1.4992000000000001</v>
      </c>
      <c r="N326" s="2">
        <v>3.0855000000000001</v>
      </c>
      <c r="O326" s="2">
        <v>0.80479999999999996</v>
      </c>
      <c r="P326" s="2">
        <v>11.236700000000001</v>
      </c>
      <c r="Q326" s="2">
        <v>11.859299999999999</v>
      </c>
      <c r="R326" s="2">
        <v>1.2632562430030461</v>
      </c>
      <c r="S326" s="2">
        <v>2.5186999999999999</v>
      </c>
      <c r="T326" s="2">
        <v>16.322600000000001</v>
      </c>
      <c r="U326" s="2">
        <v>54.154800000000002</v>
      </c>
      <c r="V326" s="2">
        <v>19.757904953871417</v>
      </c>
      <c r="W326" s="2">
        <v>1.5831959134482647</v>
      </c>
      <c r="X326" s="2">
        <v>114.56</v>
      </c>
      <c r="Y326" s="2">
        <v>16.93</v>
      </c>
      <c r="Z326" s="4">
        <v>6.6000000000000005</v>
      </c>
      <c r="AA326" s="4">
        <v>8.1</v>
      </c>
      <c r="AB326" s="2">
        <v>2.1</v>
      </c>
      <c r="AC326" s="2">
        <v>12.5</v>
      </c>
      <c r="AD326" s="2">
        <v>6.0999999999999943</v>
      </c>
      <c r="AE326" s="2">
        <v>1</v>
      </c>
    </row>
    <row r="327" spans="1:31" x14ac:dyDescent="0.25">
      <c r="A327" s="2" t="s">
        <v>142</v>
      </c>
      <c r="B327" s="2">
        <v>2018</v>
      </c>
      <c r="C327" s="2" t="s">
        <v>270</v>
      </c>
      <c r="D327" s="2" t="s">
        <v>304</v>
      </c>
      <c r="E327" s="2">
        <v>10.0869</v>
      </c>
      <c r="F327" s="2">
        <v>14.208</v>
      </c>
      <c r="G327" s="2">
        <v>4.9882999999999997</v>
      </c>
      <c r="H327" s="2">
        <v>1.4697</v>
      </c>
      <c r="I327" s="2">
        <v>1.1987000000000001</v>
      </c>
      <c r="J327">
        <f>0.546160734763162*(100)</f>
        <v>54.616073476316195</v>
      </c>
      <c r="K327">
        <f>0.2514*(100)</f>
        <v>25.14</v>
      </c>
      <c r="L327" s="2">
        <v>14.3042</v>
      </c>
      <c r="M327" s="2">
        <v>2.7433999999999998</v>
      </c>
      <c r="N327" s="2">
        <v>5.4055</v>
      </c>
      <c r="O327" s="2">
        <v>1.4311</v>
      </c>
      <c r="P327" s="2">
        <v>15.761900000000001</v>
      </c>
      <c r="Q327" s="2">
        <v>15.393800000000001</v>
      </c>
      <c r="R327" s="2">
        <v>60.577430560850111</v>
      </c>
      <c r="S327" s="2">
        <v>11.4123</v>
      </c>
      <c r="T327" s="2">
        <v>15.903600000000001</v>
      </c>
      <c r="U327" s="2">
        <v>56.748899999999999</v>
      </c>
      <c r="V327" s="2">
        <v>20.278375991522541</v>
      </c>
      <c r="W327" s="2">
        <v>1.3979324043595547</v>
      </c>
      <c r="X327" s="2">
        <v>116.41</v>
      </c>
      <c r="Y327" s="2">
        <v>10.51</v>
      </c>
      <c r="Z327" s="4">
        <v>6.6000000000000005</v>
      </c>
      <c r="AA327" s="4">
        <v>8.1</v>
      </c>
      <c r="AB327" s="2">
        <v>2.1</v>
      </c>
      <c r="AC327" s="2">
        <v>12.5</v>
      </c>
      <c r="AD327" s="2">
        <v>6.0999999999999943</v>
      </c>
      <c r="AE327" s="2">
        <v>1</v>
      </c>
    </row>
    <row r="328" spans="1:31" x14ac:dyDescent="0.25">
      <c r="A328" s="2" t="s">
        <v>139</v>
      </c>
      <c r="B328" s="2">
        <v>2018</v>
      </c>
      <c r="C328" s="2" t="s">
        <v>258</v>
      </c>
      <c r="D328" s="2" t="s">
        <v>339</v>
      </c>
      <c r="E328" s="2">
        <v>8.3230000000000004</v>
      </c>
      <c r="F328" s="2">
        <v>9.2139000000000006</v>
      </c>
      <c r="G328" s="2">
        <v>10.946099999999999</v>
      </c>
      <c r="H328" s="2">
        <v>3.3416000000000001</v>
      </c>
      <c r="I328" s="2">
        <v>2.3077999999999999</v>
      </c>
      <c r="J328">
        <f>0.406828968723183*(100)</f>
        <v>40.682896872318302</v>
      </c>
      <c r="K328">
        <f>0.0631*(100)</f>
        <v>6.3100000000000005</v>
      </c>
      <c r="L328" s="2">
        <v>3.5722</v>
      </c>
      <c r="M328" s="2">
        <v>1.2745</v>
      </c>
      <c r="N328" s="2">
        <v>5.3125999999999998</v>
      </c>
      <c r="O328" s="2">
        <v>0.50590000000000002</v>
      </c>
      <c r="P328" s="2">
        <v>8.1795000000000009</v>
      </c>
      <c r="Q328" s="2">
        <v>18.167400000000001</v>
      </c>
      <c r="R328" s="2">
        <v>41.232082678030849</v>
      </c>
      <c r="S328" s="2">
        <v>5.7767999999999997</v>
      </c>
      <c r="T328" s="2">
        <v>12.551399999999999</v>
      </c>
      <c r="U328" s="2">
        <v>52.120199999999997</v>
      </c>
      <c r="V328" s="2">
        <v>40.84339528496605</v>
      </c>
      <c r="W328" s="2">
        <v>4.7179969472146759</v>
      </c>
      <c r="X328" s="2">
        <v>77.89</v>
      </c>
      <c r="Y328" s="2">
        <v>6.68</v>
      </c>
      <c r="Z328" s="4">
        <v>6.6000000000000005</v>
      </c>
      <c r="AA328" s="4">
        <v>8.1</v>
      </c>
      <c r="AB328" s="2">
        <v>2.1</v>
      </c>
      <c r="AC328" s="2">
        <v>12.5</v>
      </c>
      <c r="AD328" s="2">
        <v>6.7000000000000028</v>
      </c>
      <c r="AE328" s="2">
        <v>1</v>
      </c>
    </row>
    <row r="329" spans="1:31" x14ac:dyDescent="0.25">
      <c r="A329" s="2" t="s">
        <v>141</v>
      </c>
      <c r="B329" s="2">
        <v>2018</v>
      </c>
      <c r="C329" s="2" t="s">
        <v>240</v>
      </c>
      <c r="D329" s="2" t="s">
        <v>298</v>
      </c>
      <c r="E329" s="2">
        <v>6.7553999999999998</v>
      </c>
      <c r="F329" s="2">
        <v>8.5373999999999999</v>
      </c>
      <c r="G329" s="2">
        <v>9.5477000000000007</v>
      </c>
      <c r="H329" s="2">
        <v>1.1932</v>
      </c>
      <c r="I329" s="2">
        <v>1.0703</v>
      </c>
      <c r="J329">
        <f>0.451944933037411*(100)</f>
        <v>45.194493303741098</v>
      </c>
      <c r="K329">
        <f>0.0393*(100)</f>
        <v>3.93</v>
      </c>
      <c r="L329" s="2">
        <v>15.3239</v>
      </c>
      <c r="M329" s="2">
        <v>1.8278000000000001</v>
      </c>
      <c r="N329" s="2">
        <v>3.0507</v>
      </c>
      <c r="O329" s="2">
        <v>0.58399999999999996</v>
      </c>
      <c r="P329" s="2">
        <v>16.0732</v>
      </c>
      <c r="Q329" s="2">
        <v>5.1207000000000003</v>
      </c>
      <c r="R329" s="2">
        <v>-23.53013249421921</v>
      </c>
      <c r="S329" s="2">
        <v>16.901499999999999</v>
      </c>
      <c r="T329" s="2">
        <v>7.4207999999999998</v>
      </c>
      <c r="U329" s="2">
        <v>47.648699999999998</v>
      </c>
      <c r="V329" s="2">
        <v>20.330038008549504</v>
      </c>
      <c r="W329" s="2">
        <v>2.4508688908648262</v>
      </c>
      <c r="X329" s="2">
        <v>97.6</v>
      </c>
      <c r="Y329" s="2">
        <v>3.47</v>
      </c>
      <c r="Z329" s="4">
        <v>6.6000000000000005</v>
      </c>
      <c r="AA329" s="4">
        <v>8.1</v>
      </c>
      <c r="AB329" s="2">
        <v>2.1</v>
      </c>
      <c r="AC329" s="2">
        <v>12.5</v>
      </c>
      <c r="AD329" s="2">
        <v>6.0999999999999943</v>
      </c>
      <c r="AE329" s="2">
        <v>1</v>
      </c>
    </row>
    <row r="330" spans="1:31" x14ac:dyDescent="0.25">
      <c r="A330" s="2" t="s">
        <v>140</v>
      </c>
      <c r="B330" s="2">
        <v>2018</v>
      </c>
      <c r="C330" s="2" t="s">
        <v>250</v>
      </c>
      <c r="D330" s="2" t="s">
        <v>337</v>
      </c>
      <c r="E330" s="2">
        <v>5.9779</v>
      </c>
      <c r="F330" s="2">
        <v>7.7108999999999996</v>
      </c>
      <c r="G330" s="2">
        <v>7.9687999999999999</v>
      </c>
      <c r="H330" s="2">
        <v>2.0943999999999998</v>
      </c>
      <c r="I330" s="2">
        <v>1.1563000000000001</v>
      </c>
      <c r="J330">
        <f>0.470953448574098*(100)</f>
        <v>47.095344857409799</v>
      </c>
      <c r="K330">
        <f>-0.0863*(100)</f>
        <v>-8.6300000000000008</v>
      </c>
      <c r="L330" s="2">
        <v>1.3454999999999999</v>
      </c>
      <c r="M330" s="2">
        <v>0.67910000000000004</v>
      </c>
      <c r="N330" s="2">
        <v>24.797999999999998</v>
      </c>
      <c r="O330" s="2">
        <v>0.46339999999999998</v>
      </c>
      <c r="P330" s="2">
        <v>5.1016000000000004</v>
      </c>
      <c r="Q330" s="2">
        <v>1.3087</v>
      </c>
      <c r="R330" s="2">
        <v>12.04027785270519</v>
      </c>
      <c r="S330" s="2">
        <v>33.933599999999998</v>
      </c>
      <c r="T330" s="2">
        <v>15.635899999999999</v>
      </c>
      <c r="U330" s="2">
        <v>54.834899999999998</v>
      </c>
      <c r="V330" s="2">
        <v>22.978307250823587</v>
      </c>
      <c r="W330" s="2">
        <v>7.1938555691868631</v>
      </c>
      <c r="X330" s="2">
        <v>103.05</v>
      </c>
      <c r="Y330" s="2">
        <v>-11.7</v>
      </c>
      <c r="Z330" s="4">
        <v>6.6000000000000005</v>
      </c>
      <c r="AA330" s="4">
        <v>8.1</v>
      </c>
      <c r="AB330" s="2">
        <v>2.1</v>
      </c>
      <c r="AC330" s="2">
        <v>12.5</v>
      </c>
      <c r="AD330" s="2">
        <v>6.0999999999999943</v>
      </c>
      <c r="AE330" s="2">
        <v>1</v>
      </c>
    </row>
    <row r="331" spans="1:31" x14ac:dyDescent="0.25">
      <c r="A331" s="2" t="s">
        <v>144</v>
      </c>
      <c r="B331" s="2">
        <v>2018</v>
      </c>
      <c r="C331" s="2" t="s">
        <v>272</v>
      </c>
      <c r="D331" s="2" t="s">
        <v>323</v>
      </c>
      <c r="E331" s="2">
        <v>7.2789000000000001</v>
      </c>
      <c r="F331" s="2">
        <v>8.6006</v>
      </c>
      <c r="G331" s="2">
        <v>6.5540000000000003</v>
      </c>
      <c r="H331" s="2">
        <v>1.2890999999999999</v>
      </c>
      <c r="I331" s="2">
        <v>1.0066999999999999</v>
      </c>
      <c r="J331">
        <f>0.691273566779147*(100)</f>
        <v>69.12735667791469</v>
      </c>
      <c r="K331">
        <f>0.0988*(100)</f>
        <v>9.879999999999999</v>
      </c>
      <c r="L331" s="2">
        <v>7.4100999999999999</v>
      </c>
      <c r="M331" s="2">
        <v>1.6221000000000001</v>
      </c>
      <c r="N331" s="2">
        <v>1.6672</v>
      </c>
      <c r="O331" s="2">
        <v>0.79090000000000005</v>
      </c>
      <c r="P331" s="2">
        <v>13.5207</v>
      </c>
      <c r="Q331" s="2">
        <v>12.5054</v>
      </c>
      <c r="R331" s="2">
        <v>-0.86755084530809112</v>
      </c>
      <c r="S331" s="2">
        <v>1.1527000000000001</v>
      </c>
      <c r="T331" s="2">
        <v>24.142199999999999</v>
      </c>
      <c r="U331" s="2">
        <v>48.092799999999997</v>
      </c>
      <c r="V331" s="2">
        <v>11.625484189341096</v>
      </c>
      <c r="W331" s="2">
        <v>1.0699810807655676</v>
      </c>
      <c r="X331" s="2">
        <v>112.92</v>
      </c>
      <c r="Y331" s="2">
        <v>6.04</v>
      </c>
      <c r="Z331" s="4">
        <v>6.6000000000000005</v>
      </c>
      <c r="AA331" s="4">
        <v>8.1</v>
      </c>
      <c r="AB331" s="2">
        <v>2.1</v>
      </c>
      <c r="AC331" s="2">
        <v>12.5</v>
      </c>
      <c r="AD331" s="2">
        <v>6.0999999999999943</v>
      </c>
      <c r="AE331" s="2">
        <v>1</v>
      </c>
    </row>
    <row r="332" spans="1:31" x14ac:dyDescent="0.25">
      <c r="A332" s="2" t="s">
        <v>128</v>
      </c>
      <c r="B332" s="2">
        <v>2018</v>
      </c>
      <c r="C332" s="2" t="s">
        <v>198</v>
      </c>
      <c r="D332" s="2" t="s">
        <v>307</v>
      </c>
      <c r="E332" s="2">
        <v>5.1555999999999997</v>
      </c>
      <c r="F332" s="2">
        <v>5.7647000000000004</v>
      </c>
      <c r="G332" s="2">
        <v>7.8592000000000004</v>
      </c>
      <c r="H332" s="2">
        <v>2.6775000000000002</v>
      </c>
      <c r="I332" s="2">
        <v>2.2641</v>
      </c>
      <c r="J332">
        <f>1.34910090798763*(100)</f>
        <v>134.91009079876301</v>
      </c>
      <c r="K332">
        <f>0.1189*(100)</f>
        <v>11.89</v>
      </c>
      <c r="L332" s="2">
        <v>4.5640000000000001</v>
      </c>
      <c r="M332" s="2">
        <v>0.80420000000000003</v>
      </c>
      <c r="N332" s="2">
        <v>3.2545999999999999</v>
      </c>
      <c r="O332" s="2">
        <v>0.44700000000000001</v>
      </c>
      <c r="P332" s="2">
        <v>7.8033999999999999</v>
      </c>
      <c r="Q332" s="2">
        <v>7.4461000000000004</v>
      </c>
      <c r="R332" s="2">
        <v>-9.1206312552838309</v>
      </c>
      <c r="S332" s="2">
        <v>16.256900000000002</v>
      </c>
      <c r="T332" s="2">
        <v>4.7859999999999996</v>
      </c>
      <c r="U332" s="2">
        <v>51.7089</v>
      </c>
      <c r="V332" s="2">
        <v>31.30848013888291</v>
      </c>
      <c r="W332" s="2">
        <v>2.9035133213477424</v>
      </c>
      <c r="X332" s="2">
        <v>106.85</v>
      </c>
      <c r="Y332" s="2">
        <v>14.79</v>
      </c>
      <c r="Z332" s="4">
        <v>6.6000000000000005</v>
      </c>
      <c r="AA332" s="4">
        <v>8.1</v>
      </c>
      <c r="AB332" s="2">
        <v>2.1</v>
      </c>
      <c r="AC332" s="2">
        <v>12.5</v>
      </c>
      <c r="AD332" s="2">
        <v>6.7000000000000028</v>
      </c>
      <c r="AE332" s="2">
        <v>1</v>
      </c>
    </row>
    <row r="333" spans="1:31" x14ac:dyDescent="0.25">
      <c r="A333" s="2" t="s">
        <v>147</v>
      </c>
      <c r="B333" s="2">
        <v>2018</v>
      </c>
      <c r="C333" s="2" t="s">
        <v>273</v>
      </c>
      <c r="D333" s="2" t="s">
        <v>298</v>
      </c>
      <c r="E333" s="2">
        <v>3.8993000000000002</v>
      </c>
      <c r="F333" s="2">
        <v>7.1513999999999998</v>
      </c>
      <c r="G333" s="2">
        <v>3.7292999999999998</v>
      </c>
      <c r="H333" s="2">
        <v>1.7238</v>
      </c>
      <c r="I333" s="2">
        <v>0.95860000000000001</v>
      </c>
      <c r="J333">
        <f>0.0979402809691986*(100)</f>
        <v>9.7940280969198596</v>
      </c>
      <c r="K333">
        <f>-0.0323*(100)</f>
        <v>-3.2300000000000004</v>
      </c>
      <c r="L333" s="2">
        <v>1.5558000000000001</v>
      </c>
      <c r="M333" s="2">
        <v>0.67579999999999996</v>
      </c>
      <c r="N333" s="2">
        <v>77.4285</v>
      </c>
      <c r="O333" s="2">
        <v>0.52980000000000005</v>
      </c>
      <c r="P333" s="2">
        <v>5.3056999999999999</v>
      </c>
      <c r="Q333" s="2">
        <v>-6.7465999999999999</v>
      </c>
      <c r="R333" s="2">
        <v>-45.945769282930193</v>
      </c>
      <c r="S333" s="2">
        <v>26.9069</v>
      </c>
      <c r="T333" s="2">
        <v>2.1162999999999998</v>
      </c>
      <c r="U333" s="2">
        <v>71.644099999999995</v>
      </c>
      <c r="V333" s="2">
        <v>26.003646481343225</v>
      </c>
      <c r="W333" s="2">
        <v>44.712138555939866</v>
      </c>
      <c r="X333" s="2">
        <v>69.69</v>
      </c>
      <c r="Y333" s="2">
        <v>-4.88</v>
      </c>
      <c r="Z333" s="4">
        <v>6.6000000000000005</v>
      </c>
      <c r="AA333" s="4">
        <v>8.1</v>
      </c>
      <c r="AB333" s="2">
        <v>2.1</v>
      </c>
      <c r="AC333" s="2">
        <v>12.5</v>
      </c>
      <c r="AD333" s="2">
        <v>6.0999999999999943</v>
      </c>
      <c r="AE333" s="2">
        <v>1</v>
      </c>
    </row>
    <row r="334" spans="1:31" x14ac:dyDescent="0.25">
      <c r="A334" s="2" t="s">
        <v>31</v>
      </c>
      <c r="B334" s="2">
        <v>2018</v>
      </c>
      <c r="C334" s="2" t="s">
        <v>184</v>
      </c>
      <c r="D334" s="2" t="s">
        <v>295</v>
      </c>
      <c r="E334" s="2">
        <v>7.9583000000000004</v>
      </c>
      <c r="F334" s="2">
        <v>16.012499999999999</v>
      </c>
      <c r="G334" s="2">
        <v>29.2286</v>
      </c>
      <c r="H334" s="2">
        <v>1.1906000000000001</v>
      </c>
      <c r="I334" s="2">
        <v>0.60460000000000003</v>
      </c>
      <c r="J334">
        <f>0.296876152130889*(100)</f>
        <v>29.687615213088904</v>
      </c>
      <c r="K334">
        <f>-0.1292*(100)</f>
        <v>-12.920000000000002</v>
      </c>
      <c r="L334" s="2">
        <v>0.46650000000000003</v>
      </c>
      <c r="M334" s="2">
        <v>0.52449999999999997</v>
      </c>
      <c r="N334" s="2">
        <v>18.3415</v>
      </c>
      <c r="O334" s="2">
        <v>0.19139999999999999</v>
      </c>
      <c r="P334" s="2">
        <v>15.628399999999999</v>
      </c>
      <c r="Q334" s="2">
        <v>-25.779599999999999</v>
      </c>
      <c r="R334" s="2">
        <v>-18.013857224751732</v>
      </c>
      <c r="S334" s="2">
        <v>6.9457000000000004</v>
      </c>
      <c r="T334" s="2">
        <v>20.112500000000001</v>
      </c>
      <c r="U334" s="2">
        <v>67.391400000000004</v>
      </c>
      <c r="V334" s="2">
        <v>37.695774837470253</v>
      </c>
      <c r="W334" s="2">
        <v>32.637975810437425</v>
      </c>
      <c r="X334" s="2">
        <v>88.53</v>
      </c>
      <c r="Y334" s="2">
        <v>-47.03</v>
      </c>
      <c r="Z334" s="4">
        <v>6.6000000000000005</v>
      </c>
      <c r="AA334" s="4">
        <v>8.1</v>
      </c>
      <c r="AB334" s="2">
        <v>2.1</v>
      </c>
      <c r="AC334" s="2">
        <v>12.5</v>
      </c>
      <c r="AD334" s="2">
        <v>3.5</v>
      </c>
      <c r="AE334" s="2">
        <v>1</v>
      </c>
    </row>
    <row r="335" spans="1:31" x14ac:dyDescent="0.25">
      <c r="A335" s="2" t="s">
        <v>143</v>
      </c>
      <c r="B335" s="2">
        <v>2018</v>
      </c>
      <c r="C335" s="2" t="s">
        <v>271</v>
      </c>
      <c r="D335" s="2" t="s">
        <v>298</v>
      </c>
      <c r="E335" s="2">
        <v>5.9150999999999998</v>
      </c>
      <c r="F335" s="2">
        <v>9.6293000000000006</v>
      </c>
      <c r="G335" s="2">
        <v>9.8480000000000008</v>
      </c>
      <c r="H335" s="2">
        <v>1.8727</v>
      </c>
      <c r="I335" s="2">
        <v>0.98050000000000004</v>
      </c>
      <c r="J335">
        <f>0.192391281197091*(100)</f>
        <v>19.2391281197091</v>
      </c>
      <c r="K335">
        <f>0.0529*(100)</f>
        <v>5.29</v>
      </c>
      <c r="L335" s="2">
        <v>1.9135</v>
      </c>
      <c r="M335" s="2">
        <v>1.101</v>
      </c>
      <c r="N335" s="2">
        <v>6.6303999999999998</v>
      </c>
      <c r="O335" s="2">
        <v>0.45839999999999997</v>
      </c>
      <c r="P335" s="2">
        <v>8.0161999999999995</v>
      </c>
      <c r="Q335" s="2">
        <v>5.9791999999999996</v>
      </c>
      <c r="R335" s="2">
        <v>73.229690755552483</v>
      </c>
      <c r="S335" s="2">
        <v>18.843699999999998</v>
      </c>
      <c r="T335" s="2">
        <v>17.5688</v>
      </c>
      <c r="U335" s="2">
        <v>47.5685</v>
      </c>
      <c r="V335" s="2">
        <v>24.227074649431284</v>
      </c>
      <c r="W335" s="2">
        <v>7.1131891175263275</v>
      </c>
      <c r="X335" s="2">
        <v>123.33</v>
      </c>
      <c r="Y335" s="2">
        <v>5.9499999999999993</v>
      </c>
      <c r="Z335" s="4">
        <v>6.6000000000000005</v>
      </c>
      <c r="AA335" s="4">
        <v>8.1</v>
      </c>
      <c r="AB335" s="2">
        <v>2.1</v>
      </c>
      <c r="AC335" s="2">
        <v>12.5</v>
      </c>
      <c r="AD335" s="2">
        <v>6.0999999999999943</v>
      </c>
      <c r="AE335" s="2">
        <v>1</v>
      </c>
    </row>
    <row r="336" spans="1:31" x14ac:dyDescent="0.25">
      <c r="A336" s="2" t="s">
        <v>150</v>
      </c>
      <c r="B336" s="2">
        <v>2018</v>
      </c>
      <c r="C336" s="2" t="s">
        <v>276</v>
      </c>
      <c r="D336" s="2" t="s">
        <v>324</v>
      </c>
      <c r="E336" s="2">
        <v>7.7950999999999997</v>
      </c>
      <c r="F336" s="2">
        <v>13.622400000000001</v>
      </c>
      <c r="G336" s="2">
        <v>14.1754</v>
      </c>
      <c r="H336" s="2">
        <v>1.841</v>
      </c>
      <c r="I336" s="2">
        <v>1.3651</v>
      </c>
      <c r="J336">
        <f>0.16050028460201*(100)</f>
        <v>16.050028460200998</v>
      </c>
      <c r="K336">
        <f>-0.3127*(100)</f>
        <v>-31.269999999999996</v>
      </c>
      <c r="L336" s="2">
        <v>1.4416</v>
      </c>
      <c r="M336" s="2">
        <v>0.52300000000000002</v>
      </c>
      <c r="N336" s="2">
        <v>16.1249</v>
      </c>
      <c r="O336" s="2">
        <v>0.4622</v>
      </c>
      <c r="P336" s="2">
        <v>1.8158000000000001</v>
      </c>
      <c r="Q336" s="2">
        <v>-10.1022</v>
      </c>
      <c r="R336" s="2">
        <v>-49.944835331473882</v>
      </c>
      <c r="S336" s="2">
        <v>41.5749</v>
      </c>
      <c r="T336" s="2">
        <v>10.271100000000001</v>
      </c>
      <c r="U336" s="2">
        <v>60.9803</v>
      </c>
      <c r="V336" s="2">
        <v>12.074639854936583</v>
      </c>
      <c r="W336" s="2">
        <v>18.875200512636784</v>
      </c>
      <c r="X336" s="2">
        <v>43.39</v>
      </c>
      <c r="Y336" s="2">
        <v>-48.35</v>
      </c>
      <c r="Z336" s="4">
        <v>6.6000000000000005</v>
      </c>
      <c r="AA336" s="4">
        <v>8.1</v>
      </c>
      <c r="AB336" s="2">
        <v>2.1</v>
      </c>
      <c r="AC336" s="2">
        <v>12.5</v>
      </c>
      <c r="AD336" s="2">
        <v>6.0999999999999943</v>
      </c>
      <c r="AE336" s="2">
        <v>1</v>
      </c>
    </row>
    <row r="337" spans="1:31" x14ac:dyDescent="0.25">
      <c r="A337" s="2" t="s">
        <v>148</v>
      </c>
      <c r="B337" s="2">
        <v>2018</v>
      </c>
      <c r="C337" s="2" t="s">
        <v>274</v>
      </c>
      <c r="D337" s="2" t="s">
        <v>332</v>
      </c>
      <c r="E337" s="2">
        <v>-66.582599999999999</v>
      </c>
      <c r="F337" s="2">
        <v>-254.91069999999999</v>
      </c>
      <c r="G337" s="2">
        <v>-245.32490000000001</v>
      </c>
      <c r="H337" s="2">
        <v>0.54600000000000004</v>
      </c>
      <c r="I337" s="2">
        <v>0.50090000000000001</v>
      </c>
      <c r="J337">
        <f>0.0589965089512063*(100)</f>
        <v>5.8996508951206295</v>
      </c>
      <c r="K337">
        <f>-0.1422*(100)</f>
        <v>-14.219999999999999</v>
      </c>
      <c r="L337" s="2">
        <v>12.146000000000001</v>
      </c>
      <c r="M337" s="2">
        <v>0.59670000000000001</v>
      </c>
      <c r="N337" s="2">
        <v>8.4116999999999997</v>
      </c>
      <c r="O337" s="2">
        <v>0.28310000000000002</v>
      </c>
      <c r="P337" s="2">
        <v>1.1423000000000001</v>
      </c>
      <c r="Q337" s="2">
        <v>-67.995800000000003</v>
      </c>
      <c r="R337" s="2">
        <v>-8095.0929767220796</v>
      </c>
      <c r="S337" s="2">
        <v>-44.4756</v>
      </c>
      <c r="T337" s="2">
        <v>-93.516400000000004</v>
      </c>
      <c r="U337" s="2">
        <v>103.7239</v>
      </c>
      <c r="V337" s="2">
        <v>22.739786578775234</v>
      </c>
      <c r="W337" s="2">
        <v>1.2123104358430918</v>
      </c>
      <c r="X337" s="2">
        <v>77.63</v>
      </c>
      <c r="Y337" s="2">
        <v>-37.590000000000003</v>
      </c>
      <c r="Z337" s="4">
        <v>6.6000000000000005</v>
      </c>
      <c r="AA337" s="4">
        <v>8.1</v>
      </c>
      <c r="AB337" s="2">
        <v>2.1</v>
      </c>
      <c r="AC337" s="2">
        <v>12.5</v>
      </c>
      <c r="AD337" s="2">
        <v>6.0999999999999943</v>
      </c>
      <c r="AE337" s="2">
        <v>1</v>
      </c>
    </row>
    <row r="338" spans="1:31" x14ac:dyDescent="0.25">
      <c r="A338" s="2" t="s">
        <v>100</v>
      </c>
      <c r="B338" s="2">
        <v>2018</v>
      </c>
      <c r="C338" s="2" t="s">
        <v>239</v>
      </c>
      <c r="D338" s="2" t="s">
        <v>331</v>
      </c>
      <c r="E338" s="2">
        <v>6.4969000000000001</v>
      </c>
      <c r="F338" s="2">
        <v>7.0979999999999999</v>
      </c>
      <c r="G338" s="2">
        <v>13.7737</v>
      </c>
      <c r="H338" s="2">
        <v>1.0124</v>
      </c>
      <c r="I338" s="2">
        <v>0.98209999999999997</v>
      </c>
      <c r="J338">
        <f>0.424455881589292*(100)</f>
        <v>42.445588158929198</v>
      </c>
      <c r="K338">
        <f>0.0649*(100)</f>
        <v>6.49</v>
      </c>
      <c r="L338" s="2">
        <v>14.0093</v>
      </c>
      <c r="M338" s="2">
        <v>0.69550000000000001</v>
      </c>
      <c r="N338" s="2">
        <v>2.4861</v>
      </c>
      <c r="O338" s="2">
        <v>0.32450000000000001</v>
      </c>
      <c r="P338" s="2">
        <v>4.3703000000000003</v>
      </c>
      <c r="Q338" s="2">
        <v>236.6849</v>
      </c>
      <c r="R338" s="2">
        <v>12059.697742739951</v>
      </c>
      <c r="S338" s="2">
        <v>129.5093</v>
      </c>
      <c r="T338" s="2">
        <v>17.9621</v>
      </c>
      <c r="U338" s="2">
        <v>54.199199999999998</v>
      </c>
      <c r="V338" s="2">
        <v>17.904636365470157</v>
      </c>
      <c r="W338" s="2">
        <v>1.6898060200147009</v>
      </c>
      <c r="X338" s="2">
        <v>118.62</v>
      </c>
      <c r="Y338" s="2">
        <v>15.11</v>
      </c>
      <c r="Z338" s="4">
        <v>6.6000000000000005</v>
      </c>
      <c r="AA338" s="4">
        <v>8.1</v>
      </c>
      <c r="AB338" s="2">
        <v>2.1</v>
      </c>
      <c r="AC338" s="2">
        <v>12.5</v>
      </c>
      <c r="AD338" s="2">
        <v>6.0999999999999943</v>
      </c>
      <c r="AE338" s="2">
        <v>1</v>
      </c>
    </row>
    <row r="339" spans="1:31" x14ac:dyDescent="0.25">
      <c r="A339" s="2" t="s">
        <v>98</v>
      </c>
      <c r="B339" s="2">
        <v>2018</v>
      </c>
      <c r="C339" s="2" t="s">
        <v>237</v>
      </c>
      <c r="D339" s="2" t="s">
        <v>310</v>
      </c>
      <c r="E339" s="2">
        <v>-0.56669999999999998</v>
      </c>
      <c r="F339" s="2">
        <v>-108.2542</v>
      </c>
      <c r="G339" s="2">
        <v>-18.3386</v>
      </c>
      <c r="H339" s="2">
        <v>1.2814000000000001</v>
      </c>
      <c r="I339" s="2">
        <v>0.92730000000000001</v>
      </c>
      <c r="J339">
        <f>0.0719125006231438*(100)</f>
        <v>7.1912500623143805</v>
      </c>
      <c r="K339">
        <f>-0.1067*(100)</f>
        <v>-10.67</v>
      </c>
      <c r="L339" s="2">
        <v>0.60289999999999999</v>
      </c>
      <c r="M339" s="2">
        <v>0.27110000000000001</v>
      </c>
      <c r="N339" s="2">
        <v>7.6504000000000003</v>
      </c>
      <c r="O339" s="2">
        <v>0.23130000000000001</v>
      </c>
      <c r="P339" s="2">
        <v>1.7217</v>
      </c>
      <c r="Q339" s="2">
        <v>5.4295999999999998</v>
      </c>
      <c r="R339" s="2">
        <v>-456.64534144315149</v>
      </c>
      <c r="S339" s="2">
        <v>29.290199999999999</v>
      </c>
      <c r="T339" s="2">
        <v>-69.228700000000003</v>
      </c>
      <c r="U339" s="2">
        <v>88.291899999999998</v>
      </c>
      <c r="V339" s="2">
        <v>22.013803300113231</v>
      </c>
      <c r="W339" s="2">
        <v>1.0151683821682802</v>
      </c>
      <c r="X339" s="2">
        <v>70.8</v>
      </c>
      <c r="Y339" s="2">
        <v>-45.93</v>
      </c>
      <c r="Z339" s="4">
        <v>6.6000000000000005</v>
      </c>
      <c r="AA339" s="4">
        <v>8.1</v>
      </c>
      <c r="AB339" s="2">
        <v>2.1</v>
      </c>
      <c r="AC339" s="2">
        <v>12.5</v>
      </c>
      <c r="AD339" s="2">
        <v>6.0999999999999943</v>
      </c>
      <c r="AE339" s="2">
        <v>1</v>
      </c>
    </row>
    <row r="340" spans="1:31" x14ac:dyDescent="0.25">
      <c r="A340" s="2" t="s">
        <v>136</v>
      </c>
      <c r="B340" s="2">
        <v>2018</v>
      </c>
      <c r="C340" s="2" t="s">
        <v>267</v>
      </c>
      <c r="D340" s="2" t="s">
        <v>310</v>
      </c>
      <c r="E340" s="2">
        <v>-8.2726000000000006</v>
      </c>
      <c r="F340" s="2">
        <v>-29.291599999999999</v>
      </c>
      <c r="G340" s="2">
        <v>-80.074299999999994</v>
      </c>
      <c r="H340" s="2">
        <v>1.2083999999999999</v>
      </c>
      <c r="I340" s="2">
        <v>1.0539000000000001</v>
      </c>
      <c r="J340">
        <f>0.268945448725129*(100)</f>
        <v>26.894544872512899</v>
      </c>
      <c r="K340">
        <f>-0.2168*(100)</f>
        <v>-21.68</v>
      </c>
      <c r="L340" s="2">
        <v>1.3717999999999999</v>
      </c>
      <c r="M340" s="2">
        <v>0.20949999999999999</v>
      </c>
      <c r="N340" s="2">
        <v>1.8884000000000001</v>
      </c>
      <c r="O340" s="2">
        <v>0.10589999999999999</v>
      </c>
      <c r="P340" s="2">
        <v>1.1627000000000001</v>
      </c>
      <c r="Q340" s="2">
        <v>-13.646800000000001</v>
      </c>
      <c r="R340" s="2">
        <v>-1207.7132009689531</v>
      </c>
      <c r="S340" s="2">
        <v>13.164099999999999</v>
      </c>
      <c r="T340" s="2">
        <v>-26.066099999999999</v>
      </c>
      <c r="U340" s="2">
        <v>71.4011</v>
      </c>
      <c r="V340" s="2">
        <v>28.957704183563969</v>
      </c>
      <c r="W340" s="2">
        <v>5.3470581418783159</v>
      </c>
      <c r="X340" s="2">
        <v>39.68</v>
      </c>
      <c r="Y340" s="2">
        <v>-155.16999999999999</v>
      </c>
      <c r="Z340" s="4">
        <v>6.6000000000000005</v>
      </c>
      <c r="AA340" s="4">
        <v>8.1</v>
      </c>
      <c r="AB340" s="2">
        <v>2.1</v>
      </c>
      <c r="AC340" s="2">
        <v>12.5</v>
      </c>
      <c r="AD340" s="2">
        <v>6.0999999999999943</v>
      </c>
      <c r="AE340" s="2">
        <v>1</v>
      </c>
    </row>
    <row r="341" spans="1:31" x14ac:dyDescent="0.25">
      <c r="A341" s="2" t="s">
        <v>97</v>
      </c>
      <c r="B341" s="2">
        <v>2018</v>
      </c>
      <c r="C341" s="2" t="s">
        <v>236</v>
      </c>
      <c r="D341" s="2" t="s">
        <v>330</v>
      </c>
      <c r="E341" s="2">
        <v>-2.6425000000000001</v>
      </c>
      <c r="F341" s="2">
        <v>-22.7514</v>
      </c>
      <c r="G341" s="2">
        <v>-40.138599999999997</v>
      </c>
      <c r="H341" s="2">
        <v>0.76939999999999997</v>
      </c>
      <c r="I341" s="2">
        <v>0.57699999999999996</v>
      </c>
      <c r="J341">
        <f>0.171009596810001*(100)</f>
        <v>17.100959681000099</v>
      </c>
      <c r="K341">
        <f>0.0158*(100)</f>
        <v>1.58</v>
      </c>
      <c r="L341" s="2">
        <v>1.1314</v>
      </c>
      <c r="M341" s="2">
        <v>0.38080000000000003</v>
      </c>
      <c r="N341" s="2">
        <v>0.40539999999999998</v>
      </c>
      <c r="O341" s="2">
        <v>0.13650000000000001</v>
      </c>
      <c r="P341" s="2">
        <v>2.3698000000000001</v>
      </c>
      <c r="Q341" s="2">
        <v>8.8993000000000002</v>
      </c>
      <c r="R341" s="2">
        <v>-3954.286293090096</v>
      </c>
      <c r="S341" s="2">
        <v>-7.8777999999999997</v>
      </c>
      <c r="T341" s="2">
        <v>-20.063400000000001</v>
      </c>
      <c r="U341" s="2">
        <v>72.359399999999994</v>
      </c>
      <c r="V341" s="2">
        <v>30.719220220765063</v>
      </c>
      <c r="W341" s="2">
        <v>0.67472955311812</v>
      </c>
      <c r="X341" s="2">
        <v>105.43</v>
      </c>
      <c r="Y341" s="2">
        <v>8.08</v>
      </c>
      <c r="Z341" s="4">
        <v>6.6000000000000005</v>
      </c>
      <c r="AA341" s="4">
        <v>8.1</v>
      </c>
      <c r="AB341" s="2">
        <v>2.1</v>
      </c>
      <c r="AC341" s="2">
        <v>12.5</v>
      </c>
      <c r="AD341" s="2">
        <v>6.0999999999999943</v>
      </c>
      <c r="AE341" s="2">
        <v>1</v>
      </c>
    </row>
    <row r="342" spans="1:31" x14ac:dyDescent="0.25">
      <c r="A342" s="2" t="s">
        <v>52</v>
      </c>
      <c r="B342" s="2">
        <v>2018</v>
      </c>
      <c r="C342" s="2" t="s">
        <v>203</v>
      </c>
      <c r="D342" s="2" t="s">
        <v>311</v>
      </c>
      <c r="E342" s="2">
        <v>-5.5101000000000004</v>
      </c>
      <c r="F342" s="2">
        <v>-100.8511</v>
      </c>
      <c r="G342" s="2">
        <v>-83.799099999999996</v>
      </c>
      <c r="H342" s="2">
        <v>0.74329999999999996</v>
      </c>
      <c r="I342" s="2">
        <v>0.62609999999999999</v>
      </c>
      <c r="J342">
        <f>0.155910849125143*(100)</f>
        <v>15.591084912514299</v>
      </c>
      <c r="K342">
        <f>0.0254*(100)</f>
        <v>2.54</v>
      </c>
      <c r="L342" s="2">
        <v>1.1592</v>
      </c>
      <c r="M342" s="2">
        <v>0.23549999999999999</v>
      </c>
      <c r="N342" s="2">
        <v>0.41739999999999999</v>
      </c>
      <c r="O342" s="2">
        <v>0.1089</v>
      </c>
      <c r="P342" s="2">
        <v>1.1899</v>
      </c>
      <c r="Q342" s="2">
        <v>-5.3230000000000004</v>
      </c>
      <c r="R342" s="2">
        <v>-557.67639819182182</v>
      </c>
      <c r="S342" s="2">
        <v>-13.8178</v>
      </c>
      <c r="T342" s="2">
        <v>-141.1028</v>
      </c>
      <c r="U342" s="2">
        <v>86.921400000000006</v>
      </c>
      <c r="V342" s="2">
        <v>32.513139663760057</v>
      </c>
      <c r="W342" s="2">
        <v>-9.6604541302691527E-2</v>
      </c>
      <c r="X342" s="2">
        <v>143.75</v>
      </c>
      <c r="Y342" s="2">
        <v>18.89</v>
      </c>
      <c r="Z342" s="4">
        <v>6.6000000000000005</v>
      </c>
      <c r="AA342" s="4">
        <v>8.1</v>
      </c>
      <c r="AB342" s="2">
        <v>2.1</v>
      </c>
      <c r="AC342" s="2">
        <v>12.5</v>
      </c>
      <c r="AD342" s="2">
        <v>4.7999999999999972</v>
      </c>
      <c r="AE342" s="2">
        <v>1</v>
      </c>
    </row>
    <row r="343" spans="1:31" x14ac:dyDescent="0.25">
      <c r="A343" s="2" t="s">
        <v>129</v>
      </c>
      <c r="B343" s="2">
        <v>2018</v>
      </c>
      <c r="C343" s="2" t="s">
        <v>265</v>
      </c>
      <c r="D343" s="2" t="s">
        <v>295</v>
      </c>
      <c r="E343" s="2">
        <v>-2.9228000000000001</v>
      </c>
      <c r="F343" s="2">
        <v>-29.3</v>
      </c>
      <c r="G343" s="2">
        <v>-252.9813</v>
      </c>
      <c r="H343" s="2">
        <v>2.0181</v>
      </c>
      <c r="I343" s="2">
        <v>0.62660000000000005</v>
      </c>
      <c r="J343">
        <f>0.0744653479888129*(100)</f>
        <v>7.4465347988812898</v>
      </c>
      <c r="K343">
        <f>-0.0565*(100)</f>
        <v>-5.65</v>
      </c>
      <c r="L343" s="2">
        <v>5.33E-2</v>
      </c>
      <c r="M343" s="2">
        <v>3.0800000000000001E-2</v>
      </c>
      <c r="N343" s="2">
        <v>1.7252000000000001</v>
      </c>
      <c r="O343" s="2">
        <v>2.5899999999999999E-2</v>
      </c>
      <c r="P343" s="2">
        <v>1.3252999999999999</v>
      </c>
      <c r="Q343" s="2">
        <v>-77.178200000000004</v>
      </c>
      <c r="R343" s="2">
        <v>-1834.450134260891</v>
      </c>
      <c r="S343" s="2">
        <v>35.848100000000002</v>
      </c>
      <c r="T343" s="2">
        <v>-25.364999999999998</v>
      </c>
      <c r="U343" s="2">
        <v>81.255700000000004</v>
      </c>
      <c r="V343" s="2">
        <v>41.300482185638501</v>
      </c>
      <c r="W343" s="2">
        <v>11.063368546126569</v>
      </c>
      <c r="X343" s="2">
        <v>208.47</v>
      </c>
      <c r="Y343" s="2">
        <v>-204.21</v>
      </c>
      <c r="Z343" s="4">
        <v>6.6000000000000005</v>
      </c>
      <c r="AA343" s="4">
        <v>8.1</v>
      </c>
      <c r="AB343" s="2">
        <v>2.1</v>
      </c>
      <c r="AC343" s="2">
        <v>12.5</v>
      </c>
      <c r="AD343" s="2">
        <v>3.5</v>
      </c>
      <c r="AE343" s="2">
        <v>1</v>
      </c>
    </row>
    <row r="344" spans="1:31" x14ac:dyDescent="0.25">
      <c r="A344" s="2" t="s">
        <v>131</v>
      </c>
      <c r="B344" s="2">
        <v>2018</v>
      </c>
      <c r="C344" s="2" t="s">
        <v>254</v>
      </c>
      <c r="D344" s="2" t="s">
        <v>336</v>
      </c>
      <c r="E344" s="2">
        <v>5.9063999999999997</v>
      </c>
      <c r="F344" s="2">
        <v>13.5565</v>
      </c>
      <c r="G344" s="2">
        <v>13.691000000000001</v>
      </c>
      <c r="H344" s="2">
        <v>1.6908000000000001</v>
      </c>
      <c r="I344" s="2">
        <v>0.83</v>
      </c>
      <c r="J344">
        <f>0.266098856024868*(100)</f>
        <v>26.609885602486798</v>
      </c>
      <c r="K344">
        <f>0.0457*(100)</f>
        <v>4.5699999999999994</v>
      </c>
      <c r="L344" s="2">
        <v>0.62060000000000004</v>
      </c>
      <c r="M344" s="2">
        <v>0.52849999999999997</v>
      </c>
      <c r="N344" s="2">
        <v>5.9980000000000002</v>
      </c>
      <c r="O344" s="2">
        <v>0.36749999999999999</v>
      </c>
      <c r="P344" s="2">
        <v>8.7050000000000001</v>
      </c>
      <c r="Q344" s="2">
        <v>29.1038</v>
      </c>
      <c r="R344" s="2">
        <v>88.473476955079192</v>
      </c>
      <c r="S344" s="2">
        <v>19.875499999999999</v>
      </c>
      <c r="T344" s="2">
        <v>39.388100000000001</v>
      </c>
      <c r="U344" s="2">
        <v>57.8371</v>
      </c>
      <c r="V344" s="2">
        <v>21.836536771777951</v>
      </c>
      <c r="W344" s="2">
        <v>5.8667980558593396</v>
      </c>
      <c r="X344" s="2">
        <v>113.22</v>
      </c>
      <c r="Y344" s="2">
        <v>9.1300000000000008</v>
      </c>
      <c r="Z344" s="4">
        <v>6.6000000000000005</v>
      </c>
      <c r="AA344" s="4">
        <v>8.1</v>
      </c>
      <c r="AB344" s="2">
        <v>2.1</v>
      </c>
      <c r="AC344" s="2">
        <v>12.5</v>
      </c>
      <c r="AD344" s="2">
        <v>6.7000000000000028</v>
      </c>
      <c r="AE344" s="2">
        <v>1</v>
      </c>
    </row>
    <row r="345" spans="1:31" x14ac:dyDescent="0.25">
      <c r="A345" s="2" t="s">
        <v>146</v>
      </c>
      <c r="B345" s="2">
        <v>2018</v>
      </c>
      <c r="C345" s="2" t="s">
        <v>264</v>
      </c>
      <c r="D345" s="2" t="s">
        <v>341</v>
      </c>
      <c r="E345" s="2">
        <v>5.7760999999999996</v>
      </c>
      <c r="F345" s="2">
        <v>5.9481000000000002</v>
      </c>
      <c r="G345" s="2">
        <v>12.323</v>
      </c>
      <c r="H345" s="2">
        <v>0.45650000000000002</v>
      </c>
      <c r="I345" s="2">
        <v>0.441</v>
      </c>
      <c r="J345">
        <f>0.178100036537023*(100)</f>
        <v>17.810003653702299</v>
      </c>
      <c r="K345">
        <f>0.0791*(100)</f>
        <v>7.91</v>
      </c>
      <c r="L345" s="2">
        <v>40.170400000000001</v>
      </c>
      <c r="M345" s="2">
        <v>1.5860000000000001</v>
      </c>
      <c r="N345" s="2">
        <v>0.62539999999999996</v>
      </c>
      <c r="O345" s="2">
        <v>0.29570000000000002</v>
      </c>
      <c r="P345" s="2">
        <v>5.9067999999999996</v>
      </c>
      <c r="Q345" s="2">
        <v>52.3474</v>
      </c>
      <c r="R345" s="2">
        <v>35.627395655266412</v>
      </c>
      <c r="S345" s="2">
        <v>9.3553999999999995</v>
      </c>
      <c r="T345" s="2">
        <v>4.7416999999999998</v>
      </c>
      <c r="U345" s="2">
        <v>65.477999999999994</v>
      </c>
      <c r="V345" s="2">
        <v>25.994899377646917</v>
      </c>
      <c r="W345" s="2">
        <v>0.62098610191795434</v>
      </c>
      <c r="X345" s="2">
        <v>105.76</v>
      </c>
      <c r="Y345" s="2">
        <v>18.29</v>
      </c>
      <c r="Z345" s="4">
        <v>6.6000000000000005</v>
      </c>
      <c r="AA345" s="4">
        <v>8.1</v>
      </c>
      <c r="AB345" s="2">
        <v>2.1</v>
      </c>
      <c r="AC345" s="2">
        <v>12.5</v>
      </c>
      <c r="AD345" s="2">
        <v>6.0999999999999943</v>
      </c>
      <c r="AE345" s="2">
        <v>1</v>
      </c>
    </row>
    <row r="346" spans="1:31" x14ac:dyDescent="0.25">
      <c r="A346" s="2" t="s">
        <v>114</v>
      </c>
      <c r="B346" s="2">
        <v>2018</v>
      </c>
      <c r="C346" s="2" t="s">
        <v>251</v>
      </c>
      <c r="D346" s="2" t="s">
        <v>323</v>
      </c>
      <c r="E346" s="2">
        <v>6.4554</v>
      </c>
      <c r="F346" s="2">
        <v>8.3306000000000004</v>
      </c>
      <c r="G346" s="2">
        <v>21.038399999999999</v>
      </c>
      <c r="H346" s="2">
        <v>0.18140000000000001</v>
      </c>
      <c r="I346" s="2">
        <v>0.13639999999999999</v>
      </c>
      <c r="J346">
        <f>0.0424796541087739*(100)</f>
        <v>4.2479654108773897</v>
      </c>
      <c r="K346">
        <f>0.1772*(100)</f>
        <v>17.72</v>
      </c>
      <c r="L346" s="2">
        <v>9.0312999999999999</v>
      </c>
      <c r="M346" s="2">
        <v>2.7109999999999999</v>
      </c>
      <c r="N346" s="2">
        <v>0.51729999999999998</v>
      </c>
      <c r="O346" s="2">
        <v>0.222</v>
      </c>
      <c r="P346" s="2">
        <v>23.483599999999999</v>
      </c>
      <c r="Q346" s="2">
        <v>18.503699999999998</v>
      </c>
      <c r="R346" s="2">
        <v>-4.9309205461011159</v>
      </c>
      <c r="S346" s="2">
        <v>25.939900000000002</v>
      </c>
      <c r="T346" s="2">
        <v>75.096599999999995</v>
      </c>
      <c r="U346" s="2">
        <v>47.4955</v>
      </c>
      <c r="V346" s="2">
        <v>13.583404373278226</v>
      </c>
      <c r="W346" s="2">
        <v>0.98638140862004919</v>
      </c>
      <c r="X346" s="2">
        <v>111.31</v>
      </c>
      <c r="Y346" s="2">
        <v>42.27</v>
      </c>
      <c r="Z346" s="4">
        <v>6.6000000000000005</v>
      </c>
      <c r="AA346" s="4">
        <v>8.1</v>
      </c>
      <c r="AB346" s="2">
        <v>2.1</v>
      </c>
      <c r="AC346" s="2">
        <v>12.5</v>
      </c>
      <c r="AD346" s="2">
        <v>6.0999999999999943</v>
      </c>
      <c r="AE346" s="2">
        <v>1</v>
      </c>
    </row>
    <row r="347" spans="1:31" x14ac:dyDescent="0.25">
      <c r="A347" s="2" t="s">
        <v>137</v>
      </c>
      <c r="B347" s="2">
        <v>2018</v>
      </c>
      <c r="C347" s="2" t="s">
        <v>268</v>
      </c>
      <c r="D347" s="2" t="s">
        <v>297</v>
      </c>
      <c r="E347" s="2">
        <v>6.7938000000000001</v>
      </c>
      <c r="F347" s="2">
        <v>5.6746999999999996</v>
      </c>
      <c r="G347" s="2">
        <v>4.1710000000000003</v>
      </c>
      <c r="H347" s="2">
        <v>2.7507000000000001</v>
      </c>
      <c r="I347" s="2">
        <v>2.0274000000000001</v>
      </c>
      <c r="J347">
        <f>0.504715306432398*(100)</f>
        <v>50.471530643239802</v>
      </c>
      <c r="K347">
        <f>-0.4033*(100)</f>
        <v>-40.33</v>
      </c>
      <c r="L347" s="2">
        <v>4.5361000000000002</v>
      </c>
      <c r="M347" s="2">
        <v>1.1781999999999999</v>
      </c>
      <c r="N347" s="2">
        <v>7.1772</v>
      </c>
      <c r="O347" s="2">
        <v>0.99580000000000002</v>
      </c>
      <c r="P347" s="2">
        <v>5.2984999999999998</v>
      </c>
      <c r="Q347" s="2">
        <v>2.1307</v>
      </c>
      <c r="R347" s="2">
        <v>-62.129772738557151</v>
      </c>
      <c r="S347" s="2">
        <v>6.5145999999999997</v>
      </c>
      <c r="T347" s="2">
        <v>5.8220000000000001</v>
      </c>
      <c r="U347" s="2">
        <v>46.335000000000001</v>
      </c>
      <c r="V347" s="2">
        <v>15.506248884007642</v>
      </c>
      <c r="W347" s="2">
        <v>3.0125900792153701</v>
      </c>
      <c r="X347" s="2">
        <v>117.82</v>
      </c>
      <c r="Y347" s="2">
        <v>-19.36</v>
      </c>
      <c r="Z347" s="4">
        <v>6.6000000000000005</v>
      </c>
      <c r="AA347" s="4">
        <v>8.1</v>
      </c>
      <c r="AB347" s="2">
        <v>2.1</v>
      </c>
      <c r="AC347" s="2">
        <v>12.5</v>
      </c>
      <c r="AD347" s="2">
        <v>6.0999999999999943</v>
      </c>
      <c r="AE347" s="2">
        <v>1</v>
      </c>
    </row>
    <row r="348" spans="1:31" x14ac:dyDescent="0.25">
      <c r="A348" s="2" t="s">
        <v>149</v>
      </c>
      <c r="B348" s="2">
        <v>2018</v>
      </c>
      <c r="C348" s="2" t="s">
        <v>275</v>
      </c>
      <c r="D348" s="2" t="s">
        <v>297</v>
      </c>
      <c r="E348" s="2">
        <v>4.1475</v>
      </c>
      <c r="F348" s="2">
        <v>-45.003829500000023</v>
      </c>
      <c r="G348" s="2">
        <v>4.4806999999999997</v>
      </c>
      <c r="H348" s="2">
        <v>0.5504</v>
      </c>
      <c r="I348" s="2">
        <v>0.53769999999999996</v>
      </c>
      <c r="J348">
        <f>0.302412843901429*(100)</f>
        <v>30.241284390142898</v>
      </c>
      <c r="K348">
        <f>0.0682*(100)</f>
        <v>6.8199999999999994</v>
      </c>
      <c r="L348" s="2">
        <v>32.752400000000002</v>
      </c>
      <c r="M348" s="2">
        <v>1.1200000000000001</v>
      </c>
      <c r="N348" s="2">
        <v>1.0686</v>
      </c>
      <c r="O348" s="2">
        <v>0.36770000000000003</v>
      </c>
      <c r="P348" s="2">
        <v>47.096499999999999</v>
      </c>
      <c r="Q348" s="2">
        <v>12.016299999999999</v>
      </c>
      <c r="R348" s="2">
        <v>109.7394054799089</v>
      </c>
      <c r="S348" s="2">
        <v>-2.1795</v>
      </c>
      <c r="T348" s="2">
        <v>-219.02090000000001</v>
      </c>
      <c r="U348" s="2">
        <v>73.552899999999994</v>
      </c>
      <c r="V348" s="2">
        <v>13.870704413357734</v>
      </c>
      <c r="W348" s="2">
        <v>-3.0755950555452858E-2</v>
      </c>
      <c r="X348" s="2">
        <v>86.02</v>
      </c>
      <c r="Y348" s="2">
        <v>13.49</v>
      </c>
      <c r="Z348" s="4">
        <v>6.6000000000000005</v>
      </c>
      <c r="AA348" s="4">
        <v>8.1</v>
      </c>
      <c r="AB348" s="2">
        <v>2.1</v>
      </c>
      <c r="AC348" s="2">
        <v>12.5</v>
      </c>
      <c r="AD348" s="2">
        <v>6.0999999999999943</v>
      </c>
      <c r="AE348" s="2">
        <v>1</v>
      </c>
    </row>
    <row r="349" spans="1:31" x14ac:dyDescent="0.25">
      <c r="A349" s="2" t="s">
        <v>145</v>
      </c>
      <c r="B349" s="2">
        <v>2018</v>
      </c>
      <c r="C349" s="2" t="s">
        <v>263</v>
      </c>
      <c r="D349" s="2" t="s">
        <v>340</v>
      </c>
      <c r="E349" s="2">
        <v>21.064900000000002</v>
      </c>
      <c r="F349" s="2">
        <v>29.6021</v>
      </c>
      <c r="G349" s="2">
        <v>34.975999999999999</v>
      </c>
      <c r="H349" s="2">
        <v>3.6922000000000001</v>
      </c>
      <c r="I349" s="2">
        <v>3.2006999999999999</v>
      </c>
      <c r="J349">
        <f>0.675003166067045*(100)</f>
        <v>67.500316606704502</v>
      </c>
      <c r="K349">
        <f>0.2193*(100)</f>
        <v>21.93</v>
      </c>
      <c r="L349" s="2">
        <v>1.9306000000000001</v>
      </c>
      <c r="M349" s="2">
        <v>0.59560000000000002</v>
      </c>
      <c r="N349" s="2">
        <v>128.19550000000001</v>
      </c>
      <c r="O349" s="2">
        <v>0.53010000000000002</v>
      </c>
      <c r="P349" s="2">
        <v>1.1769000000000001</v>
      </c>
      <c r="Q349" s="2">
        <v>-12.688599999999999</v>
      </c>
      <c r="R349" s="2">
        <v>3.2491521825516978</v>
      </c>
      <c r="S349" s="2">
        <v>28.184200000000001</v>
      </c>
      <c r="T349" s="2">
        <v>27.801400000000001</v>
      </c>
      <c r="U349" s="2">
        <v>33.010199999999998</v>
      </c>
      <c r="V349" s="2">
        <v>8.57648194700079</v>
      </c>
      <c r="W349" s="2">
        <v>186.1577035156437</v>
      </c>
      <c r="X349" s="2">
        <v>79.42</v>
      </c>
      <c r="Y349" s="2">
        <v>15.34</v>
      </c>
      <c r="Z349" s="4">
        <v>6.6000000000000005</v>
      </c>
      <c r="AA349" s="4">
        <v>8.1</v>
      </c>
      <c r="AB349" s="2">
        <v>2.1</v>
      </c>
      <c r="AC349" s="2">
        <v>12.5</v>
      </c>
      <c r="AD349" s="2">
        <v>6.7000000000000028</v>
      </c>
      <c r="AE349" s="2">
        <v>1</v>
      </c>
    </row>
    <row r="350" spans="1:31" x14ac:dyDescent="0.25">
      <c r="A350" s="2" t="s">
        <v>130</v>
      </c>
      <c r="B350" s="2">
        <v>2018</v>
      </c>
      <c r="C350" s="2" t="s">
        <v>213</v>
      </c>
      <c r="D350" s="2" t="s">
        <v>318</v>
      </c>
      <c r="E350" s="2">
        <v>4.0251000000000001</v>
      </c>
      <c r="F350" s="2">
        <v>2.5097999999999998</v>
      </c>
      <c r="G350" s="2">
        <v>5.0862999999999996</v>
      </c>
      <c r="H350" s="2">
        <v>0.50960000000000005</v>
      </c>
      <c r="I350" s="2">
        <v>0.495</v>
      </c>
      <c r="J350">
        <f>0.227812947361574*(100)</f>
        <v>22.781294736157403</v>
      </c>
      <c r="K350">
        <f>0.0585*(100)</f>
        <v>5.8500000000000005</v>
      </c>
      <c r="L350" s="2">
        <v>33.234400000000001</v>
      </c>
      <c r="M350" s="2">
        <v>1.2736000000000001</v>
      </c>
      <c r="N350" s="2">
        <v>0.98529999999999995</v>
      </c>
      <c r="O350" s="2">
        <v>0.21809999999999999</v>
      </c>
      <c r="P350" s="2">
        <v>5.9568000000000003</v>
      </c>
      <c r="Q350" s="2">
        <v>63.427900000000001</v>
      </c>
      <c r="R350" s="2">
        <v>13.29593239415448</v>
      </c>
      <c r="S350" s="2">
        <v>9.2346000000000004</v>
      </c>
      <c r="T350" s="2">
        <v>2.8635999999999999</v>
      </c>
      <c r="U350" s="2">
        <v>73.137699999999995</v>
      </c>
      <c r="V350" s="2">
        <v>36.507629267138618</v>
      </c>
      <c r="W350" s="2">
        <v>0.92834043353304352</v>
      </c>
      <c r="X350" s="2">
        <v>107.65</v>
      </c>
      <c r="Y350" s="2">
        <v>20.47</v>
      </c>
      <c r="Z350" s="4">
        <v>6.6000000000000005</v>
      </c>
      <c r="AA350" s="4">
        <v>8.1</v>
      </c>
      <c r="AB350" s="2">
        <v>2.1</v>
      </c>
      <c r="AC350" s="2">
        <v>12.5</v>
      </c>
      <c r="AD350" s="2">
        <v>6.0999999999999943</v>
      </c>
      <c r="AE350" s="2">
        <v>1</v>
      </c>
    </row>
    <row r="351" spans="1:31" x14ac:dyDescent="0.25">
      <c r="A351" s="2" t="s">
        <v>132</v>
      </c>
      <c r="B351" s="2">
        <v>2018</v>
      </c>
      <c r="C351" s="2" t="s">
        <v>197</v>
      </c>
      <c r="D351" s="2" t="s">
        <v>307</v>
      </c>
      <c r="E351" s="2">
        <v>3.71</v>
      </c>
      <c r="F351" s="2">
        <v>0.89810000000000001</v>
      </c>
      <c r="G351" s="2">
        <v>2.8531</v>
      </c>
      <c r="H351" s="2">
        <v>1.2398</v>
      </c>
      <c r="I351" s="2">
        <v>1.0746</v>
      </c>
      <c r="J351">
        <f>0.280815975853386*(100)</f>
        <v>28.081597585338603</v>
      </c>
      <c r="K351">
        <f>0.0046*(100)</f>
        <v>0.45999999999999996</v>
      </c>
      <c r="L351" s="2">
        <v>3.2881999999999998</v>
      </c>
      <c r="M351" s="2">
        <v>0.50749999999999995</v>
      </c>
      <c r="N351" s="2">
        <v>2.2166000000000001</v>
      </c>
      <c r="O351" s="2">
        <v>0.28570000000000001</v>
      </c>
      <c r="P351" s="2">
        <v>13.032999999999999</v>
      </c>
      <c r="Q351" s="2">
        <v>-6.4360999999999997</v>
      </c>
      <c r="R351" s="2">
        <v>-87.037409221275951</v>
      </c>
      <c r="S351" s="2">
        <v>34.1858</v>
      </c>
      <c r="T351" s="2">
        <v>-2.6659999999999999</v>
      </c>
      <c r="U351" s="2">
        <v>71.810900000000004</v>
      </c>
      <c r="V351" s="2">
        <v>29.193994340127656</v>
      </c>
      <c r="W351" s="2">
        <v>1.3718133193396334</v>
      </c>
      <c r="X351" s="2">
        <v>102.33</v>
      </c>
      <c r="Y351" s="2">
        <v>1.34</v>
      </c>
      <c r="Z351" s="4">
        <v>6.6000000000000005</v>
      </c>
      <c r="AA351" s="4">
        <v>8.1</v>
      </c>
      <c r="AB351" s="2">
        <v>2.1</v>
      </c>
      <c r="AC351" s="2">
        <v>12.5</v>
      </c>
      <c r="AD351" s="2">
        <v>6.7000000000000028</v>
      </c>
      <c r="AE351" s="2">
        <v>1</v>
      </c>
    </row>
    <row r="352" spans="1:31" x14ac:dyDescent="0.25">
      <c r="A352" s="2" t="s">
        <v>133</v>
      </c>
      <c r="B352" s="2">
        <v>2018</v>
      </c>
      <c r="C352" s="2" t="s">
        <v>247</v>
      </c>
      <c r="D352" s="2" t="s">
        <v>335</v>
      </c>
      <c r="E352" s="2">
        <v>6.9756999999999998</v>
      </c>
      <c r="F352" s="2">
        <v>11.411899999999999</v>
      </c>
      <c r="G352" s="2">
        <v>3.6444999999999999</v>
      </c>
      <c r="H352" s="2">
        <v>2.0611999999999999</v>
      </c>
      <c r="I352" s="2">
        <v>1.6798</v>
      </c>
      <c r="J352">
        <f>0.563580920126313*(100)</f>
        <v>56.358092012631303</v>
      </c>
      <c r="K352">
        <f>0.0215*(100)</f>
        <v>2.15</v>
      </c>
      <c r="L352" s="2">
        <v>9.0738000000000003</v>
      </c>
      <c r="M352" s="2">
        <v>1.7166999999999999</v>
      </c>
      <c r="N352" s="2">
        <v>31.353200000000001</v>
      </c>
      <c r="O352" s="2">
        <v>1.0150999999999999</v>
      </c>
      <c r="P352" s="2">
        <v>8.77</v>
      </c>
      <c r="Q352" s="2">
        <v>16.448799999999999</v>
      </c>
      <c r="R352" s="2">
        <v>34.559762474774978</v>
      </c>
      <c r="S352" s="2">
        <v>53.336599999999997</v>
      </c>
      <c r="T352" s="2">
        <v>48.121299999999998</v>
      </c>
      <c r="U352" s="2">
        <v>54.071199999999997</v>
      </c>
      <c r="V352" s="2">
        <v>27.200740190381616</v>
      </c>
      <c r="W352" s="2">
        <v>10.172985935760215</v>
      </c>
      <c r="X352" s="2">
        <v>113.91</v>
      </c>
      <c r="Y352" s="2">
        <v>1.38</v>
      </c>
      <c r="Z352" s="4">
        <v>6.6000000000000005</v>
      </c>
      <c r="AA352" s="4">
        <v>8.1</v>
      </c>
      <c r="AB352" s="2">
        <v>2.1</v>
      </c>
      <c r="AC352" s="2">
        <v>12.5</v>
      </c>
      <c r="AD352" s="2">
        <v>6.7000000000000028</v>
      </c>
      <c r="AE352" s="2">
        <v>1</v>
      </c>
    </row>
    <row r="353" spans="1:31" x14ac:dyDescent="0.25">
      <c r="A353" s="2" t="s">
        <v>134</v>
      </c>
      <c r="B353" s="2">
        <v>2018</v>
      </c>
      <c r="C353" s="2" t="s">
        <v>266</v>
      </c>
      <c r="D353" s="2" t="s">
        <v>328</v>
      </c>
      <c r="E353" s="2">
        <v>4.0518999999999998</v>
      </c>
      <c r="F353" s="2">
        <v>-0.52529999999999999</v>
      </c>
      <c r="G353" s="2">
        <v>4.9025999999999996</v>
      </c>
      <c r="H353" s="2">
        <v>0.47939999999999999</v>
      </c>
      <c r="I353" s="2">
        <v>0.45829999999999999</v>
      </c>
      <c r="J353">
        <f>0.187825858854832*(100)</f>
        <v>18.782585885483201</v>
      </c>
      <c r="K353">
        <f>0.0218*(100)</f>
        <v>2.1800000000000002</v>
      </c>
      <c r="L353" s="2">
        <v>14.647600000000001</v>
      </c>
      <c r="M353" s="2">
        <v>0.94799999999999995</v>
      </c>
      <c r="N353" s="2">
        <v>0.99960000000000004</v>
      </c>
      <c r="O353" s="2">
        <v>0.1764</v>
      </c>
      <c r="P353" s="2">
        <v>5.9724000000000004</v>
      </c>
      <c r="Q353" s="2">
        <v>65.544899999999998</v>
      </c>
      <c r="R353" s="2">
        <v>-72.91456609596419</v>
      </c>
      <c r="S353" s="2">
        <v>11.2363</v>
      </c>
      <c r="T353" s="2">
        <v>3.6949000000000001</v>
      </c>
      <c r="U353" s="2">
        <v>70.433899999999994</v>
      </c>
      <c r="V353" s="2">
        <v>31.414737228957584</v>
      </c>
      <c r="W353" s="2">
        <v>0.69602960737581598</v>
      </c>
      <c r="X353" s="2">
        <v>109</v>
      </c>
      <c r="Y353" s="2">
        <v>9.17</v>
      </c>
      <c r="Z353" s="4">
        <v>6.6000000000000005</v>
      </c>
      <c r="AA353" s="4">
        <v>8.1</v>
      </c>
      <c r="AB353" s="2">
        <v>2.1</v>
      </c>
      <c r="AC353" s="2">
        <v>12.5</v>
      </c>
      <c r="AD353" s="2">
        <v>6.0999999999999943</v>
      </c>
      <c r="AE353" s="2">
        <v>1</v>
      </c>
    </row>
    <row r="354" spans="1:31" x14ac:dyDescent="0.25">
      <c r="A354" s="2" t="s">
        <v>135</v>
      </c>
      <c r="B354" s="2">
        <v>2018</v>
      </c>
      <c r="C354" s="2" t="s">
        <v>257</v>
      </c>
      <c r="D354" s="2" t="s">
        <v>333</v>
      </c>
      <c r="E354" s="2">
        <v>5.4451000000000001</v>
      </c>
      <c r="F354" s="2">
        <v>7.2492999999999999</v>
      </c>
      <c r="G354" s="2">
        <v>3.7256</v>
      </c>
      <c r="H354" s="2">
        <v>1.5250999999999999</v>
      </c>
      <c r="I354" s="2">
        <v>1.2476</v>
      </c>
      <c r="J354">
        <f>0.689195235124356*(100)</f>
        <v>68.919523512435603</v>
      </c>
      <c r="K354">
        <f>0.0696*(100)</f>
        <v>6.9599999999999991</v>
      </c>
      <c r="L354" s="2">
        <v>6.2835999999999999</v>
      </c>
      <c r="M354" s="2">
        <v>1.3227</v>
      </c>
      <c r="N354" s="2">
        <v>26.283100000000001</v>
      </c>
      <c r="O354" s="2">
        <v>0.97140000000000004</v>
      </c>
      <c r="P354" s="2">
        <v>25.155000000000001</v>
      </c>
      <c r="Q354" s="2">
        <v>-7.2184999999999997</v>
      </c>
      <c r="R354" s="2">
        <v>30.79260495734227</v>
      </c>
      <c r="S354" s="2">
        <v>5.0831999999999997</v>
      </c>
      <c r="T354" s="2">
        <v>2.1520000000000001</v>
      </c>
      <c r="U354" s="2">
        <v>55.534100000000002</v>
      </c>
      <c r="V354" s="2">
        <v>8.894120076307912</v>
      </c>
      <c r="W354" s="2">
        <v>11.410988026033438</v>
      </c>
      <c r="X354" s="2">
        <v>112.65</v>
      </c>
      <c r="Y354" s="2">
        <v>4.08</v>
      </c>
      <c r="Z354" s="4">
        <v>6.6000000000000005</v>
      </c>
      <c r="AA354" s="4">
        <v>8.1</v>
      </c>
      <c r="AB354" s="2">
        <v>2.1</v>
      </c>
      <c r="AC354" s="2">
        <v>12.5</v>
      </c>
      <c r="AD354" s="2">
        <v>6.7000000000000028</v>
      </c>
      <c r="AE354" s="2">
        <v>1</v>
      </c>
    </row>
    <row r="355" spans="1:31" x14ac:dyDescent="0.25">
      <c r="A355" s="2" t="s">
        <v>154</v>
      </c>
      <c r="B355" s="2">
        <v>2017</v>
      </c>
      <c r="C355" s="2" t="s">
        <v>279</v>
      </c>
      <c r="D355" s="2" t="s">
        <v>306</v>
      </c>
      <c r="E355" s="2">
        <v>9.4657</v>
      </c>
      <c r="F355" s="2">
        <v>21.5822</v>
      </c>
      <c r="G355" s="2">
        <v>5.1586999999999996</v>
      </c>
      <c r="H355" s="2">
        <v>0.83179999999999998</v>
      </c>
      <c r="I355" s="2">
        <v>0.4259</v>
      </c>
      <c r="J355">
        <f>0.123428216871269*(100)</f>
        <v>12.3428216871269</v>
      </c>
      <c r="K355">
        <f>-0.1157*(100)</f>
        <v>-11.57</v>
      </c>
      <c r="L355" s="2">
        <v>1.1617999999999999</v>
      </c>
      <c r="M355" s="2">
        <v>0.84850000000000003</v>
      </c>
      <c r="N355" s="2">
        <v>0.86399999999999999</v>
      </c>
      <c r="O355" s="2">
        <v>0.41949999999999998</v>
      </c>
      <c r="P355" s="2">
        <v>3.4763999999999999</v>
      </c>
      <c r="Q355" s="2">
        <v>6.7671999999999999</v>
      </c>
      <c r="R355" s="2">
        <v>249.45648012558831</v>
      </c>
      <c r="S355" s="2">
        <v>12.599299999999999</v>
      </c>
      <c r="T355" s="2">
        <v>62.903199999999998</v>
      </c>
      <c r="U355" s="2">
        <v>68.828400000000002</v>
      </c>
      <c r="V355" s="2">
        <v>4.1449029781179823</v>
      </c>
      <c r="W355" s="2">
        <v>0.70248016594069551</v>
      </c>
      <c r="X355" s="2">
        <v>70.349999999999994</v>
      </c>
      <c r="Y355" s="2">
        <v>-20.11</v>
      </c>
      <c r="Z355" s="4">
        <v>6.9</v>
      </c>
      <c r="AA355" s="4">
        <v>8.2000000000000011</v>
      </c>
      <c r="AB355" s="2">
        <v>1.6</v>
      </c>
      <c r="AC355" s="2">
        <v>16.3</v>
      </c>
      <c r="AD355" s="2">
        <v>7.7999999999999972</v>
      </c>
      <c r="AE355" s="2">
        <v>1</v>
      </c>
    </row>
    <row r="356" spans="1:31" x14ac:dyDescent="0.25">
      <c r="A356" s="2" t="s">
        <v>152</v>
      </c>
      <c r="B356" s="2">
        <v>2017</v>
      </c>
      <c r="C356" s="2" t="s">
        <v>277</v>
      </c>
      <c r="D356" s="2" t="s">
        <v>322</v>
      </c>
      <c r="E356" s="2">
        <v>3.1972999999999998</v>
      </c>
      <c r="F356" s="2">
        <v>1.1545000000000001</v>
      </c>
      <c r="G356" s="2">
        <v>3.6347999999999998</v>
      </c>
      <c r="H356" s="2">
        <v>2.1869999999999998</v>
      </c>
      <c r="I356" s="2">
        <v>0.72209999999999996</v>
      </c>
      <c r="J356">
        <f>0.00361689726107243*(100)</f>
        <v>0.36168972610724304</v>
      </c>
      <c r="K356">
        <f>0.0139*(100)</f>
        <v>1.39</v>
      </c>
      <c r="L356" s="2">
        <v>0.1351</v>
      </c>
      <c r="M356" s="2">
        <v>0.1462</v>
      </c>
      <c r="N356" s="2">
        <v>4.5191999999999997</v>
      </c>
      <c r="O356" s="2">
        <v>0.13930000000000001</v>
      </c>
      <c r="P356" s="2">
        <v>0.53869999999999996</v>
      </c>
      <c r="Q356" s="2">
        <v>-46.654200000000003</v>
      </c>
      <c r="R356" s="2">
        <v>-82.976922056602803</v>
      </c>
      <c r="S356" s="2">
        <v>1.6344000000000001</v>
      </c>
      <c r="T356" s="2">
        <v>2.1659999999999999</v>
      </c>
      <c r="U356" s="2">
        <v>54.687199999999997</v>
      </c>
      <c r="V356" s="2">
        <v>11.122687771701765</v>
      </c>
      <c r="W356" s="2">
        <v>15.518624076477478</v>
      </c>
      <c r="X356" s="2">
        <v>55.59</v>
      </c>
      <c r="Y356" s="2">
        <v>5.48</v>
      </c>
      <c r="Z356" s="4">
        <v>6.9</v>
      </c>
      <c r="AA356" s="4">
        <v>8.2000000000000011</v>
      </c>
      <c r="AB356" s="2">
        <v>1.6</v>
      </c>
      <c r="AC356" s="2">
        <v>16.3</v>
      </c>
      <c r="AD356" s="2">
        <v>7.7999999999999972</v>
      </c>
      <c r="AE356" s="2">
        <v>1</v>
      </c>
    </row>
    <row r="357" spans="1:31" x14ac:dyDescent="0.25">
      <c r="A357" s="2" t="s">
        <v>103</v>
      </c>
      <c r="B357" s="2">
        <v>2017</v>
      </c>
      <c r="C357" s="2" t="s">
        <v>242</v>
      </c>
      <c r="D357" s="2" t="s">
        <v>315</v>
      </c>
      <c r="E357" s="2">
        <v>15.6096</v>
      </c>
      <c r="F357" s="2">
        <v>27.439</v>
      </c>
      <c r="G357" s="2">
        <v>18.941500000000001</v>
      </c>
      <c r="H357" s="2">
        <v>1.8744000000000001</v>
      </c>
      <c r="I357" s="2">
        <v>1.6043000000000001</v>
      </c>
      <c r="J357">
        <f>1.06428119526718*(100)</f>
        <v>106.42811952671801</v>
      </c>
      <c r="K357">
        <f>-0.0709*(100)</f>
        <v>-7.0900000000000007</v>
      </c>
      <c r="L357" s="2">
        <v>3.4344999999999999</v>
      </c>
      <c r="M357" s="2">
        <v>0.97170000000000001</v>
      </c>
      <c r="N357" s="2">
        <v>15.0154</v>
      </c>
      <c r="O357" s="2">
        <v>0.6794</v>
      </c>
      <c r="P357" s="2">
        <v>4.9278000000000004</v>
      </c>
      <c r="Q357" s="2">
        <v>148.29320000000001</v>
      </c>
      <c r="R357" s="2">
        <v>114.0662744068435</v>
      </c>
      <c r="S357" s="2">
        <v>253.64859999999999</v>
      </c>
      <c r="T357" s="2">
        <v>201.21289999999999</v>
      </c>
      <c r="U357" s="2">
        <v>50.231499999999997</v>
      </c>
      <c r="V357" s="2">
        <v>14.04290766906211</v>
      </c>
      <c r="W357" s="2">
        <v>12.451689924012078</v>
      </c>
      <c r="X357" s="2">
        <v>105.82</v>
      </c>
      <c r="Y357" s="2">
        <v>-8.18</v>
      </c>
      <c r="Z357" s="4">
        <v>6.9</v>
      </c>
      <c r="AA357" s="4">
        <v>8.2000000000000011</v>
      </c>
      <c r="AB357" s="2">
        <v>1.6</v>
      </c>
      <c r="AC357" s="2">
        <v>16.3</v>
      </c>
      <c r="AD357" s="2">
        <v>6.2000000000000028</v>
      </c>
      <c r="AE357" s="2">
        <v>1</v>
      </c>
    </row>
    <row r="358" spans="1:31" x14ac:dyDescent="0.25">
      <c r="A358" s="2" t="s">
        <v>151</v>
      </c>
      <c r="B358" s="2">
        <v>2017</v>
      </c>
      <c r="C358" s="2" t="s">
        <v>275</v>
      </c>
      <c r="D358" s="2" t="s">
        <v>297</v>
      </c>
      <c r="E358" s="2">
        <v>-1.8259000000000001</v>
      </c>
      <c r="F358" s="2">
        <v>-133.3974</v>
      </c>
      <c r="G358" s="2">
        <v>-14.9819</v>
      </c>
      <c r="H358" s="2">
        <v>0.55120000000000002</v>
      </c>
      <c r="I358" s="2">
        <v>0.53779999999999994</v>
      </c>
      <c r="J358">
        <f>0.28906938721376*(100)</f>
        <v>28.906938721376001</v>
      </c>
      <c r="K358">
        <f>0.0245*(100)</f>
        <v>2.4500000000000002</v>
      </c>
      <c r="L358" s="2">
        <v>9.0450999999999997</v>
      </c>
      <c r="M358" s="2">
        <v>1.0343</v>
      </c>
      <c r="N358" s="2">
        <v>0.86129999999999995</v>
      </c>
      <c r="O358" s="2">
        <v>0.31830000000000003</v>
      </c>
      <c r="P358" s="2">
        <v>44.265700000000002</v>
      </c>
      <c r="Q358" s="2">
        <v>22.289100000000001</v>
      </c>
      <c r="R358" s="2">
        <v>-15637.180190077301</v>
      </c>
      <c r="S358" s="2">
        <v>-3.8573</v>
      </c>
      <c r="T358" s="2">
        <v>-85.078900000000004</v>
      </c>
      <c r="U358" s="2">
        <v>74.405799999999999</v>
      </c>
      <c r="V358" s="2">
        <v>14.872030061574348</v>
      </c>
      <c r="W358" s="2">
        <v>2.5006667678820246E-2</v>
      </c>
      <c r="X358" s="2">
        <v>83.14</v>
      </c>
      <c r="Y358" s="2">
        <v>5.62</v>
      </c>
      <c r="Z358" s="4">
        <v>6.9</v>
      </c>
      <c r="AA358" s="4">
        <v>8.2000000000000011</v>
      </c>
      <c r="AB358" s="2">
        <v>1.6</v>
      </c>
      <c r="AC358" s="2">
        <v>16.3</v>
      </c>
      <c r="AD358" s="2">
        <v>6.2000000000000028</v>
      </c>
      <c r="AE358" s="2">
        <v>1</v>
      </c>
    </row>
    <row r="359" spans="1:31" x14ac:dyDescent="0.25">
      <c r="A359" s="2" t="s">
        <v>125</v>
      </c>
      <c r="B359" s="2">
        <v>2017</v>
      </c>
      <c r="C359" s="2" t="s">
        <v>262</v>
      </c>
      <c r="D359" s="2" t="s">
        <v>298</v>
      </c>
      <c r="E359" s="2">
        <v>-1.1254999999999999</v>
      </c>
      <c r="F359" s="2">
        <v>-40.527299999999997</v>
      </c>
      <c r="G359" s="2">
        <v>-16.652999999999999</v>
      </c>
      <c r="H359" s="2">
        <v>0.67049999999999998</v>
      </c>
      <c r="I359" s="2">
        <v>0.38850000000000001</v>
      </c>
      <c r="J359">
        <f>0.0202468993716093*(100)</f>
        <v>2.0246899371609302</v>
      </c>
      <c r="K359">
        <f>0.0082*(100)</f>
        <v>0.82000000000000006</v>
      </c>
      <c r="L359" s="2">
        <v>2.5948000000000002</v>
      </c>
      <c r="M359" s="2">
        <v>1.0385</v>
      </c>
      <c r="N359" s="2">
        <v>1.0535000000000001</v>
      </c>
      <c r="O359" s="2">
        <v>0.44330000000000003</v>
      </c>
      <c r="P359" s="2">
        <v>13.908899999999999</v>
      </c>
      <c r="Q359" s="2">
        <v>49.0169</v>
      </c>
      <c r="R359" s="2">
        <v>36.014459290318378</v>
      </c>
      <c r="S359" s="2">
        <v>-3.3551000000000002</v>
      </c>
      <c r="T359" s="2">
        <v>-33.6203</v>
      </c>
      <c r="U359" s="2">
        <v>83.487399999999994</v>
      </c>
      <c r="V359" s="2">
        <v>19.982910046366133</v>
      </c>
      <c r="W359" s="2">
        <v>0.36486494280881837</v>
      </c>
      <c r="X359" s="2">
        <v>102.99</v>
      </c>
      <c r="Y359" s="2">
        <v>1.54</v>
      </c>
      <c r="Z359" s="4">
        <v>6.9</v>
      </c>
      <c r="AA359" s="4">
        <v>8.2000000000000011</v>
      </c>
      <c r="AB359" s="2">
        <v>1.6</v>
      </c>
      <c r="AC359" s="2">
        <v>16.3</v>
      </c>
      <c r="AD359" s="2">
        <v>6.2000000000000028</v>
      </c>
      <c r="AE359" s="2">
        <v>1</v>
      </c>
    </row>
    <row r="360" spans="1:31" x14ac:dyDescent="0.25">
      <c r="A360" s="2" t="s">
        <v>153</v>
      </c>
      <c r="B360" s="2">
        <v>2017</v>
      </c>
      <c r="C360" s="2" t="s">
        <v>278</v>
      </c>
      <c r="D360" s="2" t="s">
        <v>342</v>
      </c>
      <c r="E360" s="2">
        <v>5.6188000000000002</v>
      </c>
      <c r="F360" s="2">
        <v>7.0152000000000001</v>
      </c>
      <c r="G360" s="2">
        <v>18.366099999999999</v>
      </c>
      <c r="H360" s="2">
        <v>0.91520000000000001</v>
      </c>
      <c r="I360" s="2">
        <v>0.88980000000000004</v>
      </c>
      <c r="J360">
        <f>0.179673826541836*(100)</f>
        <v>17.967382654183599</v>
      </c>
      <c r="K360">
        <f>0.0878*(100)</f>
        <v>8.7800000000000011</v>
      </c>
      <c r="L360" s="2">
        <v>23.937000000000001</v>
      </c>
      <c r="M360" s="2">
        <v>0.74790000000000001</v>
      </c>
      <c r="N360" s="2">
        <v>0.43230000000000002</v>
      </c>
      <c r="O360" s="2">
        <v>0.12230000000000001</v>
      </c>
      <c r="P360" s="2">
        <v>83.969300000000004</v>
      </c>
      <c r="Q360" s="2">
        <v>17.1905</v>
      </c>
      <c r="R360" s="2">
        <v>-19.088220110838911</v>
      </c>
      <c r="S360" s="2">
        <v>8.6576000000000004</v>
      </c>
      <c r="T360" s="2">
        <v>7.2241999999999997</v>
      </c>
      <c r="U360" s="2">
        <v>76.115700000000004</v>
      </c>
      <c r="V360" s="2">
        <v>59.153688364272661</v>
      </c>
      <c r="W360" s="2">
        <v>0.83364808636238052</v>
      </c>
      <c r="X360" s="2">
        <v>105.33</v>
      </c>
      <c r="Y360" s="2">
        <v>56.92</v>
      </c>
      <c r="Z360" s="4">
        <v>6.9</v>
      </c>
      <c r="AA360" s="4">
        <v>8.2000000000000011</v>
      </c>
      <c r="AB360" s="2">
        <v>1.6</v>
      </c>
      <c r="AC360" s="2">
        <v>16.3</v>
      </c>
      <c r="AD360" s="2">
        <v>9.5999999999999943</v>
      </c>
      <c r="AE360" s="2">
        <v>1</v>
      </c>
    </row>
    <row r="361" spans="1:31" x14ac:dyDescent="0.25">
      <c r="A361" s="2" t="s">
        <v>155</v>
      </c>
      <c r="B361" s="2">
        <v>2017</v>
      </c>
      <c r="C361" s="2" t="s">
        <v>280</v>
      </c>
      <c r="D361" s="2" t="s">
        <v>328</v>
      </c>
      <c r="E361" s="2">
        <v>-2.2044000000000001</v>
      </c>
      <c r="F361" s="2">
        <v>-60.8142</v>
      </c>
      <c r="G361" s="2">
        <v>-21.562799999999999</v>
      </c>
      <c r="H361" s="2">
        <v>0.39910000000000001</v>
      </c>
      <c r="I361" s="2">
        <v>0.33889999999999998</v>
      </c>
      <c r="J361">
        <f>0.16036208643735*(100)</f>
        <v>16.036208643735002</v>
      </c>
      <c r="K361">
        <f>0.008*(100)</f>
        <v>0.8</v>
      </c>
      <c r="L361" s="2">
        <v>5.7290999999999999</v>
      </c>
      <c r="M361" s="2">
        <v>0.92669999999999997</v>
      </c>
      <c r="N361" s="2">
        <v>0.72440000000000004</v>
      </c>
      <c r="O361" s="2">
        <v>0.22459999999999999</v>
      </c>
      <c r="P361" s="2">
        <v>4.6548999999999996</v>
      </c>
      <c r="Q361" s="2">
        <v>6.0751999999999997</v>
      </c>
      <c r="R361" s="2">
        <v>-10.767617593945319</v>
      </c>
      <c r="S361" s="2">
        <v>1.6962999999999999</v>
      </c>
      <c r="T361" s="2">
        <v>-47.3902</v>
      </c>
      <c r="U361" s="2">
        <v>92.222200000000001</v>
      </c>
      <c r="V361" s="2">
        <v>33.764400735140036</v>
      </c>
      <c r="W361" s="2">
        <v>0.1280017407306574</v>
      </c>
      <c r="X361" s="2">
        <v>116.59</v>
      </c>
      <c r="Y361" s="2">
        <v>3.32</v>
      </c>
      <c r="Z361" s="4">
        <v>6.9</v>
      </c>
      <c r="AA361" s="4">
        <v>8.2000000000000011</v>
      </c>
      <c r="AB361" s="2">
        <v>1.6</v>
      </c>
      <c r="AC361" s="2">
        <v>16.3</v>
      </c>
      <c r="AD361" s="2">
        <v>7.7999999999999972</v>
      </c>
      <c r="AE361" s="2">
        <v>1</v>
      </c>
    </row>
    <row r="362" spans="1:31" x14ac:dyDescent="0.25">
      <c r="A362" s="2" t="s">
        <v>163</v>
      </c>
      <c r="B362" s="2">
        <v>2016</v>
      </c>
      <c r="C362" s="2" t="s">
        <v>286</v>
      </c>
      <c r="D362" s="2" t="s">
        <v>344</v>
      </c>
      <c r="E362" s="2">
        <v>7.6935000000000002</v>
      </c>
      <c r="F362" s="2">
        <v>7.8807</v>
      </c>
      <c r="G362" s="2">
        <v>10.010400000000001</v>
      </c>
      <c r="H362" s="2">
        <v>1.6871</v>
      </c>
      <c r="I362" s="2">
        <v>1.1886000000000001</v>
      </c>
      <c r="J362">
        <f>0.0971087151452898*(100)</f>
        <v>9.7108715145289803</v>
      </c>
      <c r="K362">
        <f>0.5093*(100)</f>
        <v>50.93</v>
      </c>
      <c r="L362" s="2">
        <v>1.8809</v>
      </c>
      <c r="M362" s="2">
        <v>0.68630000000000002</v>
      </c>
      <c r="N362" s="2">
        <v>2.5434999999999999</v>
      </c>
      <c r="O362" s="2">
        <v>0.46239999999999998</v>
      </c>
      <c r="P362" s="2">
        <v>1.5531999999999999</v>
      </c>
      <c r="Q362" s="2">
        <v>11.8224</v>
      </c>
      <c r="R362" s="2">
        <v>-16.307177741242359</v>
      </c>
      <c r="S362" s="2">
        <v>9.8971999999999998</v>
      </c>
      <c r="T362" s="2">
        <v>8.2040000000000006</v>
      </c>
      <c r="U362" s="2">
        <v>38.434600000000003</v>
      </c>
      <c r="V362" s="2">
        <v>24.033307432355141</v>
      </c>
      <c r="W362" s="2">
        <v>2.7534158266380153</v>
      </c>
      <c r="X362" s="2">
        <v>120.39</v>
      </c>
      <c r="Y362" s="2">
        <v>44.330000000000013</v>
      </c>
      <c r="Z362" s="4">
        <v>6.7</v>
      </c>
      <c r="AA362" s="4">
        <v>11.3</v>
      </c>
      <c r="AB362" s="2">
        <v>2</v>
      </c>
      <c r="AC362" s="2">
        <v>15.9</v>
      </c>
      <c r="AD362" s="2">
        <v>7.7000000000000028</v>
      </c>
      <c r="AE362" s="2">
        <v>1</v>
      </c>
    </row>
    <row r="363" spans="1:31" x14ac:dyDescent="0.25">
      <c r="A363" s="2" t="s">
        <v>158</v>
      </c>
      <c r="B363" s="2">
        <v>2016</v>
      </c>
      <c r="C363" s="2" t="s">
        <v>282</v>
      </c>
      <c r="D363" s="2" t="s">
        <v>311</v>
      </c>
      <c r="E363" s="2">
        <v>3.86</v>
      </c>
      <c r="F363" s="2">
        <v>7.1334999999999997</v>
      </c>
      <c r="G363" s="2">
        <v>6.3440000000000003</v>
      </c>
      <c r="H363" s="2">
        <v>1.4019999999999999</v>
      </c>
      <c r="I363" s="2">
        <v>0.99819999999999998</v>
      </c>
      <c r="J363">
        <f>0.177739643803031*(100)</f>
        <v>17.773964380303102</v>
      </c>
      <c r="K363">
        <f>0.0039*(100)</f>
        <v>0.38999999999999996</v>
      </c>
      <c r="L363" s="2">
        <v>1.0342</v>
      </c>
      <c r="M363" s="2">
        <v>0.37580000000000002</v>
      </c>
      <c r="N363" s="2">
        <v>14.245100000000001</v>
      </c>
      <c r="O363" s="2">
        <v>0.26590000000000003</v>
      </c>
      <c r="P363" s="2">
        <v>2.8852000000000002</v>
      </c>
      <c r="Q363" s="2">
        <v>8.5387000000000004</v>
      </c>
      <c r="R363" s="2">
        <v>-3.527115588151593</v>
      </c>
      <c r="S363" s="2">
        <v>26.437999999999999</v>
      </c>
      <c r="T363" s="2">
        <v>149.32589999999999</v>
      </c>
      <c r="U363" s="2">
        <v>78.231700000000004</v>
      </c>
      <c r="V363" s="2">
        <v>27.244920942900325</v>
      </c>
      <c r="W363" s="2">
        <v>6.0602498740827606</v>
      </c>
      <c r="X363" s="2">
        <v>78.97999999999999</v>
      </c>
      <c r="Y363" s="2">
        <v>1.27</v>
      </c>
      <c r="Z363" s="4">
        <v>6.7</v>
      </c>
      <c r="AA363" s="4">
        <v>11.3</v>
      </c>
      <c r="AB363" s="2">
        <v>2</v>
      </c>
      <c r="AC363" s="2">
        <v>15.9</v>
      </c>
      <c r="AD363" s="2">
        <v>7.7000000000000028</v>
      </c>
      <c r="AE363" s="2">
        <v>1</v>
      </c>
    </row>
    <row r="364" spans="1:31" x14ac:dyDescent="0.25">
      <c r="A364" s="2" t="s">
        <v>161</v>
      </c>
      <c r="B364" s="2">
        <v>2016</v>
      </c>
      <c r="C364" s="2" t="s">
        <v>284</v>
      </c>
      <c r="D364" s="2" t="s">
        <v>307</v>
      </c>
      <c r="E364" s="2">
        <v>4.6174999999999997</v>
      </c>
      <c r="F364" s="2">
        <v>8.5228999999999999</v>
      </c>
      <c r="G364" s="2">
        <v>-4.4600000000000001E-2</v>
      </c>
      <c r="H364" s="2">
        <v>1.0771999999999999</v>
      </c>
      <c r="I364" s="2">
        <v>0.93100000000000005</v>
      </c>
      <c r="J364">
        <f>0.103130721342726*(100)</f>
        <v>10.3130721342726</v>
      </c>
      <c r="K364">
        <f>-0.005*(100)</f>
        <v>-0.5</v>
      </c>
      <c r="L364" s="2">
        <v>1.9346000000000001</v>
      </c>
      <c r="M364" s="2">
        <v>0.28520000000000001</v>
      </c>
      <c r="N364" s="2">
        <v>3.7593999999999999</v>
      </c>
      <c r="O364" s="2">
        <v>0.2412</v>
      </c>
      <c r="P364" s="2">
        <v>1.1748000000000001</v>
      </c>
      <c r="Q364" s="2">
        <v>-55.078699999999998</v>
      </c>
      <c r="R364" s="2">
        <v>15.2669318054346</v>
      </c>
      <c r="S364" s="2">
        <v>2.2263999999999999</v>
      </c>
      <c r="T364" s="2">
        <v>8.9023000000000003</v>
      </c>
      <c r="U364" s="2">
        <v>78.662300000000002</v>
      </c>
      <c r="V364" s="2">
        <v>24.012488791613233</v>
      </c>
      <c r="W364" s="2">
        <v>3.4617784570182502</v>
      </c>
      <c r="X364" s="2">
        <v>142.02000000000001</v>
      </c>
      <c r="Y364" s="2">
        <v>-1.65</v>
      </c>
      <c r="Z364" s="4">
        <v>6.7</v>
      </c>
      <c r="AA364" s="4">
        <v>11.3</v>
      </c>
      <c r="AB364" s="2">
        <v>2</v>
      </c>
      <c r="AC364" s="2">
        <v>15.9</v>
      </c>
      <c r="AD364" s="2">
        <v>7.7000000000000028</v>
      </c>
      <c r="AE364" s="2">
        <v>1</v>
      </c>
    </row>
    <row r="365" spans="1:31" x14ac:dyDescent="0.25">
      <c r="A365" s="2" t="s">
        <v>167</v>
      </c>
      <c r="B365" s="2">
        <v>2016</v>
      </c>
      <c r="C365" s="2" t="s">
        <v>290</v>
      </c>
      <c r="D365" s="2" t="s">
        <v>343</v>
      </c>
      <c r="E365" s="2">
        <v>7.1406000000000001</v>
      </c>
      <c r="F365" s="2">
        <v>6.1542000000000003</v>
      </c>
      <c r="G365" s="2">
        <v>12.119300000000001</v>
      </c>
      <c r="H365" s="2">
        <v>0.51129999999999998</v>
      </c>
      <c r="I365" s="2">
        <v>0.51129999999999998</v>
      </c>
      <c r="J365">
        <f>0.00160146746848813*(100)</f>
        <v>0.160146746848813</v>
      </c>
      <c r="K365">
        <f>0.0725*(100)</f>
        <v>7.2499999999999991</v>
      </c>
      <c r="L365" s="2">
        <v>30.279320999999989</v>
      </c>
      <c r="M365" s="2">
        <v>0.55920000000000003</v>
      </c>
      <c r="N365" s="2">
        <v>0.36830000000000002</v>
      </c>
      <c r="O365" s="2">
        <v>0.1764</v>
      </c>
      <c r="P365" s="2">
        <v>6.1471999999999998</v>
      </c>
      <c r="Q365" s="2">
        <v>4.4866999999999999</v>
      </c>
      <c r="R365" s="2">
        <v>68.389709492783851</v>
      </c>
      <c r="S365" s="2">
        <v>-10.650700000000001</v>
      </c>
      <c r="T365" s="2">
        <v>14.294600000000001</v>
      </c>
      <c r="U365" s="2">
        <v>63.638399999999997</v>
      </c>
      <c r="V365" s="2">
        <v>4.6767279333427201</v>
      </c>
      <c r="W365" s="2">
        <v>0.72627230282698696</v>
      </c>
      <c r="X365" s="2">
        <v>89.94</v>
      </c>
      <c r="Y365" s="2">
        <v>24.67</v>
      </c>
      <c r="Z365" s="4">
        <v>6.7</v>
      </c>
      <c r="AA365" s="4">
        <v>11.3</v>
      </c>
      <c r="AB365" s="2">
        <v>2</v>
      </c>
      <c r="AC365" s="2">
        <v>15.9</v>
      </c>
      <c r="AD365" s="2">
        <v>6.9000000000000057</v>
      </c>
      <c r="AE365" s="2">
        <v>1</v>
      </c>
    </row>
    <row r="366" spans="1:31" x14ac:dyDescent="0.25">
      <c r="A366" s="2" t="s">
        <v>165</v>
      </c>
      <c r="B366" s="2">
        <v>2016</v>
      </c>
      <c r="C366" s="2" t="s">
        <v>288</v>
      </c>
      <c r="D366" s="2" t="s">
        <v>346</v>
      </c>
      <c r="E366" s="2">
        <v>-6.7050999999999998</v>
      </c>
      <c r="F366" s="2">
        <v>-18.356200000000001</v>
      </c>
      <c r="G366" s="2">
        <v>-111.1009</v>
      </c>
      <c r="H366" s="2">
        <v>2.3603999999999998</v>
      </c>
      <c r="I366" s="2">
        <v>2.3391999999999999</v>
      </c>
      <c r="J366">
        <f>0.0136810698027417*(100)</f>
        <v>1.3681069802741701</v>
      </c>
      <c r="K366">
        <f>-0.0226*(100)</f>
        <v>-2.2599999999999998</v>
      </c>
      <c r="L366" s="2">
        <v>9.7546999999999997</v>
      </c>
      <c r="M366" s="2">
        <v>9.0999999999999998E-2</v>
      </c>
      <c r="N366" s="2">
        <v>0.72260000000000002</v>
      </c>
      <c r="O366" s="2">
        <v>7.9299999999999995E-2</v>
      </c>
      <c r="P366" s="2">
        <v>0.54700000000000004</v>
      </c>
      <c r="Q366" s="2">
        <v>-52.956800000000001</v>
      </c>
      <c r="R366" s="2">
        <v>-177.6614471240629</v>
      </c>
      <c r="S366" s="2">
        <v>-22.688199999999998</v>
      </c>
      <c r="T366" s="2">
        <v>-16.196400000000001</v>
      </c>
      <c r="U366" s="2">
        <v>39.465699999999998</v>
      </c>
      <c r="V366" s="2">
        <v>1.0886008187437088</v>
      </c>
      <c r="W366" s="2">
        <v>7.0759711462338588</v>
      </c>
      <c r="X366" s="2">
        <v>187.58</v>
      </c>
      <c r="Y366" s="2">
        <v>-9.83</v>
      </c>
      <c r="Z366" s="4">
        <v>6.7</v>
      </c>
      <c r="AA366" s="4">
        <v>11.3</v>
      </c>
      <c r="AB366" s="2">
        <v>2</v>
      </c>
      <c r="AC366" s="2">
        <v>15.9</v>
      </c>
      <c r="AD366" s="2">
        <v>5.7000000000000028</v>
      </c>
      <c r="AE366" s="2">
        <v>1</v>
      </c>
    </row>
    <row r="367" spans="1:31" x14ac:dyDescent="0.25">
      <c r="A367" s="2" t="s">
        <v>166</v>
      </c>
      <c r="B367" s="2">
        <v>2016</v>
      </c>
      <c r="C367" s="2" t="s">
        <v>289</v>
      </c>
      <c r="D367" s="2" t="s">
        <v>347</v>
      </c>
      <c r="E367" s="2">
        <v>-3.5371000000000001</v>
      </c>
      <c r="F367" s="2">
        <v>-45.003829500000023</v>
      </c>
      <c r="G367" s="2">
        <v>79.520399999999995</v>
      </c>
      <c r="H367" s="2">
        <v>0.3831</v>
      </c>
      <c r="I367" s="2">
        <v>0.3508</v>
      </c>
      <c r="J367">
        <f>0.0168905707767116*(100)</f>
        <v>1.6890570776711598</v>
      </c>
      <c r="K367">
        <f>0.0024*(100)</f>
        <v>0.24</v>
      </c>
      <c r="L367" s="2">
        <v>0.33410000000000001</v>
      </c>
      <c r="M367" s="2">
        <v>7.8600000000000003E-2</v>
      </c>
      <c r="N367" s="2">
        <v>0.28100000000000003</v>
      </c>
      <c r="O367" s="2">
        <v>4.5999999999999999E-2</v>
      </c>
      <c r="P367" s="2">
        <v>0.30130000000000001</v>
      </c>
      <c r="Q367" s="2">
        <v>-92.325400000000002</v>
      </c>
      <c r="R367" s="2">
        <v>91.170202098862305</v>
      </c>
      <c r="S367" s="2">
        <v>-71.597999999999999</v>
      </c>
      <c r="T367" s="2">
        <v>-22.303100000000001</v>
      </c>
      <c r="U367" s="2">
        <v>394.74119999999999</v>
      </c>
      <c r="V367" s="2">
        <v>279.13213620121888</v>
      </c>
      <c r="W367" s="2">
        <v>-9.5172684337165219</v>
      </c>
      <c r="X367" s="2">
        <v>74.47</v>
      </c>
      <c r="Y367" s="2">
        <v>9.01</v>
      </c>
      <c r="Z367" s="4">
        <v>6.7</v>
      </c>
      <c r="AA367" s="4">
        <v>11.3</v>
      </c>
      <c r="AB367" s="2">
        <v>2</v>
      </c>
      <c r="AC367" s="2">
        <v>15.9</v>
      </c>
      <c r="AD367" s="2">
        <v>5.7000000000000028</v>
      </c>
      <c r="AE367" s="2">
        <v>1</v>
      </c>
    </row>
    <row r="368" spans="1:31" x14ac:dyDescent="0.25">
      <c r="A368" s="2" t="s">
        <v>162</v>
      </c>
      <c r="B368" s="2">
        <v>2016</v>
      </c>
      <c r="C368" s="2" t="s">
        <v>285</v>
      </c>
      <c r="D368" s="2" t="s">
        <v>299</v>
      </c>
      <c r="E368" s="2">
        <v>15.7966</v>
      </c>
      <c r="F368" s="2">
        <v>16.2392</v>
      </c>
      <c r="G368" s="2">
        <v>7.2553999999999998</v>
      </c>
      <c r="H368" s="2">
        <v>5.2141999999999999</v>
      </c>
      <c r="I368" s="2">
        <v>2.6105</v>
      </c>
      <c r="J368">
        <f>0.525081354132556*(100)</f>
        <v>52.508135413255594</v>
      </c>
      <c r="K368">
        <f>0.371*(100)</f>
        <v>37.1</v>
      </c>
      <c r="L368" s="2">
        <v>3.0973999999999999</v>
      </c>
      <c r="M368" s="2">
        <v>1.8154999999999999</v>
      </c>
      <c r="N368" s="2">
        <v>223.37450000000001</v>
      </c>
      <c r="O368" s="2">
        <v>1.8008999999999999</v>
      </c>
      <c r="P368" s="2">
        <v>8.7553999999999998</v>
      </c>
      <c r="Q368" s="2">
        <v>-11.547585499999981</v>
      </c>
      <c r="R368" s="2">
        <v>-599.25051196801235</v>
      </c>
      <c r="S368" s="2">
        <v>13.7575</v>
      </c>
      <c r="T368" s="2">
        <v>17.674199999999999</v>
      </c>
      <c r="U368" s="2">
        <v>38.700099999999999</v>
      </c>
      <c r="V368" s="2">
        <v>19.686558999999999</v>
      </c>
      <c r="W368" s="2">
        <v>71.335527198342035</v>
      </c>
      <c r="X368" s="2">
        <v>109.19</v>
      </c>
      <c r="Y368" s="2">
        <v>8.49</v>
      </c>
      <c r="Z368" s="4">
        <v>6.7</v>
      </c>
      <c r="AA368" s="4">
        <v>11.3</v>
      </c>
      <c r="AB368" s="2">
        <v>2</v>
      </c>
      <c r="AC368" s="2">
        <v>15.9</v>
      </c>
      <c r="AD368" s="2">
        <v>5.7000000000000028</v>
      </c>
      <c r="AE368" s="2">
        <v>1</v>
      </c>
    </row>
    <row r="369" spans="1:31" x14ac:dyDescent="0.25">
      <c r="A369" s="2" t="s">
        <v>156</v>
      </c>
      <c r="B369" s="2">
        <v>2016</v>
      </c>
      <c r="C369" s="2" t="s">
        <v>281</v>
      </c>
      <c r="D369" s="2" t="s">
        <v>324</v>
      </c>
      <c r="E369" s="2">
        <v>6.6585000000000001</v>
      </c>
      <c r="F369" s="2">
        <v>11.955399999999999</v>
      </c>
      <c r="G369" s="2">
        <v>4.3319000000000001</v>
      </c>
      <c r="H369" s="2">
        <v>1.4515</v>
      </c>
      <c r="I369" s="2">
        <v>0.84450000000000003</v>
      </c>
      <c r="J369">
        <f>0.277666704371006*(100)</f>
        <v>27.766670437100601</v>
      </c>
      <c r="K369">
        <f>-0.0098*(100)</f>
        <v>-0.98</v>
      </c>
      <c r="L369" s="2">
        <v>2.1692</v>
      </c>
      <c r="M369" s="2">
        <v>1.0669999999999999</v>
      </c>
      <c r="N369" s="2">
        <v>3.9664999999999999</v>
      </c>
      <c r="O369" s="2">
        <v>0.73709999999999998</v>
      </c>
      <c r="P369" s="2">
        <v>8.3026999999999997</v>
      </c>
      <c r="Q369" s="2">
        <v>-2.5222000000000002</v>
      </c>
      <c r="R369" s="2">
        <v>22.472826734044599</v>
      </c>
      <c r="S369" s="2">
        <v>17.757999999999999</v>
      </c>
      <c r="T369" s="2">
        <v>12.700900000000001</v>
      </c>
      <c r="U369" s="2">
        <v>78.097999999999999</v>
      </c>
      <c r="V369" s="2">
        <v>29.553453940648183</v>
      </c>
      <c r="W369" s="2">
        <v>0.50283694221697628</v>
      </c>
      <c r="X369" s="2">
        <v>111.89</v>
      </c>
      <c r="Y369" s="2">
        <v>-1.1200000000000001</v>
      </c>
      <c r="Z369" s="4">
        <v>6.7</v>
      </c>
      <c r="AA369" s="4">
        <v>11.3</v>
      </c>
      <c r="AB369" s="2">
        <v>2</v>
      </c>
      <c r="AC369" s="2">
        <v>15.9</v>
      </c>
      <c r="AD369" s="2">
        <v>5.7000000000000028</v>
      </c>
      <c r="AE369" s="2">
        <v>1</v>
      </c>
    </row>
    <row r="370" spans="1:31" x14ac:dyDescent="0.25">
      <c r="A370" s="2" t="s">
        <v>160</v>
      </c>
      <c r="B370" s="2">
        <v>2016</v>
      </c>
      <c r="C370" s="2" t="s">
        <v>283</v>
      </c>
      <c r="D370" s="2" t="s">
        <v>343</v>
      </c>
      <c r="E370" s="2">
        <v>-56.466299999999997</v>
      </c>
      <c r="F370" s="2">
        <v>-338.9606</v>
      </c>
      <c r="G370" s="2">
        <v>-298.74</v>
      </c>
      <c r="H370" s="2">
        <v>0.2722</v>
      </c>
      <c r="I370" s="2">
        <v>0.21809999999999999</v>
      </c>
      <c r="J370">
        <f>0.125508021536027*(100)</f>
        <v>12.550802153602699</v>
      </c>
      <c r="K370">
        <f>-0.0786*(100)</f>
        <v>-7.86</v>
      </c>
      <c r="L370" s="2">
        <v>1.8706</v>
      </c>
      <c r="M370" s="2">
        <v>0.58679999999999999</v>
      </c>
      <c r="N370" s="2">
        <v>0.30570000000000003</v>
      </c>
      <c r="O370" s="2">
        <v>0.19650000000000001</v>
      </c>
      <c r="P370" s="2">
        <v>14.992900000000001</v>
      </c>
      <c r="Q370" s="2">
        <v>-47.797400000000003</v>
      </c>
      <c r="R370" s="2">
        <v>-1639.9729548575281</v>
      </c>
      <c r="S370" s="2">
        <v>-44.147799999999997</v>
      </c>
      <c r="T370" s="2">
        <v>-125.8141</v>
      </c>
      <c r="U370" s="2">
        <v>115.52</v>
      </c>
      <c r="V370" s="2">
        <v>45.676311369401866</v>
      </c>
      <c r="W370" s="2">
        <v>-0.21084493143341901</v>
      </c>
      <c r="X370" s="2">
        <v>83.25</v>
      </c>
      <c r="Y370" s="2">
        <v>-33.130000000000003</v>
      </c>
      <c r="Z370" s="4">
        <v>6.7</v>
      </c>
      <c r="AA370" s="4">
        <v>11.3</v>
      </c>
      <c r="AB370" s="2">
        <v>2</v>
      </c>
      <c r="AC370" s="2">
        <v>15.9</v>
      </c>
      <c r="AD370" s="2">
        <v>6.9000000000000057</v>
      </c>
      <c r="AE370" s="2">
        <v>1</v>
      </c>
    </row>
    <row r="371" spans="1:31" x14ac:dyDescent="0.25">
      <c r="A371" s="2" t="s">
        <v>164</v>
      </c>
      <c r="B371" s="2">
        <v>2016</v>
      </c>
      <c r="C371" s="2" t="s">
        <v>287</v>
      </c>
      <c r="D371" s="2" t="s">
        <v>345</v>
      </c>
      <c r="E371" s="2">
        <v>-21.28</v>
      </c>
      <c r="F371" s="2">
        <v>-619.68769999999995</v>
      </c>
      <c r="G371" s="2">
        <v>-34.253399999999999</v>
      </c>
      <c r="H371" s="2">
        <v>0.7329</v>
      </c>
      <c r="I371" s="2">
        <v>0.6855</v>
      </c>
      <c r="J371">
        <f>0.120542352861588*(100)</f>
        <v>12.0542352861588</v>
      </c>
      <c r="K371">
        <f>0.0752*(100)</f>
        <v>7.5200000000000005</v>
      </c>
      <c r="L371" s="2">
        <v>18.422499999999999</v>
      </c>
      <c r="M371" s="2">
        <v>1.0643</v>
      </c>
      <c r="N371" s="2">
        <v>3.0484</v>
      </c>
      <c r="O371" s="2">
        <v>0.6905</v>
      </c>
      <c r="P371" s="2">
        <v>16.284800000000001</v>
      </c>
      <c r="Q371" s="2">
        <v>3.3203</v>
      </c>
      <c r="R371" s="2">
        <v>-3571.278198574817</v>
      </c>
      <c r="S371" s="2">
        <v>-29.302900000000001</v>
      </c>
      <c r="T371" s="2">
        <v>-149.60140000000001</v>
      </c>
      <c r="U371" s="2">
        <v>99.646500000000003</v>
      </c>
      <c r="V371" s="2">
        <v>11.651127281832716</v>
      </c>
      <c r="W371" s="2">
        <v>-0.30697249092055806</v>
      </c>
      <c r="X371" s="2">
        <v>94.98</v>
      </c>
      <c r="Y371" s="2">
        <v>8.99</v>
      </c>
      <c r="Z371" s="4">
        <v>6.7</v>
      </c>
      <c r="AA371" s="4">
        <v>11.3</v>
      </c>
      <c r="AB371" s="2">
        <v>2</v>
      </c>
      <c r="AC371" s="2">
        <v>15.9</v>
      </c>
      <c r="AD371" s="2">
        <v>7.7000000000000028</v>
      </c>
      <c r="AE371" s="2">
        <v>1</v>
      </c>
    </row>
    <row r="372" spans="1:31" x14ac:dyDescent="0.25">
      <c r="A372" s="2" t="s">
        <v>157</v>
      </c>
      <c r="B372" s="2">
        <v>2016</v>
      </c>
      <c r="C372" s="2" t="s">
        <v>280</v>
      </c>
      <c r="D372" s="2" t="s">
        <v>328</v>
      </c>
      <c r="E372" s="2">
        <v>-1.2977000000000001</v>
      </c>
      <c r="F372" s="2">
        <v>-33.531700000000001</v>
      </c>
      <c r="G372" s="2">
        <v>-22.1906</v>
      </c>
      <c r="H372" s="2">
        <v>0.57530000000000003</v>
      </c>
      <c r="I372" s="2">
        <v>0.4909</v>
      </c>
      <c r="J372">
        <f>0.239432787806408*(100)</f>
        <v>23.943278780640799</v>
      </c>
      <c r="K372">
        <f>0.0198*(100)</f>
        <v>1.9800000000000002</v>
      </c>
      <c r="L372" s="2">
        <v>5.0571999999999999</v>
      </c>
      <c r="M372" s="2">
        <v>0.85289999999999999</v>
      </c>
      <c r="N372" s="2">
        <v>0.75370000000000004</v>
      </c>
      <c r="O372" s="2">
        <v>0.21990000000000001</v>
      </c>
      <c r="P372" s="2">
        <v>4.6571999999999996</v>
      </c>
      <c r="Q372" s="2">
        <v>-23.358799999999999</v>
      </c>
      <c r="R372" s="2">
        <v>-92.393188422557742</v>
      </c>
      <c r="S372" s="2">
        <v>5.6901999999999999</v>
      </c>
      <c r="T372" s="2">
        <v>-30.895099999999999</v>
      </c>
      <c r="U372" s="2">
        <v>87.936700000000002</v>
      </c>
      <c r="V372" s="2">
        <v>44.210273791092078</v>
      </c>
      <c r="W372" s="2">
        <v>0.27903717355976021</v>
      </c>
      <c r="X372" s="2">
        <v>115.57</v>
      </c>
      <c r="Y372" s="2">
        <v>8.15</v>
      </c>
      <c r="Z372" s="4">
        <v>6.7</v>
      </c>
      <c r="AA372" s="4">
        <v>11.3</v>
      </c>
      <c r="AB372" s="2">
        <v>2</v>
      </c>
      <c r="AC372" s="2">
        <v>15.9</v>
      </c>
      <c r="AD372" s="2">
        <v>7.7000000000000028</v>
      </c>
      <c r="AE372" s="2">
        <v>1</v>
      </c>
    </row>
    <row r="373" spans="1:31" x14ac:dyDescent="0.25">
      <c r="A373" s="2" t="s">
        <v>159</v>
      </c>
      <c r="B373" s="2">
        <v>2016</v>
      </c>
      <c r="C373" s="2" t="s">
        <v>275</v>
      </c>
      <c r="D373" s="2" t="s">
        <v>297</v>
      </c>
      <c r="E373" s="2">
        <v>3.6381999999999999</v>
      </c>
      <c r="F373" s="2">
        <v>-5.4676999999999998</v>
      </c>
      <c r="G373" s="2">
        <v>1.3127</v>
      </c>
      <c r="H373" s="2">
        <v>0.55740000000000001</v>
      </c>
      <c r="I373" s="2">
        <v>0.4647</v>
      </c>
      <c r="J373">
        <f>0.240614351988492*(100)</f>
        <v>24.0614351988492</v>
      </c>
      <c r="K373">
        <f>0.0246*(100)</f>
        <v>2.46</v>
      </c>
      <c r="L373" s="2">
        <v>3.4472999999999998</v>
      </c>
      <c r="M373" s="2">
        <v>0.90610000000000002</v>
      </c>
      <c r="N373" s="2">
        <v>0.63139999999999996</v>
      </c>
      <c r="O373" s="2">
        <v>0.25729999999999997</v>
      </c>
      <c r="P373" s="2">
        <v>38.8322</v>
      </c>
      <c r="Q373" s="2">
        <v>-3.3532000000000002</v>
      </c>
      <c r="R373" s="2">
        <v>-1.3279191384984279</v>
      </c>
      <c r="S373" s="2">
        <v>1.4770000000000001</v>
      </c>
      <c r="T373" s="2">
        <v>-30.376200000000001</v>
      </c>
      <c r="U373" s="2">
        <v>74.057199999999995</v>
      </c>
      <c r="V373" s="2">
        <v>22.374767302923125</v>
      </c>
      <c r="W373" s="2">
        <v>0.14209978747844421</v>
      </c>
      <c r="X373" s="2">
        <v>80.2</v>
      </c>
      <c r="Y373" s="2">
        <v>7.13</v>
      </c>
      <c r="Z373" s="4">
        <v>6.7</v>
      </c>
      <c r="AA373" s="4">
        <v>11.3</v>
      </c>
      <c r="AB373" s="2">
        <v>2</v>
      </c>
      <c r="AC373" s="2">
        <v>15.9</v>
      </c>
      <c r="AD373" s="2">
        <v>5.7000000000000028</v>
      </c>
      <c r="AE373" s="2">
        <v>1</v>
      </c>
    </row>
    <row r="374" spans="1:31" x14ac:dyDescent="0.25">
      <c r="A374" s="2" t="s">
        <v>170</v>
      </c>
      <c r="B374" s="2">
        <v>2015</v>
      </c>
      <c r="C374" s="2" t="s">
        <v>292</v>
      </c>
      <c r="D374" s="2" t="s">
        <v>328</v>
      </c>
      <c r="E374" s="2">
        <v>2.4163000000000001</v>
      </c>
      <c r="F374" s="2">
        <v>-1.6782999999999999</v>
      </c>
      <c r="G374" s="2">
        <v>-0.57779999999999998</v>
      </c>
      <c r="H374" s="2">
        <v>0.57579999999999998</v>
      </c>
      <c r="I374" s="2">
        <v>0.53290000000000004</v>
      </c>
      <c r="J374">
        <f>0.112525113129798*(100)</f>
        <v>11.2525113129798</v>
      </c>
      <c r="K374">
        <f>0.0014*(100)</f>
        <v>0.13999999999999999</v>
      </c>
      <c r="L374" s="2">
        <v>7.1410999999999998</v>
      </c>
      <c r="M374" s="2">
        <v>0.6583</v>
      </c>
      <c r="N374" s="2">
        <v>1.9699</v>
      </c>
      <c r="O374" s="2">
        <v>0.27060000000000001</v>
      </c>
      <c r="P374" s="2">
        <v>7.9408000000000003</v>
      </c>
      <c r="Q374" s="2">
        <v>34.946399999999997</v>
      </c>
      <c r="R374" s="2">
        <v>-84.18774659094872</v>
      </c>
      <c r="S374" s="2">
        <v>26.977499999999999</v>
      </c>
      <c r="T374" s="2">
        <v>11.892799999999999</v>
      </c>
      <c r="U374" s="2">
        <v>85.907499999999999</v>
      </c>
      <c r="V374" s="2">
        <v>13.349959550601314</v>
      </c>
      <c r="W374" s="2">
        <v>0.72510009916675611</v>
      </c>
      <c r="X374" s="2">
        <v>56.73</v>
      </c>
      <c r="Y374" s="2">
        <v>0.51</v>
      </c>
      <c r="Z374" s="4">
        <v>6.9099999999999993</v>
      </c>
      <c r="AA374" s="4">
        <v>13.3</v>
      </c>
      <c r="AB374" s="2">
        <v>1.4</v>
      </c>
      <c r="AC374" s="2">
        <v>17.600000000000001</v>
      </c>
      <c r="AD374" s="2">
        <v>5.7000000000000028</v>
      </c>
      <c r="AE374" s="2">
        <v>1</v>
      </c>
    </row>
    <row r="375" spans="1:31" x14ac:dyDescent="0.25">
      <c r="A375" s="2" t="s">
        <v>171</v>
      </c>
      <c r="B375" s="2">
        <v>2015</v>
      </c>
      <c r="C375" s="2" t="s">
        <v>293</v>
      </c>
      <c r="D375" s="2" t="s">
        <v>307</v>
      </c>
      <c r="E375" s="2">
        <v>6.5602999999999998</v>
      </c>
      <c r="F375" s="2">
        <v>4.4871999999999996</v>
      </c>
      <c r="G375" s="2">
        <v>5.5252999999999997</v>
      </c>
      <c r="H375" s="2">
        <v>4.5115999999999996</v>
      </c>
      <c r="I375" s="2">
        <v>3.4382999999999999</v>
      </c>
      <c r="J375">
        <f>0.735086123388115*(100)</f>
        <v>73.508612338811503</v>
      </c>
      <c r="K375">
        <f>0.1811*(100)</f>
        <v>18.11</v>
      </c>
      <c r="L375" s="2">
        <v>3.6179999999999999</v>
      </c>
      <c r="M375" s="2">
        <v>1.0041</v>
      </c>
      <c r="N375" s="2">
        <v>2.3087</v>
      </c>
      <c r="O375" s="2">
        <v>0.61170000000000002</v>
      </c>
      <c r="P375" s="2">
        <v>3.6732</v>
      </c>
      <c r="Q375" s="2">
        <v>-9.3053000000000008</v>
      </c>
      <c r="R375" s="2">
        <v>-41.123798396844798</v>
      </c>
      <c r="S375" s="2">
        <v>-0.16020000000000001</v>
      </c>
      <c r="T375" s="2">
        <v>4.5902000000000003</v>
      </c>
      <c r="U375" s="2">
        <v>32.979199999999999</v>
      </c>
      <c r="V375" s="2">
        <v>19.92374300070383</v>
      </c>
      <c r="W375" s="2">
        <v>1.9951574499249549</v>
      </c>
      <c r="X375" s="2">
        <v>115.53</v>
      </c>
      <c r="Y375" s="2">
        <v>9.76</v>
      </c>
      <c r="Z375" s="4">
        <v>6.9099999999999993</v>
      </c>
      <c r="AA375" s="4">
        <v>13.3</v>
      </c>
      <c r="AB375" s="2">
        <v>1.4</v>
      </c>
      <c r="AC375" s="2">
        <v>17.600000000000001</v>
      </c>
      <c r="AD375" s="2">
        <v>6.7000000000000028</v>
      </c>
      <c r="AE375" s="2">
        <v>1</v>
      </c>
    </row>
    <row r="376" spans="1:31" x14ac:dyDescent="0.25">
      <c r="A376" s="2" t="s">
        <v>169</v>
      </c>
      <c r="B376" s="2">
        <v>2015</v>
      </c>
      <c r="C376" s="2" t="s">
        <v>291</v>
      </c>
      <c r="D376" s="2" t="s">
        <v>347</v>
      </c>
      <c r="E376" s="2">
        <v>8.0073000000000008</v>
      </c>
      <c r="F376" s="2">
        <v>11.445499999999999</v>
      </c>
      <c r="G376" s="2">
        <v>23.459599999999998</v>
      </c>
      <c r="H376" s="2">
        <v>0.98309999999999997</v>
      </c>
      <c r="I376" s="2">
        <v>0.88049999999999995</v>
      </c>
      <c r="J376">
        <f>0.0731408816203749*(100)</f>
        <v>7.3140881620374891</v>
      </c>
      <c r="K376">
        <f>0.010932*(100)</f>
        <v>1.0932000000000002</v>
      </c>
      <c r="L376" s="2">
        <v>2.9239999999999999</v>
      </c>
      <c r="M376" s="2">
        <v>0.5706</v>
      </c>
      <c r="N376" s="2">
        <v>2.7501000000000002</v>
      </c>
      <c r="O376" s="2">
        <v>0.25519999999999998</v>
      </c>
      <c r="P376" s="2">
        <v>2.1177999999999999</v>
      </c>
      <c r="Q376" s="2">
        <v>23.103400000000001</v>
      </c>
      <c r="R376" s="2">
        <v>23.0204699341887</v>
      </c>
      <c r="S376" s="2">
        <v>18.840599999999998</v>
      </c>
      <c r="T376" s="2">
        <v>12.340199999999999</v>
      </c>
      <c r="U376" s="2">
        <v>55.936100000000003</v>
      </c>
      <c r="V376" s="2">
        <v>7.5402001157937519</v>
      </c>
      <c r="W376" s="2">
        <v>4.7312002068954024</v>
      </c>
      <c r="X376" s="2">
        <v>220.50684999999999</v>
      </c>
      <c r="Y376" s="2">
        <v>-0.45814999999999712</v>
      </c>
      <c r="Z376" s="4">
        <v>6.9099999999999993</v>
      </c>
      <c r="AA376" s="4">
        <v>13.3</v>
      </c>
      <c r="AB376" s="2">
        <v>1.4</v>
      </c>
      <c r="AC376" s="2">
        <v>17.600000000000001</v>
      </c>
      <c r="AD376" s="2">
        <v>5.7000000000000028</v>
      </c>
      <c r="AE376" s="2">
        <v>1</v>
      </c>
    </row>
    <row r="377" spans="1:31" x14ac:dyDescent="0.25">
      <c r="A377" s="5" t="s">
        <v>173</v>
      </c>
      <c r="B377" s="5">
        <v>2015</v>
      </c>
      <c r="C377" s="5" t="s">
        <v>288</v>
      </c>
      <c r="D377" s="5" t="s">
        <v>346</v>
      </c>
      <c r="E377" s="5">
        <v>-1.3184</v>
      </c>
      <c r="F377" s="5">
        <v>-5.8906999999999998</v>
      </c>
      <c r="G377" s="5">
        <v>-20.8186</v>
      </c>
      <c r="H377" s="5">
        <v>4.6154000000000002</v>
      </c>
      <c r="I377" s="5">
        <v>4.5448000000000004</v>
      </c>
      <c r="J377">
        <f>0.180952548927602*(100)</f>
        <v>18.095254892760202</v>
      </c>
      <c r="K377">
        <f>0.1165*(100)</f>
        <v>11.65</v>
      </c>
      <c r="L377" s="5">
        <v>7.8783000000000003</v>
      </c>
      <c r="M377" s="5">
        <v>0.17280000000000001</v>
      </c>
      <c r="N377" s="5">
        <v>1.0346</v>
      </c>
      <c r="O377" s="5">
        <v>0.14449999999999999</v>
      </c>
      <c r="P377" s="5">
        <v>0.8458</v>
      </c>
      <c r="Q377" s="5">
        <v>-2.1907999999999999</v>
      </c>
      <c r="R377" s="5">
        <v>27.482475465450129</v>
      </c>
      <c r="S377" s="5">
        <v>-6.4429999999999996</v>
      </c>
      <c r="T377" s="5">
        <v>-5.6863000000000001</v>
      </c>
      <c r="U377" s="5">
        <v>44.207500000000003</v>
      </c>
      <c r="V377" s="5">
        <v>25.895642756820859</v>
      </c>
      <c r="W377" s="5">
        <v>4.3480627630103932</v>
      </c>
      <c r="X377" s="5">
        <v>109.12</v>
      </c>
      <c r="Y377" s="5">
        <v>34.450000000000003</v>
      </c>
      <c r="Z377" s="6">
        <v>6.9099999999999993</v>
      </c>
      <c r="AA377" s="6">
        <v>13.3</v>
      </c>
      <c r="AB377" s="5">
        <v>1.4</v>
      </c>
      <c r="AC377" s="5">
        <v>17.600000000000001</v>
      </c>
      <c r="AD377" s="5">
        <v>5.7000000000000028</v>
      </c>
      <c r="AE377" s="5">
        <v>1</v>
      </c>
    </row>
    <row r="378" spans="1:31" x14ac:dyDescent="0.25">
      <c r="A378" s="2" t="s">
        <v>172</v>
      </c>
      <c r="B378" s="2">
        <v>2015</v>
      </c>
      <c r="C378" s="2" t="s">
        <v>294</v>
      </c>
      <c r="D378" s="2" t="s">
        <v>324</v>
      </c>
      <c r="E378" s="2">
        <v>-40.720100000000002</v>
      </c>
      <c r="F378" s="2">
        <v>-45.003829500000023</v>
      </c>
      <c r="G378" s="2">
        <v>-196.63929999999999</v>
      </c>
      <c r="H378" s="2">
        <v>0.4047</v>
      </c>
      <c r="I378" s="2">
        <v>0.2646</v>
      </c>
      <c r="J378">
        <f>0.0511949016087589*(100)</f>
        <v>5.1194901608758903</v>
      </c>
      <c r="K378">
        <f>-0.0427*(100)</f>
        <v>-4.2700000000000005</v>
      </c>
      <c r="L378" s="2">
        <v>1.4296</v>
      </c>
      <c r="M378" s="2">
        <v>0.45369999999999999</v>
      </c>
      <c r="N378" s="2">
        <v>0.60599999999999998</v>
      </c>
      <c r="O378" s="2">
        <v>0.2223</v>
      </c>
      <c r="P378" s="2">
        <v>1.1658999999999999</v>
      </c>
      <c r="Q378" s="2">
        <v>-20.227499999999999</v>
      </c>
      <c r="R378" s="2">
        <v>-146.22214594236701</v>
      </c>
      <c r="S378" s="2">
        <v>-23.409800000000001</v>
      </c>
      <c r="T378" s="2">
        <v>-434.4982</v>
      </c>
      <c r="U378" s="2">
        <v>139.85249999999999</v>
      </c>
      <c r="V378" s="2">
        <v>23.286898877520631</v>
      </c>
      <c r="W378" s="2">
        <v>-1.0240725623358244</v>
      </c>
      <c r="X378" s="2">
        <v>84.34</v>
      </c>
      <c r="Y378" s="2">
        <v>-23.3</v>
      </c>
      <c r="Z378" s="4">
        <v>6.9099999999999993</v>
      </c>
      <c r="AA378" s="4">
        <v>13.3</v>
      </c>
      <c r="AB378" s="2">
        <v>1.4</v>
      </c>
      <c r="AC378" s="2">
        <v>17.600000000000001</v>
      </c>
      <c r="AD378" s="2">
        <v>5.7000000000000028</v>
      </c>
      <c r="AE378" s="2">
        <v>1</v>
      </c>
    </row>
    <row r="379" spans="1:31" x14ac:dyDescent="0.25">
      <c r="A379" s="2" t="s">
        <v>168</v>
      </c>
      <c r="B379" s="2">
        <v>2015</v>
      </c>
      <c r="C379" s="2" t="s">
        <v>289</v>
      </c>
      <c r="D379" s="2" t="s">
        <v>347</v>
      </c>
      <c r="E379" s="2">
        <v>-49.936599999999999</v>
      </c>
      <c r="F379" s="2">
        <v>-45.003829500000023</v>
      </c>
      <c r="G379" s="2">
        <v>-188.4992</v>
      </c>
      <c r="H379" s="2">
        <v>0.90539999999999998</v>
      </c>
      <c r="I379" s="2">
        <v>0.69369999999999998</v>
      </c>
      <c r="J379">
        <f>0.194669689291571*(100)</f>
        <v>19.466968929157101</v>
      </c>
      <c r="K379">
        <f>0.0249*(100)</f>
        <v>2.4899999999999998</v>
      </c>
      <c r="L379" s="2">
        <v>1.8050999999999999</v>
      </c>
      <c r="M379" s="2">
        <v>0.48020000000000002</v>
      </c>
      <c r="N379" s="2">
        <v>1.3331999999999999</v>
      </c>
      <c r="O379" s="2">
        <v>0.2732</v>
      </c>
      <c r="P379" s="2">
        <v>1.7902</v>
      </c>
      <c r="Q379" s="2">
        <v>-32.735900000000001</v>
      </c>
      <c r="R379" s="2">
        <v>-59.006885346307868</v>
      </c>
      <c r="S379" s="2">
        <v>-44.906500000000001</v>
      </c>
      <c r="T379" s="2">
        <v>-437.88479999999998</v>
      </c>
      <c r="U379" s="2">
        <v>162.2038</v>
      </c>
      <c r="V379" s="2">
        <v>93.108340654473579</v>
      </c>
      <c r="W379" s="2">
        <v>-2.9746447439398738</v>
      </c>
      <c r="X379" s="2">
        <v>117.35</v>
      </c>
      <c r="Y379" s="2">
        <v>10.52</v>
      </c>
      <c r="Z379" s="4">
        <v>6.9099999999999993</v>
      </c>
      <c r="AA379" s="4">
        <v>13.3</v>
      </c>
      <c r="AB379" s="2">
        <v>1.4</v>
      </c>
      <c r="AC379" s="2">
        <v>17.600000000000001</v>
      </c>
      <c r="AD379" s="2">
        <v>5.7000000000000028</v>
      </c>
      <c r="AE379" s="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Zhen</dc:creator>
  <cp:lastModifiedBy>17805</cp:lastModifiedBy>
  <dcterms:created xsi:type="dcterms:W3CDTF">2023-02-22T03:49:02Z</dcterms:created>
  <dcterms:modified xsi:type="dcterms:W3CDTF">2023-03-13T03:47:32Z</dcterms:modified>
</cp:coreProperties>
</file>