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465" windowWidth="25605" windowHeight="15600" activeTab="3"/>
  </bookViews>
  <sheets>
    <sheet name="Projections" sheetId="2" r:id="rId1"/>
    <sheet name="Net Worth Graph Over Time  " sheetId="5" r:id="rId2"/>
    <sheet name="Net Profit Graph Over time " sheetId="3" r:id="rId3"/>
    <sheet name="Volume of Sales Over time " sheetId="6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2" l="1"/>
  <c r="C12" i="2"/>
  <c r="C19" i="2"/>
  <c r="D11" i="2"/>
  <c r="D12" i="2"/>
  <c r="D19" i="2"/>
  <c r="E11" i="2"/>
  <c r="E12" i="2"/>
  <c r="E19" i="2"/>
  <c r="F11" i="2"/>
  <c r="F12" i="2"/>
  <c r="F19" i="2"/>
  <c r="G11" i="2"/>
  <c r="G12" i="2"/>
  <c r="G19" i="2"/>
  <c r="B19" i="2"/>
  <c r="J62" i="2"/>
  <c r="C59" i="2"/>
  <c r="D59" i="2"/>
  <c r="E59" i="2"/>
  <c r="F59" i="2"/>
  <c r="G59" i="2"/>
  <c r="B59" i="2"/>
  <c r="J57" i="2"/>
  <c r="J60" i="2"/>
  <c r="J58" i="2"/>
  <c r="D10" i="2"/>
  <c r="E10" i="2"/>
  <c r="F10" i="2"/>
  <c r="G10" i="2"/>
  <c r="D28" i="2"/>
  <c r="E28" i="2"/>
  <c r="F28" i="2"/>
  <c r="G28" i="2"/>
  <c r="C28" i="2"/>
  <c r="C8" i="2"/>
  <c r="B12" i="2"/>
  <c r="B13" i="2"/>
  <c r="B21" i="2"/>
  <c r="B55" i="2"/>
  <c r="D77" i="2"/>
  <c r="E77" i="2"/>
  <c r="F77" i="2"/>
  <c r="G77" i="2"/>
  <c r="C77" i="2"/>
  <c r="B80" i="2"/>
  <c r="C80" i="2"/>
  <c r="D80" i="2"/>
  <c r="E80" i="2"/>
  <c r="F80" i="2"/>
  <c r="G80" i="2"/>
  <c r="C34" i="2"/>
  <c r="B24" i="2"/>
  <c r="B25" i="2"/>
  <c r="B26" i="2"/>
  <c r="B36" i="2"/>
  <c r="B56" i="2"/>
  <c r="B58" i="2"/>
  <c r="B60" i="2"/>
  <c r="B62" i="2"/>
  <c r="B49" i="2"/>
  <c r="B63" i="2"/>
  <c r="D16" i="2"/>
  <c r="E16" i="2"/>
  <c r="F16" i="2"/>
  <c r="G16" i="2"/>
  <c r="C11" i="2"/>
  <c r="D34" i="2"/>
  <c r="C17" i="2"/>
  <c r="C18" i="2"/>
  <c r="C13" i="2"/>
  <c r="C21" i="2"/>
  <c r="C55" i="2"/>
  <c r="D17" i="2"/>
  <c r="D18" i="2"/>
  <c r="D8" i="2"/>
  <c r="E8" i="2"/>
  <c r="F8" i="2"/>
  <c r="G8" i="2"/>
  <c r="D26" i="2"/>
  <c r="E26" i="2"/>
  <c r="F26" i="2"/>
  <c r="G26" i="2"/>
  <c r="C26" i="2"/>
  <c r="C25" i="2"/>
  <c r="G25" i="2"/>
  <c r="F25" i="2"/>
  <c r="E25" i="2"/>
  <c r="D25" i="2"/>
  <c r="G24" i="2"/>
  <c r="F24" i="2"/>
  <c r="E24" i="2"/>
  <c r="D24" i="2"/>
  <c r="C24" i="2"/>
  <c r="B44" i="2"/>
  <c r="D13" i="2"/>
  <c r="E17" i="2"/>
  <c r="E18" i="2"/>
  <c r="D21" i="2"/>
  <c r="D55" i="2"/>
  <c r="C44" i="2"/>
  <c r="B45" i="2"/>
  <c r="B47" i="2"/>
  <c r="B50" i="2"/>
  <c r="C39" i="2"/>
  <c r="E34" i="2"/>
  <c r="G30" i="2"/>
  <c r="C30" i="2"/>
  <c r="E30" i="2"/>
  <c r="F30" i="2"/>
  <c r="D30" i="2"/>
  <c r="D36" i="2"/>
  <c r="F17" i="2"/>
  <c r="F18" i="2"/>
  <c r="G17" i="2"/>
  <c r="G18" i="2"/>
  <c r="E13" i="2"/>
  <c r="E21" i="2"/>
  <c r="E55" i="2"/>
  <c r="D44" i="2"/>
  <c r="D45" i="2"/>
  <c r="D56" i="2"/>
  <c r="D58" i="2"/>
  <c r="D60" i="2"/>
  <c r="D62" i="2"/>
  <c r="E44" i="2"/>
  <c r="E36" i="2"/>
  <c r="E56" i="2"/>
  <c r="F34" i="2"/>
  <c r="C36" i="2"/>
  <c r="F13" i="2"/>
  <c r="F21" i="2"/>
  <c r="F55" i="2"/>
  <c r="G13" i="2"/>
  <c r="G21" i="2"/>
  <c r="G55" i="2"/>
  <c r="E45" i="2"/>
  <c r="C45" i="2"/>
  <c r="C56" i="2"/>
  <c r="E58" i="2"/>
  <c r="E60" i="2"/>
  <c r="E62" i="2"/>
  <c r="G44" i="2"/>
  <c r="F44" i="2"/>
  <c r="B65" i="2"/>
  <c r="G34" i="2"/>
  <c r="G36" i="2"/>
  <c r="D49" i="2"/>
  <c r="D47" i="2"/>
  <c r="E47" i="2"/>
  <c r="C58" i="2"/>
  <c r="F36" i="2"/>
  <c r="F56" i="2"/>
  <c r="G45" i="2"/>
  <c r="G56" i="2"/>
  <c r="F45" i="2"/>
  <c r="E49" i="2"/>
  <c r="C47" i="2"/>
  <c r="B74" i="2"/>
  <c r="C60" i="2"/>
  <c r="C62" i="2"/>
  <c r="F47" i="2"/>
  <c r="E63" i="2"/>
  <c r="E65" i="2"/>
  <c r="C49" i="2"/>
  <c r="C50" i="2"/>
  <c r="C74" i="2"/>
  <c r="G47" i="2"/>
  <c r="B78" i="2"/>
  <c r="B82" i="2"/>
  <c r="D63" i="2"/>
  <c r="D65" i="2"/>
  <c r="G58" i="2"/>
  <c r="G60" i="2"/>
  <c r="G62" i="2"/>
  <c r="F58" i="2"/>
  <c r="F60" i="2"/>
  <c r="F62" i="2"/>
  <c r="C78" i="2"/>
  <c r="C82" i="2"/>
  <c r="C63" i="2"/>
  <c r="C65" i="2"/>
  <c r="F49" i="2"/>
  <c r="G49" i="2"/>
  <c r="D39" i="2"/>
  <c r="D50" i="2"/>
  <c r="D74" i="2"/>
  <c r="D78" i="2"/>
  <c r="D82" i="2"/>
  <c r="G63" i="2"/>
  <c r="G65" i="2"/>
  <c r="F63" i="2"/>
  <c r="F65" i="2"/>
  <c r="E39" i="2"/>
  <c r="E50" i="2"/>
  <c r="F39" i="2"/>
  <c r="F50" i="2"/>
  <c r="G39" i="2"/>
  <c r="G50" i="2"/>
  <c r="E74" i="2"/>
  <c r="E78" i="2"/>
  <c r="E82" i="2"/>
  <c r="G74" i="2"/>
  <c r="F74" i="2"/>
  <c r="F78" i="2"/>
  <c r="F82" i="2"/>
  <c r="G78" i="2"/>
  <c r="G82" i="2"/>
</calcChain>
</file>

<file path=xl/sharedStrings.xml><?xml version="1.0" encoding="utf-8"?>
<sst xmlns="http://schemas.openxmlformats.org/spreadsheetml/2006/main" count="82" uniqueCount="79">
  <si>
    <t xml:space="preserve">Cash Flow </t>
  </si>
  <si>
    <t>Year 0</t>
  </si>
  <si>
    <t>Year 1</t>
  </si>
  <si>
    <t>Year 2</t>
  </si>
  <si>
    <t>Year 3</t>
  </si>
  <si>
    <t>Year 4</t>
  </si>
  <si>
    <t>% Customers renew</t>
  </si>
  <si>
    <t xml:space="preserve">Revenue on Media Sold Media Handlers </t>
  </si>
  <si>
    <t xml:space="preserve">Tax </t>
  </si>
  <si>
    <t xml:space="preserve">Rent </t>
  </si>
  <si>
    <t xml:space="preserve">Utilities </t>
  </si>
  <si>
    <t xml:space="preserve">Fixed Assets </t>
  </si>
  <si>
    <t xml:space="preserve">Tangible </t>
  </si>
  <si>
    <t xml:space="preserve">Total Fixed Assets </t>
  </si>
  <si>
    <t xml:space="preserve">Current assest </t>
  </si>
  <si>
    <t xml:space="preserve">Debtors </t>
  </si>
  <si>
    <t xml:space="preserve">Current liabalities </t>
  </si>
  <si>
    <t xml:space="preserve">Creditors </t>
  </si>
  <si>
    <t>Infrastructure Cost</t>
  </si>
  <si>
    <t>Net current assets</t>
  </si>
  <si>
    <t xml:space="preserve">Labour cost </t>
  </si>
  <si>
    <t xml:space="preserve">Long term Liabilities </t>
  </si>
  <si>
    <t xml:space="preserve">Bank loan </t>
  </si>
  <si>
    <t xml:space="preserve">Net Assets </t>
  </si>
  <si>
    <t xml:space="preserve">Cost Of Media Handlers </t>
  </si>
  <si>
    <t xml:space="preserve">Interest </t>
  </si>
  <si>
    <t>Advertising Cost</t>
  </si>
  <si>
    <t>Server costs</t>
  </si>
  <si>
    <t xml:space="preserve">Misc expenses </t>
  </si>
  <si>
    <t xml:space="preserve">Opening Balance </t>
  </si>
  <si>
    <t xml:space="preserve">Cash in </t>
  </si>
  <si>
    <t>Cash out</t>
  </si>
  <si>
    <t xml:space="preserve">Closing Balance </t>
  </si>
  <si>
    <t xml:space="preserve">Profit and Loss </t>
  </si>
  <si>
    <t xml:space="preserve">Profit after Tax </t>
  </si>
  <si>
    <t xml:space="preserve">Net Profit </t>
  </si>
  <si>
    <t xml:space="preserve">Financial </t>
  </si>
  <si>
    <t>Tax</t>
  </si>
  <si>
    <t>Year 5</t>
  </si>
  <si>
    <t>Yearly Profit and Loss Projection</t>
  </si>
  <si>
    <t>Predicted Sales Volume to Returning Teachers</t>
  </si>
  <si>
    <t>Predicted Sales Volume to Teachers</t>
  </si>
  <si>
    <t>Predicted Sales Volume to Tutors</t>
  </si>
  <si>
    <t>Predicted Sales Volume to Returning Tutors</t>
  </si>
  <si>
    <t>Selling Prices</t>
  </si>
  <si>
    <t>Business</t>
  </si>
  <si>
    <t>Total Predicted Volume of Sales  to Teachers</t>
  </si>
  <si>
    <t>Group Sales (Assumed Teachers)</t>
  </si>
  <si>
    <t>Single Sales (Assumed Tutors)</t>
  </si>
  <si>
    <t>Total Predicted Volume of Sales  to Tutors</t>
  </si>
  <si>
    <t>Income Prediction for Tutors</t>
  </si>
  <si>
    <t>Income Prediction for Teachers</t>
  </si>
  <si>
    <t>Selling Price of Single Purchase Software</t>
  </si>
  <si>
    <t>Selling Price of Group Purchase Software (20 plus)</t>
  </si>
  <si>
    <t>Overheads</t>
  </si>
  <si>
    <t xml:space="preserve">Variable </t>
  </si>
  <si>
    <t>Other</t>
  </si>
  <si>
    <t>Total Revenue</t>
  </si>
  <si>
    <t>Cash Flow before Tax</t>
  </si>
  <si>
    <t>Profit Before Interest and Tax</t>
  </si>
  <si>
    <t>Profit Before Tax</t>
  </si>
  <si>
    <t>Balance Sheet at End of Year</t>
  </si>
  <si>
    <t>Cash in Hand and at Bank</t>
  </si>
  <si>
    <t>Expenditure (not including loan repayments)</t>
  </si>
  <si>
    <t>Revenue (not including loan received)</t>
  </si>
  <si>
    <t>Cash Out</t>
  </si>
  <si>
    <t>Cash In</t>
  </si>
  <si>
    <t>Total Pre-Tax Expenditure</t>
  </si>
  <si>
    <t>Totals</t>
  </si>
  <si>
    <t>Loan in</t>
  </si>
  <si>
    <t>Loan out</t>
  </si>
  <si>
    <t xml:space="preserve">Group Discount rate </t>
  </si>
  <si>
    <t xml:space="preserve">Break even Analysis </t>
  </si>
  <si>
    <t xml:space="preserve">Variable cost </t>
  </si>
  <si>
    <t xml:space="preserve">Fixed costs </t>
  </si>
  <si>
    <t xml:space="preserve">Selling price </t>
  </si>
  <si>
    <t>Volume to break even</t>
  </si>
  <si>
    <t xml:space="preserve">Minimum Cost per product </t>
  </si>
  <si>
    <t xml:space="preserve">Total Volume of Sales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</si>
</sst>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£&quot;* #,##0.00_-;\-&quot;£&quot;* #,##0.00_-;_-&quot;£&quot;* &quot;-&quot;??_-;_-@_-"/>
    <numFmt numFmtId="164" formatCode="_-&quot;£&quot;* #,##0.00_-;\-&quot;£&quot;* #,##0.00_-;_-&quot;£&quot;* &quot;-&quot;??_-;_-@"/>
    <numFmt numFmtId="165" formatCode="_(&quot;£&quot;* #,##0.00_);_(&quot;£&quot;* \(#,##0.00\);_(&quot;£&quot;* &quot;-&quot;??_);_(@_)"/>
    <numFmt numFmtId="166" formatCode="&quot;£&quot;#,##0.00"/>
  </numFmts>
  <fonts count="12" x14ac:knownFonts="1">
    <font>
      <sz val="11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6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rgb="FF000000"/>
      </left>
      <right style="thick">
        <color auto="1"/>
      </right>
      <top/>
      <bottom/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 applyFont="1" applyAlignment="1"/>
    <xf numFmtId="0" fontId="4" fillId="0" borderId="3" xfId="0" applyFont="1" applyBorder="1" applyAlignment="1"/>
    <xf numFmtId="0" fontId="4" fillId="0" borderId="0" xfId="0" applyFont="1" applyAlignment="1"/>
    <xf numFmtId="0" fontId="4" fillId="0" borderId="0" xfId="0" applyFont="1"/>
    <xf numFmtId="0" fontId="6" fillId="3" borderId="2" xfId="0" applyFont="1" applyFill="1" applyBorder="1"/>
    <xf numFmtId="0" fontId="4" fillId="3" borderId="0" xfId="0" applyFont="1" applyFill="1"/>
    <xf numFmtId="0" fontId="4" fillId="0" borderId="2" xfId="0" applyFont="1" applyBorder="1"/>
    <xf numFmtId="165" fontId="4" fillId="0" borderId="0" xfId="0" applyNumberFormat="1" applyFont="1"/>
    <xf numFmtId="9" fontId="4" fillId="0" borderId="0" xfId="0" applyNumberFormat="1" applyFont="1"/>
    <xf numFmtId="0" fontId="4" fillId="0" borderId="8" xfId="0" applyFont="1" applyBorder="1"/>
    <xf numFmtId="165" fontId="4" fillId="0" borderId="7" xfId="0" applyNumberFormat="1" applyFont="1" applyBorder="1"/>
    <xf numFmtId="165" fontId="4" fillId="3" borderId="0" xfId="0" applyNumberFormat="1" applyFont="1" applyFill="1"/>
    <xf numFmtId="0" fontId="4" fillId="0" borderId="0" xfId="0" applyNumberFormat="1" applyFont="1"/>
    <xf numFmtId="3" fontId="4" fillId="0" borderId="0" xfId="0" applyNumberFormat="1" applyFont="1"/>
    <xf numFmtId="1" fontId="4" fillId="0" borderId="0" xfId="0" applyNumberFormat="1" applyFont="1"/>
    <xf numFmtId="0" fontId="6" fillId="0" borderId="2" xfId="0" applyFont="1" applyBorder="1"/>
    <xf numFmtId="165" fontId="6" fillId="0" borderId="0" xfId="0" applyNumberFormat="1" applyFont="1"/>
    <xf numFmtId="0" fontId="4" fillId="0" borderId="4" xfId="0" applyFont="1" applyBorder="1"/>
    <xf numFmtId="165" fontId="7" fillId="0" borderId="0" xfId="0" applyNumberFormat="1" applyFont="1"/>
    <xf numFmtId="165" fontId="3" fillId="0" borderId="0" xfId="0" applyNumberFormat="1" applyFont="1"/>
    <xf numFmtId="165" fontId="4" fillId="0" borderId="1" xfId="0" applyNumberFormat="1" applyFont="1" applyBorder="1"/>
    <xf numFmtId="164" fontId="4" fillId="0" borderId="0" xfId="0" applyNumberFormat="1" applyFont="1"/>
    <xf numFmtId="0" fontId="7" fillId="0" borderId="2" xfId="0" applyFont="1" applyBorder="1"/>
    <xf numFmtId="0" fontId="8" fillId="0" borderId="2" xfId="0" applyFont="1" applyBorder="1"/>
    <xf numFmtId="165" fontId="7" fillId="0" borderId="7" xfId="0" applyNumberFormat="1" applyFont="1" applyBorder="1"/>
    <xf numFmtId="0" fontId="3" fillId="0" borderId="0" xfId="0" applyFont="1"/>
    <xf numFmtId="164" fontId="3" fillId="0" borderId="0" xfId="0" applyNumberFormat="1" applyFont="1"/>
    <xf numFmtId="0" fontId="6" fillId="2" borderId="10" xfId="0" applyFont="1" applyFill="1" applyBorder="1"/>
    <xf numFmtId="0" fontId="4" fillId="2" borderId="9" xfId="0" applyFont="1" applyFill="1" applyBorder="1"/>
    <xf numFmtId="0" fontId="5" fillId="4" borderId="6" xfId="0" applyFont="1" applyFill="1" applyBorder="1"/>
    <xf numFmtId="0" fontId="6" fillId="2" borderId="2" xfId="0" applyFont="1" applyFill="1" applyBorder="1"/>
    <xf numFmtId="165" fontId="3" fillId="2" borderId="0" xfId="0" applyNumberFormat="1" applyFont="1" applyFill="1"/>
    <xf numFmtId="165" fontId="8" fillId="0" borderId="0" xfId="0" applyNumberFormat="1" applyFont="1"/>
    <xf numFmtId="0" fontId="6" fillId="0" borderId="8" xfId="0" applyFont="1" applyBorder="1"/>
    <xf numFmtId="165" fontId="6" fillId="0" borderId="7" xfId="0" applyNumberFormat="1" applyFont="1" applyBorder="1"/>
    <xf numFmtId="165" fontId="4" fillId="2" borderId="9" xfId="0" applyNumberFormat="1" applyFont="1" applyFill="1" applyBorder="1"/>
    <xf numFmtId="0" fontId="6" fillId="0" borderId="2" xfId="0" applyFont="1" applyFill="1" applyBorder="1"/>
    <xf numFmtId="165" fontId="4" fillId="0" borderId="0" xfId="0" applyNumberFormat="1" applyFont="1" applyFill="1"/>
    <xf numFmtId="0" fontId="4" fillId="3" borderId="0" xfId="0" applyFont="1" applyFill="1" applyAlignment="1"/>
    <xf numFmtId="0" fontId="6" fillId="3" borderId="2" xfId="0" applyFont="1" applyFill="1" applyBorder="1" applyAlignment="1"/>
    <xf numFmtId="0" fontId="4" fillId="0" borderId="2" xfId="0" applyFont="1" applyBorder="1" applyAlignment="1"/>
    <xf numFmtId="0" fontId="6" fillId="0" borderId="8" xfId="0" applyFont="1" applyFill="1" applyBorder="1" applyAlignment="1"/>
    <xf numFmtId="0" fontId="6" fillId="0" borderId="0" xfId="0" applyFont="1"/>
    <xf numFmtId="0" fontId="6" fillId="0" borderId="0" xfId="0" applyFont="1" applyAlignment="1"/>
    <xf numFmtId="0" fontId="6" fillId="0" borderId="1" xfId="0" applyFont="1" applyBorder="1"/>
    <xf numFmtId="0" fontId="9" fillId="0" borderId="1" xfId="0" applyFont="1" applyBorder="1"/>
    <xf numFmtId="0" fontId="6" fillId="2" borderId="11" xfId="0" applyFont="1" applyFill="1" applyBorder="1"/>
    <xf numFmtId="165" fontId="4" fillId="2" borderId="12" xfId="0" applyNumberFormat="1" applyFont="1" applyFill="1" applyBorder="1"/>
    <xf numFmtId="165" fontId="4" fillId="2" borderId="13" xfId="0" applyNumberFormat="1" applyFont="1" applyFill="1" applyBorder="1"/>
    <xf numFmtId="0" fontId="6" fillId="0" borderId="0" xfId="0" applyFont="1" applyBorder="1"/>
    <xf numFmtId="0" fontId="8" fillId="0" borderId="0" xfId="0" applyFont="1" applyBorder="1"/>
    <xf numFmtId="165" fontId="8" fillId="0" borderId="7" xfId="0" applyNumberFormat="1" applyFont="1" applyBorder="1"/>
    <xf numFmtId="0" fontId="6" fillId="0" borderId="2" xfId="0" applyNumberFormat="1" applyFont="1" applyBorder="1"/>
    <xf numFmtId="166" fontId="4" fillId="0" borderId="0" xfId="0" applyNumberFormat="1" applyFont="1"/>
    <xf numFmtId="44" fontId="4" fillId="0" borderId="0" xfId="0" applyNumberFormat="1" applyFont="1"/>
    <xf numFmtId="165" fontId="6" fillId="0" borderId="7" xfId="0" applyNumberFormat="1" applyFont="1" applyBorder="1" applyAlignment="1"/>
    <xf numFmtId="0" fontId="10" fillId="4" borderId="6" xfId="0" applyFont="1" applyFill="1" applyBorder="1"/>
    <xf numFmtId="0" fontId="7" fillId="4" borderId="5" xfId="0" applyFont="1" applyFill="1" applyBorder="1"/>
    <xf numFmtId="165" fontId="4" fillId="4" borderId="5" xfId="0" applyNumberFormat="1" applyFont="1" applyFill="1" applyBorder="1"/>
    <xf numFmtId="0" fontId="11" fillId="0" borderId="0" xfId="0" applyFont="1"/>
    <xf numFmtId="9" fontId="11" fillId="0" borderId="0" xfId="0" applyNumberFormat="1" applyFont="1"/>
    <xf numFmtId="0" fontId="7" fillId="0" borderId="0" xfId="0" applyFont="1"/>
    <xf numFmtId="0" fontId="8" fillId="0" borderId="0" xfId="0" applyFont="1"/>
    <xf numFmtId="164" fontId="7" fillId="0" borderId="0" xfId="0" applyNumberFormat="1" applyFont="1"/>
    <xf numFmtId="2" fontId="7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Net Assets </c:v>
          </c:tx>
          <c:marker>
            <c:symbol val="none"/>
          </c:marker>
          <c:val>
            <c:numRef>
              <c:f>Projections!$B$82:$G$82</c:f>
              <c:numCache>
                <c:formatCode>_("£"* #,##0.00_);_("£"* \(#,##0.00\);_("£"* "-"??_);_(@_)</c:formatCode>
                <c:ptCount val="6"/>
                <c:pt idx="0">
                  <c:v>-47635.759999999995</c:v>
                </c:pt>
                <c:pt idx="1">
                  <c:v>-61751.589999999982</c:v>
                </c:pt>
                <c:pt idx="2">
                  <c:v>-33014.205999999976</c:v>
                </c:pt>
                <c:pt idx="3">
                  <c:v>18098.602000000006</c:v>
                </c:pt>
                <c:pt idx="4">
                  <c:v>82083.922000000006</c:v>
                </c:pt>
                <c:pt idx="5">
                  <c:v>150819.49799999999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11200"/>
        <c:axId val="107516672"/>
      </c:lineChart>
      <c:catAx>
        <c:axId val="106211200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22225">
            <a:solidFill>
              <a:schemeClr val="tx1"/>
            </a:solidFill>
          </a:ln>
        </c:spPr>
        <c:crossAx val="107516672"/>
        <c:crosses val="autoZero"/>
        <c:auto val="1"/>
        <c:lblAlgn val="ctr"/>
        <c:lblOffset val="100"/>
        <c:noMultiLvlLbl val="0"/>
      </c:catAx>
      <c:valAx>
        <c:axId val="107516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Net Worth </a:t>
                </a:r>
              </a:p>
            </c:rich>
          </c:tx>
          <c:layout/>
          <c:overlay val="0"/>
        </c:title>
        <c:numFmt formatCode="_(&quot;£&quot;* #,##0.00_);_(&quot;£&quot;* \(#,##0.00\);_(&quot;£&quot;* &quot;-&quot;??_);_(@_)" sourceLinked="1"/>
        <c:majorTickMark val="cross"/>
        <c:minorTickMark val="in"/>
        <c:tickLblPos val="nextTo"/>
        <c:spPr>
          <a:ln w="22225">
            <a:solidFill>
              <a:schemeClr val="tx1"/>
            </a:solidFill>
          </a:ln>
        </c:spPr>
        <c:crossAx val="10621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1"/>
  <c:style val="2"/>
  <c:chart>
    <c:title>
      <c:tx>
        <c:rich>
          <a:bodyPr/>
          <a:lstStyle/>
          <a:p>
            <a:pPr>
              <a:defRPr sz="2000" b="1" i="0"/>
            </a:pPr>
            <a:r>
              <a:rPr lang="en-GB" sz="2000"/>
              <a:t>Net Profit and</a:t>
            </a:r>
            <a:r>
              <a:rPr lang="en-GB" sz="2000" baseline="0"/>
              <a:t> Sales Revenue</a:t>
            </a:r>
            <a:r>
              <a:rPr lang="en-GB" sz="2000"/>
              <a:t> Based on 5 Year Projection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913469107047391"/>
          <c:y val="9.3035651107874845E-2"/>
          <c:w val="0.72201806913337474"/>
          <c:h val="0.88376159092966045"/>
        </c:manualLayout>
      </c:layout>
      <c:lineChart>
        <c:grouping val="standard"/>
        <c:varyColors val="0"/>
        <c:ser>
          <c:idx val="0"/>
          <c:order val="0"/>
          <c:tx>
            <c:v>Net Profit </c:v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Lit>
              <c:formatCode>General</c:formatCode>
              <c:ptCount val="6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</c:numLit>
          </c:cat>
          <c:val>
            <c:numRef>
              <c:f>Projections!$B$65:$G$65</c:f>
              <c:numCache>
                <c:formatCode>_("£"* #,##0.00_);_("£"* \(#,##0.00\);_("£"* "-"??_);_(@_)</c:formatCode>
                <c:ptCount val="6"/>
                <c:pt idx="0">
                  <c:v>-47635.759999999995</c:v>
                </c:pt>
                <c:pt idx="1">
                  <c:v>-14115.829999999987</c:v>
                </c:pt>
                <c:pt idx="2">
                  <c:v>28737.384000000009</c:v>
                </c:pt>
                <c:pt idx="3">
                  <c:v>51112.807999999983</c:v>
                </c:pt>
                <c:pt idx="4">
                  <c:v>63985.319999999992</c:v>
                </c:pt>
                <c:pt idx="5">
                  <c:v>68735.576000000001</c:v>
                </c:pt>
              </c:numCache>
            </c:numRef>
          </c:val>
          <c:smooth val="0"/>
        </c:ser>
        <c:ser>
          <c:idx val="1"/>
          <c:order val="1"/>
          <c:tx>
            <c:v>Sales Revenue</c:v>
          </c:tx>
          <c:marker>
            <c:symbol val="none"/>
          </c:marker>
          <c:val>
            <c:numRef>
              <c:f>Projections!$B$21:$G$21</c:f>
              <c:numCache>
                <c:formatCode>_("£"* #,##0.00_);_("£"* \(#,##0.00\);_("£"* "-"??_);_(@_)</c:formatCode>
                <c:ptCount val="6"/>
                <c:pt idx="0">
                  <c:v>6000</c:v>
                </c:pt>
                <c:pt idx="1">
                  <c:v>91805.31</c:v>
                </c:pt>
                <c:pt idx="2">
                  <c:v>139313.87</c:v>
                </c:pt>
                <c:pt idx="3">
                  <c:v>163068.14999999997</c:v>
                </c:pt>
                <c:pt idx="4">
                  <c:v>174943.78999999998</c:v>
                </c:pt>
                <c:pt idx="5">
                  <c:v>180881.61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28832"/>
        <c:axId val="38730752"/>
      </c:lineChart>
      <c:catAx>
        <c:axId val="38728832"/>
        <c:scaling>
          <c:orientation val="minMax"/>
        </c:scaling>
        <c:delete val="0"/>
        <c:axPos val="b"/>
        <c:numFmt formatCode="General" sourceLinked="1"/>
        <c:majorTickMark val="out"/>
        <c:minorTickMark val="in"/>
        <c:tickLblPos val="nextTo"/>
        <c:spPr>
          <a:ln w="28575"/>
        </c:spPr>
        <c:txPr>
          <a:bodyPr/>
          <a:lstStyle/>
          <a:p>
            <a:pPr>
              <a:defRPr/>
            </a:pPr>
            <a:endParaRPr lang="en-US"/>
          </a:p>
        </c:txPr>
        <c:crossAx val="38730752"/>
        <c:crosses val="autoZero"/>
        <c:auto val="1"/>
        <c:lblAlgn val="ctr"/>
        <c:lblOffset val="100"/>
        <c:noMultiLvlLbl val="1"/>
      </c:catAx>
      <c:valAx>
        <c:axId val="38730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Net</a:t>
                </a:r>
                <a:r>
                  <a:rPr lang="en-GB" baseline="0"/>
                  <a:t> Profit / Revenue </a:t>
                </a:r>
              </a:p>
            </c:rich>
          </c:tx>
          <c:layout/>
          <c:overlay val="0"/>
        </c:title>
        <c:numFmt formatCode="_(&quot;£&quot;* #,##0.00_);_(&quot;£&quot;* \(#,##0.00\);_(&quot;£&quot;* &quot;-&quot;??_);_(@_)" sourceLinked="1"/>
        <c:majorTickMark val="out"/>
        <c:minorTickMark val="in"/>
        <c:tickLblPos val="nextTo"/>
        <c:spPr>
          <a:noFill/>
          <a:ln w="19050">
            <a:solidFill>
              <a:schemeClr val="tx1"/>
            </a:solidFill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38728832"/>
        <c:crosses val="autoZero"/>
        <c:crossBetween val="midCat"/>
      </c:valAx>
      <c:spPr>
        <a:ln w="63500"/>
      </c:spPr>
    </c:plotArea>
    <c:legend>
      <c:legendPos val="r"/>
      <c:layout/>
      <c:overlay val="0"/>
    </c:legend>
    <c:plotVisOnly val="1"/>
    <c:dispBlanksAs val="zero"/>
    <c:showDLblsOverMax val="1"/>
  </c:chart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Volume</a:t>
            </a:r>
            <a:r>
              <a:rPr lang="en-GB" baseline="0"/>
              <a:t> of sales 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Projections!$A$12</c:f>
              <c:strCache>
                <c:ptCount val="1"/>
                <c:pt idx="0">
                  <c:v>Total Predicted Volume of Sales  to Teachers</c:v>
                </c:pt>
              </c:strCache>
            </c:strRef>
          </c:tx>
          <c:marker>
            <c:symbol val="none"/>
          </c:marker>
          <c:val>
            <c:numRef>
              <c:f>Projections!$B$12:$G$12</c:f>
              <c:numCache>
                <c:formatCode>0</c:formatCode>
                <c:ptCount val="6"/>
                <c:pt idx="0">
                  <c:v>0</c:v>
                </c:pt>
                <c:pt idx="1">
                  <c:v>3077</c:v>
                </c:pt>
                <c:pt idx="2">
                  <c:v>4675</c:v>
                </c:pt>
                <c:pt idx="3">
                  <c:v>5474</c:v>
                </c:pt>
                <c:pt idx="4">
                  <c:v>5874</c:v>
                </c:pt>
                <c:pt idx="5">
                  <c:v>6074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Projections!$A$17</c:f>
              <c:strCache>
                <c:ptCount val="1"/>
                <c:pt idx="0">
                  <c:v>Total Predicted Volume of Sales  to Tutors</c:v>
                </c:pt>
              </c:strCache>
            </c:strRef>
          </c:tx>
          <c:marker>
            <c:symbol val="none"/>
          </c:marker>
          <c:val>
            <c:numRef>
              <c:f>Projections!$B$17:$G$17</c:f>
              <c:numCache>
                <c:formatCode>0</c:formatCode>
                <c:ptCount val="6"/>
                <c:pt idx="0">
                  <c:v>0</c:v>
                </c:pt>
                <c:pt idx="1">
                  <c:v>292</c:v>
                </c:pt>
                <c:pt idx="2">
                  <c:v>438</c:v>
                </c:pt>
                <c:pt idx="3">
                  <c:v>511</c:v>
                </c:pt>
                <c:pt idx="4">
                  <c:v>547</c:v>
                </c:pt>
                <c:pt idx="5">
                  <c:v>565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19296"/>
        <c:axId val="114920832"/>
      </c:lineChart>
      <c:catAx>
        <c:axId val="114919296"/>
        <c:scaling>
          <c:orientation val="minMax"/>
        </c:scaling>
        <c:delete val="0"/>
        <c:axPos val="b"/>
        <c:majorTickMark val="out"/>
        <c:minorTickMark val="in"/>
        <c:tickLblPos val="nextTo"/>
        <c:spPr>
          <a:ln w="22225">
            <a:solidFill>
              <a:schemeClr val="tx1"/>
            </a:solidFill>
          </a:ln>
        </c:spPr>
        <c:crossAx val="114920832"/>
        <c:crosses val="autoZero"/>
        <c:auto val="1"/>
        <c:lblAlgn val="ctr"/>
        <c:lblOffset val="100"/>
        <c:noMultiLvlLbl val="0"/>
      </c:catAx>
      <c:valAx>
        <c:axId val="114920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 Predicted Volume</a:t>
                </a:r>
                <a:r>
                  <a:rPr lang="en-GB" baseline="0"/>
                  <a:t> 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2.0480853895716439E-2"/>
              <c:y val="0.4637618462899924"/>
            </c:manualLayout>
          </c:layout>
          <c:overlay val="0"/>
        </c:title>
        <c:numFmt formatCode="0" sourceLinked="1"/>
        <c:majorTickMark val="out"/>
        <c:minorTickMark val="in"/>
        <c:tickLblPos val="nextTo"/>
        <c:spPr>
          <a:ln w="22225">
            <a:solidFill>
              <a:schemeClr val="tx1"/>
            </a:solidFill>
          </a:ln>
        </c:spPr>
        <c:crossAx val="11491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0.43296</cdr:x>
      <cdr:y>0.7163</cdr:y>
    </cdr:from>
    <cdr:to>
      <cdr:x>0.55783</cdr:x>
      <cdr:y>0.76176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29075" y="4352925"/>
          <a:ext cx="1162050" cy="2762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200" b="1"/>
            <a:t>Financial</a:t>
          </a:r>
          <a:r>
            <a:rPr lang="en-GB" sz="1200" b="1" baseline="0"/>
            <a:t> Years </a:t>
          </a:r>
          <a:endParaRPr lang="en-GB" sz="1200" b="1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943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7"/>
  <sheetViews>
    <sheetView workbookViewId="0">
      <pane ySplit="1" topLeftCell="A32" activePane="bottomLeft" state="frozen"/>
      <selection pane="bottomLeft" activeCell="C82" sqref="C82"/>
    </sheetView>
  </sheetViews>
  <sheetFormatPr defaultColWidth="15.140625" defaultRowHeight="15" customHeight="1" x14ac:dyDescent="0.25"/>
  <cols>
    <col min="1" max="1" width="48.42578125" style="2" customWidth="1"/>
    <col min="2" max="7" width="15.7109375" style="2" customWidth="1"/>
    <col min="8" max="8" width="2.7109375" style="2" customWidth="1"/>
    <col min="9" max="9" width="24.85546875" style="2" bestFit="1" customWidth="1"/>
    <col min="10" max="11" width="12.5703125" style="2" bestFit="1" customWidth="1"/>
    <col min="12" max="26" width="7.42578125" style="2" customWidth="1"/>
    <col min="27" max="16384" width="15.140625" style="2"/>
  </cols>
  <sheetData>
    <row r="1" spans="1:26" ht="15" customHeight="1" thickBot="1" x14ac:dyDescent="0.3">
      <c r="A1" s="1"/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38</v>
      </c>
    </row>
    <row r="2" spans="1:26" ht="20.25" customHeight="1" thickTop="1" thickBot="1" x14ac:dyDescent="0.4">
      <c r="A2" s="56" t="s">
        <v>0</v>
      </c>
      <c r="B2" s="57"/>
      <c r="C2" s="57"/>
      <c r="D2" s="57"/>
      <c r="E2" s="57"/>
      <c r="F2" s="57"/>
      <c r="G2" s="57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thickBot="1" x14ac:dyDescent="0.3">
      <c r="A3" s="27" t="s">
        <v>66</v>
      </c>
      <c r="B3" s="28"/>
      <c r="C3" s="28"/>
      <c r="D3" s="28"/>
      <c r="E3" s="28"/>
      <c r="F3" s="28"/>
      <c r="G3" s="28"/>
      <c r="H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4" t="s">
        <v>45</v>
      </c>
      <c r="B4" s="5"/>
      <c r="C4" s="5"/>
      <c r="D4" s="5"/>
      <c r="E4" s="5"/>
      <c r="F4" s="5"/>
      <c r="G4" s="5"/>
      <c r="H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thickBot="1" x14ac:dyDescent="0.3">
      <c r="A5" s="9" t="s">
        <v>7</v>
      </c>
      <c r="B5" s="10">
        <v>6000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7"/>
      <c r="I5" s="8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5">
      <c r="A6" s="4" t="s">
        <v>44</v>
      </c>
      <c r="B6" s="11"/>
      <c r="C6" s="11"/>
      <c r="D6" s="11"/>
      <c r="E6" s="11"/>
      <c r="F6" s="11"/>
      <c r="G6" s="11"/>
      <c r="H6" s="7"/>
      <c r="I6" s="59" t="s">
        <v>71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5">
      <c r="A7" s="6" t="s">
        <v>52</v>
      </c>
      <c r="B7" s="7"/>
      <c r="C7" s="7">
        <v>29.99</v>
      </c>
      <c r="D7" s="7">
        <v>29.99</v>
      </c>
      <c r="E7" s="7">
        <v>29.99</v>
      </c>
      <c r="F7" s="7">
        <v>29.99</v>
      </c>
      <c r="G7" s="7">
        <v>29.99</v>
      </c>
      <c r="H7" s="7"/>
      <c r="I7" s="60">
        <v>0.1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thickBot="1" x14ac:dyDescent="0.3">
      <c r="A8" s="9" t="s">
        <v>53</v>
      </c>
      <c r="B8" s="10"/>
      <c r="C8" s="10">
        <f>ROUNDDOWN(C7-C7*$I$7,2)</f>
        <v>26.99</v>
      </c>
      <c r="D8" s="10">
        <f>ROUNDDOWN(D7-D7*$I$7,2)</f>
        <v>26.99</v>
      </c>
      <c r="E8" s="10">
        <f>ROUNDDOWN(E7-E7*$I$7,2)</f>
        <v>26.99</v>
      </c>
      <c r="F8" s="10">
        <f>ROUNDDOWN(F7-F7*$I$7,2)</f>
        <v>26.99</v>
      </c>
      <c r="G8" s="10">
        <f>ROUNDDOWN(G7-G7*$I$7,2)</f>
        <v>26.99</v>
      </c>
      <c r="H8" s="7"/>
      <c r="I8" s="8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4" t="s">
        <v>47</v>
      </c>
      <c r="B9" s="11"/>
      <c r="C9" s="11"/>
      <c r="D9" s="11"/>
      <c r="E9" s="11"/>
      <c r="F9" s="11"/>
      <c r="G9" s="11"/>
      <c r="H9" s="7"/>
      <c r="I9" s="59" t="s">
        <v>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6" t="s">
        <v>41</v>
      </c>
      <c r="B10" s="12">
        <v>0</v>
      </c>
      <c r="C10" s="12">
        <f>ROUNDDOWN(378000*0.8142*0.01,0)</f>
        <v>3077</v>
      </c>
      <c r="D10" s="12">
        <f t="shared" ref="D10:G10" si="0">ROUNDDOWN(378000*0.83*0.01,0)</f>
        <v>3137</v>
      </c>
      <c r="E10" s="12">
        <f t="shared" si="0"/>
        <v>3137</v>
      </c>
      <c r="F10" s="12">
        <f t="shared" si="0"/>
        <v>3137</v>
      </c>
      <c r="G10" s="12">
        <f t="shared" si="0"/>
        <v>3137</v>
      </c>
      <c r="H10" s="12"/>
      <c r="I10" s="60">
        <v>0.5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6" t="s">
        <v>40</v>
      </c>
      <c r="B11" s="12">
        <v>0</v>
      </c>
      <c r="C11" s="12">
        <f>ROUNDDOWN((B10+B11)*$I$10,0)</f>
        <v>0</v>
      </c>
      <c r="D11" s="12">
        <f>ROUNDDOWN((C10+C11)*$I$10,0)</f>
        <v>1538</v>
      </c>
      <c r="E11" s="12">
        <f>ROUNDDOWN((D10+D11)*$I$10,0)</f>
        <v>2337</v>
      </c>
      <c r="F11" s="12">
        <f>ROUNDDOWN((E10+E11)*$I$10,0)</f>
        <v>2737</v>
      </c>
      <c r="G11" s="12">
        <f>ROUNDDOWN((F10+F11)*$I$10,0)</f>
        <v>2937</v>
      </c>
      <c r="H11" s="1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6" t="s">
        <v>46</v>
      </c>
      <c r="B12" s="14">
        <f t="shared" ref="B12:G12" si="1">B11+B10</f>
        <v>0</v>
      </c>
      <c r="C12" s="14">
        <f>C11+C10</f>
        <v>3077</v>
      </c>
      <c r="D12" s="14">
        <f t="shared" si="1"/>
        <v>4675</v>
      </c>
      <c r="E12" s="14">
        <f t="shared" si="1"/>
        <v>5474</v>
      </c>
      <c r="F12" s="14">
        <f t="shared" si="1"/>
        <v>5874</v>
      </c>
      <c r="G12" s="14">
        <f t="shared" si="1"/>
        <v>6074</v>
      </c>
      <c r="H12" s="1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thickBot="1" x14ac:dyDescent="0.3">
      <c r="A13" s="9" t="s">
        <v>51</v>
      </c>
      <c r="B13" s="10">
        <f>B12*B7</f>
        <v>0</v>
      </c>
      <c r="C13" s="10">
        <f>C12*C8</f>
        <v>83048.23</v>
      </c>
      <c r="D13" s="10">
        <f t="shared" ref="D13:G13" si="2">D12*D8</f>
        <v>126178.24999999999</v>
      </c>
      <c r="E13" s="10">
        <f t="shared" si="2"/>
        <v>147743.25999999998</v>
      </c>
      <c r="F13" s="10">
        <f t="shared" si="2"/>
        <v>158539.25999999998</v>
      </c>
      <c r="G13" s="10">
        <f t="shared" si="2"/>
        <v>163937.25999999998</v>
      </c>
      <c r="H13" s="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4" t="s">
        <v>48</v>
      </c>
      <c r="B14" s="11"/>
      <c r="C14" s="11"/>
      <c r="D14" s="11"/>
      <c r="E14" s="11"/>
      <c r="F14" s="11"/>
      <c r="G14" s="11"/>
      <c r="H14" s="7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6" t="s">
        <v>42</v>
      </c>
      <c r="B15" s="14">
        <v>0</v>
      </c>
      <c r="C15" s="14">
        <v>292</v>
      </c>
      <c r="D15" s="14">
        <v>292</v>
      </c>
      <c r="E15" s="14">
        <v>292</v>
      </c>
      <c r="F15" s="14">
        <v>292</v>
      </c>
      <c r="G15" s="14">
        <v>292</v>
      </c>
      <c r="H15" s="1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6" t="s">
        <v>43</v>
      </c>
      <c r="B16" s="14">
        <v>0</v>
      </c>
      <c r="C16" s="14">
        <v>0</v>
      </c>
      <c r="D16" s="14">
        <f>ROUNDDOWN((C15+C16)*$I$10,0)</f>
        <v>146</v>
      </c>
      <c r="E16" s="14">
        <f>ROUNDDOWN((D15+D16)*$I$10,0)</f>
        <v>219</v>
      </c>
      <c r="F16" s="14">
        <f>ROUNDDOWN((E15+E16)*$I$10,0)</f>
        <v>255</v>
      </c>
      <c r="G16" s="14">
        <f>ROUNDDOWN((F15+F16)*$I$10,0)</f>
        <v>273</v>
      </c>
      <c r="H16" s="1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6" t="s">
        <v>49</v>
      </c>
      <c r="B17" s="14">
        <v>0</v>
      </c>
      <c r="C17" s="14">
        <f>C15+C16</f>
        <v>292</v>
      </c>
      <c r="D17" s="14">
        <f t="shared" ref="D17:G17" si="3">D15+D16</f>
        <v>438</v>
      </c>
      <c r="E17" s="14">
        <f t="shared" si="3"/>
        <v>511</v>
      </c>
      <c r="F17" s="14">
        <f t="shared" si="3"/>
        <v>547</v>
      </c>
      <c r="G17" s="14">
        <f t="shared" si="3"/>
        <v>565</v>
      </c>
      <c r="H17" s="1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5">
      <c r="A18" s="6" t="s">
        <v>50</v>
      </c>
      <c r="B18" s="7">
        <v>0</v>
      </c>
      <c r="C18" s="7">
        <f>C17*C7</f>
        <v>8757.08</v>
      </c>
      <c r="D18" s="7">
        <f t="shared" ref="D18:F18" si="4">D17*D7</f>
        <v>13135.619999999999</v>
      </c>
      <c r="E18" s="7">
        <f t="shared" si="4"/>
        <v>15324.89</v>
      </c>
      <c r="F18" s="7">
        <f t="shared" si="4"/>
        <v>16404.53</v>
      </c>
      <c r="G18" s="7">
        <f>G17*G7</f>
        <v>16944.349999999999</v>
      </c>
      <c r="H18" s="7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6" t="s">
        <v>78</v>
      </c>
      <c r="B19" s="14">
        <f>B12+B17</f>
        <v>0</v>
      </c>
      <c r="C19" s="14">
        <f t="shared" ref="C19:G19" si="5">C12+C17</f>
        <v>3369</v>
      </c>
      <c r="D19" s="14">
        <f t="shared" si="5"/>
        <v>5113</v>
      </c>
      <c r="E19" s="14">
        <f t="shared" si="5"/>
        <v>5985</v>
      </c>
      <c r="F19" s="14">
        <f t="shared" si="5"/>
        <v>6421</v>
      </c>
      <c r="G19" s="14">
        <f t="shared" si="5"/>
        <v>6639</v>
      </c>
      <c r="H19" s="7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5">
      <c r="A20" s="6"/>
      <c r="B20" s="7"/>
      <c r="C20" s="7"/>
      <c r="D20" s="7"/>
      <c r="E20" s="7"/>
      <c r="F20" s="7"/>
      <c r="G20" s="7"/>
      <c r="H20" s="7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thickBot="1" x14ac:dyDescent="0.3">
      <c r="A21" s="33" t="s">
        <v>57</v>
      </c>
      <c r="B21" s="34">
        <f>B5+B13+B18</f>
        <v>6000</v>
      </c>
      <c r="C21" s="34">
        <f t="shared" ref="C21:G21" si="6">C5+C13+C18</f>
        <v>91805.31</v>
      </c>
      <c r="D21" s="34">
        <f t="shared" si="6"/>
        <v>139313.87</v>
      </c>
      <c r="E21" s="34">
        <f t="shared" si="6"/>
        <v>163068.14999999997</v>
      </c>
      <c r="F21" s="34">
        <f t="shared" si="6"/>
        <v>174943.78999999998</v>
      </c>
      <c r="G21" s="34">
        <f t="shared" si="6"/>
        <v>180881.61</v>
      </c>
      <c r="H21" s="7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thickBot="1" x14ac:dyDescent="0.3">
      <c r="A22" s="27" t="s">
        <v>65</v>
      </c>
      <c r="B22" s="35"/>
      <c r="C22" s="35"/>
      <c r="D22" s="35"/>
      <c r="E22" s="35"/>
      <c r="F22" s="35"/>
      <c r="G22" s="35"/>
      <c r="H22" s="7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4" t="s">
        <v>54</v>
      </c>
      <c r="B23" s="11"/>
      <c r="C23" s="11"/>
      <c r="D23" s="11"/>
      <c r="E23" s="11"/>
      <c r="F23" s="11"/>
      <c r="G23" s="11"/>
      <c r="H23" s="7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17" t="s">
        <v>18</v>
      </c>
      <c r="B24" s="7">
        <f>2300</f>
        <v>2300</v>
      </c>
      <c r="C24" s="7">
        <f t="shared" ref="C24:G24" si="7">100*52</f>
        <v>5200</v>
      </c>
      <c r="D24" s="7">
        <f t="shared" si="7"/>
        <v>5200</v>
      </c>
      <c r="E24" s="7">
        <f t="shared" si="7"/>
        <v>5200</v>
      </c>
      <c r="F24" s="7">
        <f t="shared" si="7"/>
        <v>5200</v>
      </c>
      <c r="G24" s="7">
        <f t="shared" si="7"/>
        <v>5200</v>
      </c>
      <c r="H24" s="7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17" t="s">
        <v>10</v>
      </c>
      <c r="B25" s="7">
        <f>1150</f>
        <v>1150</v>
      </c>
      <c r="C25" s="7">
        <f t="shared" ref="C25:G25" si="8">50*52</f>
        <v>2600</v>
      </c>
      <c r="D25" s="7">
        <f t="shared" si="8"/>
        <v>2600</v>
      </c>
      <c r="E25" s="7">
        <f t="shared" si="8"/>
        <v>2600</v>
      </c>
      <c r="F25" s="7">
        <f t="shared" si="8"/>
        <v>2600</v>
      </c>
      <c r="G25" s="7">
        <f t="shared" si="8"/>
        <v>2600</v>
      </c>
      <c r="H25" s="7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 x14ac:dyDescent="0.25">
      <c r="A26" s="17" t="s">
        <v>9</v>
      </c>
      <c r="B26" s="7">
        <f>14551.89</f>
        <v>14551.89</v>
      </c>
      <c r="C26" s="7">
        <f>(1400*23.5)/2</f>
        <v>16450</v>
      </c>
      <c r="D26" s="7">
        <f t="shared" ref="D26:G26" si="9">(1400*23.5)/2</f>
        <v>16450</v>
      </c>
      <c r="E26" s="7">
        <f t="shared" si="9"/>
        <v>16450</v>
      </c>
      <c r="F26" s="7">
        <f t="shared" si="9"/>
        <v>16450</v>
      </c>
      <c r="G26" s="7">
        <f t="shared" si="9"/>
        <v>16450</v>
      </c>
      <c r="H26" s="7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5">
      <c r="A27" s="6" t="s">
        <v>27</v>
      </c>
      <c r="B27" s="7">
        <v>0</v>
      </c>
      <c r="C27" s="7">
        <v>232.6</v>
      </c>
      <c r="D27" s="7">
        <v>232.6</v>
      </c>
      <c r="E27" s="7">
        <v>232.6</v>
      </c>
      <c r="F27" s="7">
        <v>232.6</v>
      </c>
      <c r="G27" s="7">
        <v>232.6</v>
      </c>
      <c r="H27" s="7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thickBot="1" x14ac:dyDescent="0.3">
      <c r="A28" s="9" t="s">
        <v>26</v>
      </c>
      <c r="B28" s="10">
        <v>0</v>
      </c>
      <c r="C28" s="10">
        <f>((2645*6)*0.95*1.2)+(10*365)</f>
        <v>21741.8</v>
      </c>
      <c r="D28" s="10">
        <f t="shared" ref="D28:G28" si="10">((2645*6)*0.95*1.2)+(10*365)</f>
        <v>21741.8</v>
      </c>
      <c r="E28" s="10">
        <f t="shared" si="10"/>
        <v>21741.8</v>
      </c>
      <c r="F28" s="10">
        <f t="shared" si="10"/>
        <v>21741.8</v>
      </c>
      <c r="G28" s="10">
        <f t="shared" si="10"/>
        <v>21741.8</v>
      </c>
      <c r="H28" s="7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" customHeight="1" x14ac:dyDescent="0.25">
      <c r="A29" s="39" t="s">
        <v>55</v>
      </c>
      <c r="B29" s="38"/>
      <c r="C29" s="38"/>
      <c r="D29" s="38"/>
      <c r="E29" s="38"/>
      <c r="F29" s="38"/>
      <c r="G29" s="38"/>
    </row>
    <row r="30" spans="1:26" x14ac:dyDescent="0.25">
      <c r="A30" s="17" t="s">
        <v>20</v>
      </c>
      <c r="B30" s="7">
        <v>24368.87</v>
      </c>
      <c r="C30" s="7">
        <f>$B$30 * 2</f>
        <v>48737.74</v>
      </c>
      <c r="D30" s="7">
        <f>$B$30 * 2</f>
        <v>48737.74</v>
      </c>
      <c r="E30" s="7">
        <f>$B$30 * 2</f>
        <v>48737.74</v>
      </c>
      <c r="F30" s="7">
        <f>$B$30 * 2</f>
        <v>48737.74</v>
      </c>
      <c r="G30" s="7">
        <f>$B$30 * 2</f>
        <v>48737.74</v>
      </c>
      <c r="H30" s="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17" t="s">
        <v>24</v>
      </c>
      <c r="B31" s="7">
        <v>6000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thickBot="1" x14ac:dyDescent="0.3">
      <c r="A32" s="9" t="s">
        <v>28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7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39" t="s">
        <v>56</v>
      </c>
      <c r="B33" s="38"/>
      <c r="C33" s="38"/>
      <c r="D33" s="38"/>
      <c r="E33" s="38"/>
      <c r="F33" s="38"/>
      <c r="G33" s="38"/>
    </row>
    <row r="34" spans="1:26" x14ac:dyDescent="0.25">
      <c r="A34" s="17" t="s">
        <v>25</v>
      </c>
      <c r="B34" s="7">
        <v>5265</v>
      </c>
      <c r="C34" s="7">
        <f>B80*0.1686</f>
        <v>10959</v>
      </c>
      <c r="D34" s="7">
        <f>C80*0.1686</f>
        <v>8430</v>
      </c>
      <c r="E34" s="7">
        <f t="shared" ref="E34:G34" si="11">D80*0.1686</f>
        <v>4215</v>
      </c>
      <c r="F34" s="7">
        <f t="shared" si="11"/>
        <v>0</v>
      </c>
      <c r="G34" s="7">
        <f t="shared" si="11"/>
        <v>0</v>
      </c>
      <c r="H34" s="7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40"/>
    </row>
    <row r="36" spans="1:26" ht="15" customHeight="1" thickBot="1" x14ac:dyDescent="0.3">
      <c r="A36" s="41" t="s">
        <v>67</v>
      </c>
      <c r="B36" s="55">
        <f t="shared" ref="B36:G36" si="12">SUM(B24:B34)</f>
        <v>53635.759999999995</v>
      </c>
      <c r="C36" s="55">
        <f t="shared" si="12"/>
        <v>105921.13999999998</v>
      </c>
      <c r="D36" s="55">
        <f t="shared" si="12"/>
        <v>103392.13999999998</v>
      </c>
      <c r="E36" s="55">
        <f t="shared" si="12"/>
        <v>99177.139999999985</v>
      </c>
      <c r="F36" s="55">
        <f t="shared" si="12"/>
        <v>94962.139999999985</v>
      </c>
      <c r="G36" s="55">
        <f t="shared" si="12"/>
        <v>94962.139999999985</v>
      </c>
    </row>
    <row r="37" spans="1:26" ht="15.75" thickBot="1" x14ac:dyDescent="0.3">
      <c r="A37" s="27" t="s">
        <v>68</v>
      </c>
      <c r="B37" s="35"/>
      <c r="C37" s="35"/>
      <c r="D37" s="35"/>
      <c r="E37" s="35"/>
      <c r="F37" s="35"/>
      <c r="G37" s="35"/>
      <c r="H37" s="7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4" t="s">
        <v>68</v>
      </c>
      <c r="B38" s="11"/>
      <c r="C38" s="11"/>
      <c r="D38" s="11"/>
      <c r="E38" s="11"/>
      <c r="F38" s="11"/>
      <c r="G38" s="11"/>
      <c r="H38" s="7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15" t="s">
        <v>29</v>
      </c>
      <c r="B39" s="16">
        <v>0</v>
      </c>
      <c r="C39" s="16">
        <f>B50</f>
        <v>17364.240000000005</v>
      </c>
      <c r="D39" s="16">
        <f>C50</f>
        <v>3248.410000000018</v>
      </c>
      <c r="E39" s="16">
        <f>D50</f>
        <v>16985.794000000027</v>
      </c>
      <c r="F39" s="16">
        <f>E50</f>
        <v>43098.602000000006</v>
      </c>
      <c r="G39" s="16">
        <f>F50</f>
        <v>82083.922000000006</v>
      </c>
      <c r="H39" s="7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5">
      <c r="A40" s="36"/>
      <c r="B40" s="37"/>
      <c r="C40" s="37"/>
      <c r="D40" s="37"/>
      <c r="E40" s="37"/>
      <c r="F40" s="37"/>
      <c r="G40" s="37"/>
      <c r="H40" s="7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5">
      <c r="A41" s="36" t="s">
        <v>69</v>
      </c>
      <c r="B41" s="37">
        <v>65000</v>
      </c>
      <c r="C41" s="37">
        <v>0</v>
      </c>
      <c r="D41" s="37">
        <v>0</v>
      </c>
      <c r="E41" s="37">
        <v>0</v>
      </c>
      <c r="F41" s="37">
        <v>0</v>
      </c>
      <c r="G41" s="37">
        <v>0</v>
      </c>
      <c r="H41" s="7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6" t="s">
        <v>70</v>
      </c>
      <c r="B42" s="37">
        <v>0</v>
      </c>
      <c r="C42" s="37">
        <v>0</v>
      </c>
      <c r="D42" s="37">
        <v>15000</v>
      </c>
      <c r="E42" s="37">
        <v>25000</v>
      </c>
      <c r="F42" s="37">
        <v>25000</v>
      </c>
      <c r="G42" s="37">
        <v>0</v>
      </c>
      <c r="H42" s="7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6"/>
      <c r="B43" s="37"/>
      <c r="C43" s="37"/>
      <c r="D43" s="37"/>
      <c r="E43" s="37"/>
      <c r="F43" s="37"/>
      <c r="G43" s="37"/>
      <c r="H43" s="7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6" t="s">
        <v>30</v>
      </c>
      <c r="B44" s="7">
        <f t="shared" ref="B44:G44" si="13">B21+B41</f>
        <v>71000</v>
      </c>
      <c r="C44" s="7">
        <f t="shared" si="13"/>
        <v>91805.31</v>
      </c>
      <c r="D44" s="7">
        <f t="shared" si="13"/>
        <v>139313.87</v>
      </c>
      <c r="E44" s="7">
        <f t="shared" si="13"/>
        <v>163068.14999999997</v>
      </c>
      <c r="F44" s="7">
        <f t="shared" si="13"/>
        <v>174943.78999999998</v>
      </c>
      <c r="G44" s="7">
        <f t="shared" si="13"/>
        <v>180881.61</v>
      </c>
      <c r="H44" s="7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6" t="s">
        <v>31</v>
      </c>
      <c r="B45" s="7">
        <f>B36+B42</f>
        <v>53635.759999999995</v>
      </c>
      <c r="C45" s="7">
        <f t="shared" ref="C45:G45" si="14">C36+C42</f>
        <v>105921.13999999998</v>
      </c>
      <c r="D45" s="7">
        <f t="shared" si="14"/>
        <v>118392.13999999998</v>
      </c>
      <c r="E45" s="7">
        <f t="shared" si="14"/>
        <v>124177.13999999998</v>
      </c>
      <c r="F45" s="7">
        <f t="shared" si="14"/>
        <v>119962.13999999998</v>
      </c>
      <c r="G45" s="7">
        <f t="shared" si="14"/>
        <v>94962.139999999985</v>
      </c>
      <c r="H45" s="7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6"/>
      <c r="B46" s="7"/>
      <c r="C46" s="7"/>
      <c r="D46" s="7"/>
      <c r="E46" s="7"/>
      <c r="F46" s="7"/>
      <c r="G46" s="7"/>
      <c r="H46" s="7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15" t="s">
        <v>58</v>
      </c>
      <c r="B47" s="16">
        <f t="shared" ref="B47:G47" si="15">B44-B45</f>
        <v>17364.240000000005</v>
      </c>
      <c r="C47" s="16">
        <f t="shared" si="15"/>
        <v>-14115.829999999987</v>
      </c>
      <c r="D47" s="16">
        <f t="shared" si="15"/>
        <v>20921.73000000001</v>
      </c>
      <c r="E47" s="16">
        <f t="shared" si="15"/>
        <v>38891.00999999998</v>
      </c>
      <c r="F47" s="16">
        <f t="shared" si="15"/>
        <v>54981.649999999994</v>
      </c>
      <c r="G47" s="16">
        <f t="shared" si="15"/>
        <v>85919.47</v>
      </c>
      <c r="H47" s="7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6"/>
      <c r="B48" s="7"/>
      <c r="C48" s="7"/>
      <c r="D48" s="7"/>
      <c r="E48" s="7"/>
      <c r="F48" s="7"/>
      <c r="G48" s="7"/>
      <c r="H48" s="7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6" t="s">
        <v>37</v>
      </c>
      <c r="B49" s="7">
        <f t="shared" ref="B49:G49" si="16">B62</f>
        <v>0</v>
      </c>
      <c r="C49" s="7">
        <f t="shared" si="16"/>
        <v>0</v>
      </c>
      <c r="D49" s="7">
        <f t="shared" si="16"/>
        <v>7184.3460000000023</v>
      </c>
      <c r="E49" s="7">
        <f t="shared" si="16"/>
        <v>12778.201999999997</v>
      </c>
      <c r="F49" s="7">
        <f t="shared" si="16"/>
        <v>15996.33</v>
      </c>
      <c r="G49" s="7">
        <f t="shared" si="16"/>
        <v>17183.894</v>
      </c>
      <c r="H49" s="7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15" t="s">
        <v>32</v>
      </c>
      <c r="B50" s="16">
        <f>B39+B47-B49</f>
        <v>17364.240000000005</v>
      </c>
      <c r="C50" s="16">
        <f>C47+C39-C49</f>
        <v>3248.410000000018</v>
      </c>
      <c r="D50" s="16">
        <f>D47+D39-D49</f>
        <v>16985.794000000027</v>
      </c>
      <c r="E50" s="16">
        <f>E47+E39-E49</f>
        <v>43098.602000000006</v>
      </c>
      <c r="F50" s="16">
        <f>F47+F39-F49</f>
        <v>82083.922000000006</v>
      </c>
      <c r="G50" s="16">
        <f>G47+G39-G49</f>
        <v>150819.49799999999</v>
      </c>
      <c r="H50" s="7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49"/>
      <c r="B51" s="16"/>
      <c r="C51" s="16"/>
      <c r="D51" s="16"/>
      <c r="E51" s="16"/>
      <c r="F51" s="16"/>
      <c r="G51" s="16"/>
      <c r="H51" s="7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thickBot="1" x14ac:dyDescent="0.3">
      <c r="A52" s="44"/>
      <c r="B52" s="16"/>
      <c r="C52" s="16"/>
      <c r="D52" s="16"/>
      <c r="E52" s="16"/>
      <c r="F52" s="16"/>
      <c r="G52" s="16"/>
      <c r="H52" s="7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0.25" customHeight="1" thickTop="1" thickBot="1" x14ac:dyDescent="0.4">
      <c r="A53" s="29" t="s">
        <v>39</v>
      </c>
      <c r="B53" s="58"/>
      <c r="C53" s="58"/>
      <c r="D53" s="58"/>
      <c r="E53" s="58"/>
      <c r="F53" s="58"/>
      <c r="G53" s="58"/>
      <c r="H53" s="7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46" t="s">
        <v>33</v>
      </c>
      <c r="B54" s="47"/>
      <c r="C54" s="48"/>
      <c r="D54" s="48"/>
      <c r="E54" s="48"/>
      <c r="F54" s="48"/>
      <c r="G54" s="48"/>
      <c r="H54" s="7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5">
      <c r="A55" s="6" t="s">
        <v>64</v>
      </c>
      <c r="B55" s="7">
        <f>B21</f>
        <v>6000</v>
      </c>
      <c r="C55" s="7">
        <f t="shared" ref="C55:G55" si="17">C21</f>
        <v>91805.31</v>
      </c>
      <c r="D55" s="7">
        <f t="shared" si="17"/>
        <v>139313.87</v>
      </c>
      <c r="E55" s="7">
        <f t="shared" si="17"/>
        <v>163068.14999999997</v>
      </c>
      <c r="F55" s="7">
        <f t="shared" si="17"/>
        <v>174943.78999999998</v>
      </c>
      <c r="G55" s="7">
        <f t="shared" si="17"/>
        <v>180881.61</v>
      </c>
      <c r="H55" s="7"/>
      <c r="I55" s="62" t="s">
        <v>72</v>
      </c>
      <c r="J55" s="19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5">
      <c r="A56" s="6" t="s">
        <v>63</v>
      </c>
      <c r="B56" s="7">
        <f>B36</f>
        <v>53635.759999999995</v>
      </c>
      <c r="C56" s="7">
        <f t="shared" ref="C56:G56" si="18">C36</f>
        <v>105921.13999999998</v>
      </c>
      <c r="D56" s="7">
        <f t="shared" si="18"/>
        <v>103392.13999999998</v>
      </c>
      <c r="E56" s="7">
        <f t="shared" si="18"/>
        <v>99177.139999999985</v>
      </c>
      <c r="F56" s="7">
        <f t="shared" si="18"/>
        <v>94962.139999999985</v>
      </c>
      <c r="G56" s="7">
        <f t="shared" si="18"/>
        <v>94962.139999999985</v>
      </c>
      <c r="H56" s="7"/>
      <c r="I56" s="61" t="s">
        <v>73</v>
      </c>
      <c r="J56" s="61">
        <v>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" customHeight="1" x14ac:dyDescent="0.25">
      <c r="A57" s="40"/>
      <c r="I57" s="61" t="s">
        <v>74</v>
      </c>
      <c r="J57" s="63">
        <f>C36</f>
        <v>105921.13999999998</v>
      </c>
      <c r="K57" s="63"/>
    </row>
    <row r="58" spans="1:26" s="43" customFormat="1" x14ac:dyDescent="0.25">
      <c r="A58" s="15" t="s">
        <v>59</v>
      </c>
      <c r="B58" s="16">
        <f t="shared" ref="B58:G58" si="19">B55-B56+B34</f>
        <v>-42370.759999999995</v>
      </c>
      <c r="C58" s="16">
        <f t="shared" si="19"/>
        <v>-3156.8299999999872</v>
      </c>
      <c r="D58" s="16">
        <f t="shared" si="19"/>
        <v>44351.73000000001</v>
      </c>
      <c r="E58" s="16">
        <f t="shared" si="19"/>
        <v>68106.00999999998</v>
      </c>
      <c r="F58" s="16">
        <f t="shared" si="19"/>
        <v>79981.649999999994</v>
      </c>
      <c r="G58" s="16">
        <f t="shared" si="19"/>
        <v>85919.47</v>
      </c>
      <c r="H58" s="16"/>
      <c r="I58" s="61" t="s">
        <v>75</v>
      </c>
      <c r="J58" s="18">
        <f>C7</f>
        <v>29.99</v>
      </c>
      <c r="K58" s="18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x14ac:dyDescent="0.25">
      <c r="A59" s="17" t="s">
        <v>25</v>
      </c>
      <c r="B59" s="7">
        <f>B34</f>
        <v>5265</v>
      </c>
      <c r="C59" s="7">
        <f t="shared" ref="C59:G59" si="20">C34</f>
        <v>10959</v>
      </c>
      <c r="D59" s="7">
        <f t="shared" si="20"/>
        <v>8430</v>
      </c>
      <c r="E59" s="7">
        <f t="shared" si="20"/>
        <v>4215</v>
      </c>
      <c r="F59" s="7">
        <f t="shared" si="20"/>
        <v>0</v>
      </c>
      <c r="G59" s="7">
        <f t="shared" si="20"/>
        <v>0</v>
      </c>
      <c r="H59" s="7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s="43" customFormat="1" x14ac:dyDescent="0.25">
      <c r="A60" s="15" t="s">
        <v>60</v>
      </c>
      <c r="B60" s="16">
        <f t="shared" ref="B60:G60" si="21">B58-B34</f>
        <v>-47635.759999999995</v>
      </c>
      <c r="C60" s="16">
        <f t="shared" si="21"/>
        <v>-14115.829999999987</v>
      </c>
      <c r="D60" s="16">
        <f t="shared" si="21"/>
        <v>35921.73000000001</v>
      </c>
      <c r="E60" s="16">
        <f t="shared" si="21"/>
        <v>63891.00999999998</v>
      </c>
      <c r="F60" s="16">
        <f t="shared" si="21"/>
        <v>79981.649999999994</v>
      </c>
      <c r="G60" s="16">
        <f t="shared" si="21"/>
        <v>85919.47</v>
      </c>
      <c r="H60" s="16"/>
      <c r="I60" s="61" t="s">
        <v>76</v>
      </c>
      <c r="J60" s="64">
        <f>J57/(J58+0)</f>
        <v>3531.8819606535508</v>
      </c>
      <c r="K60" s="64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s="43" customFormat="1" x14ac:dyDescent="0.25">
      <c r="A61" s="15"/>
      <c r="B61" s="16"/>
      <c r="C61" s="16"/>
      <c r="D61" s="16"/>
      <c r="E61" s="16"/>
      <c r="F61" s="16"/>
      <c r="G61" s="16"/>
      <c r="H61" s="16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x14ac:dyDescent="0.25">
      <c r="A62" s="22" t="s">
        <v>8</v>
      </c>
      <c r="B62" s="7">
        <f>IF((B60)&gt;0,(B60)*0.2,0)</f>
        <v>0</v>
      </c>
      <c r="C62" s="7">
        <f t="shared" ref="C62:G62" si="22">IF((C60)&gt;0,(C60)*0.2,0)</f>
        <v>0</v>
      </c>
      <c r="D62" s="7">
        <f t="shared" si="22"/>
        <v>7184.3460000000023</v>
      </c>
      <c r="E62" s="7">
        <f t="shared" si="22"/>
        <v>12778.201999999997</v>
      </c>
      <c r="F62" s="7">
        <f t="shared" si="22"/>
        <v>15996.33</v>
      </c>
      <c r="G62" s="7">
        <f t="shared" si="22"/>
        <v>17183.894</v>
      </c>
      <c r="H62" s="7"/>
      <c r="I62" s="61" t="s">
        <v>77</v>
      </c>
      <c r="J62" s="3">
        <f>C36/(C12+C17)</f>
        <v>31.439934698723654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5">
      <c r="A63" s="22" t="s">
        <v>34</v>
      </c>
      <c r="B63" s="7">
        <f>B60-B62</f>
        <v>-47635.759999999995</v>
      </c>
      <c r="C63" s="7">
        <f>C60-C62</f>
        <v>-14115.829999999987</v>
      </c>
      <c r="D63" s="7">
        <f>D60-D62</f>
        <v>28737.384000000009</v>
      </c>
      <c r="E63" s="7">
        <f t="shared" ref="E63:F63" si="23">E60-E62</f>
        <v>51112.807999999983</v>
      </c>
      <c r="F63" s="7">
        <f t="shared" si="23"/>
        <v>63985.319999999992</v>
      </c>
      <c r="G63" s="7">
        <f>G60-G62</f>
        <v>68735.576000000001</v>
      </c>
      <c r="H63" s="7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22"/>
      <c r="B64" s="7"/>
      <c r="C64" s="7"/>
      <c r="D64" s="7"/>
      <c r="E64" s="7"/>
      <c r="F64" s="7"/>
      <c r="G64" s="7"/>
      <c r="H64" s="7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23" t="s">
        <v>35</v>
      </c>
      <c r="B65" s="16">
        <f>B63</f>
        <v>-47635.759999999995</v>
      </c>
      <c r="C65" s="16">
        <f>C63</f>
        <v>-14115.829999999987</v>
      </c>
      <c r="D65" s="16">
        <f>D63</f>
        <v>28737.384000000009</v>
      </c>
      <c r="E65" s="16">
        <f t="shared" ref="E65:F65" si="24">E63</f>
        <v>51112.807999999983</v>
      </c>
      <c r="F65" s="16">
        <f t="shared" si="24"/>
        <v>63985.319999999992</v>
      </c>
      <c r="G65" s="16">
        <f>G63</f>
        <v>68735.576000000001</v>
      </c>
      <c r="H65" s="7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50"/>
      <c r="B66" s="16"/>
      <c r="C66" s="16"/>
      <c r="D66" s="16"/>
      <c r="E66" s="16"/>
      <c r="F66" s="16"/>
      <c r="G66" s="16"/>
      <c r="H66" s="7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thickBot="1" x14ac:dyDescent="0.3">
      <c r="A67" s="45"/>
      <c r="B67" s="20"/>
      <c r="C67" s="20"/>
      <c r="D67" s="20"/>
      <c r="E67" s="20"/>
      <c r="F67" s="20"/>
      <c r="G67" s="20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22.5" thickTop="1" thickBot="1" x14ac:dyDescent="0.4">
      <c r="A68" s="56" t="s">
        <v>61</v>
      </c>
      <c r="B68" s="58"/>
      <c r="C68" s="58"/>
      <c r="D68" s="58"/>
      <c r="E68" s="58"/>
      <c r="F68" s="58"/>
      <c r="G68" s="58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5">
      <c r="A69" s="30" t="s">
        <v>11</v>
      </c>
      <c r="B69" s="31"/>
      <c r="C69" s="31"/>
      <c r="D69" s="31"/>
      <c r="E69" s="31"/>
      <c r="F69" s="31"/>
      <c r="G69" s="3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6" t="s">
        <v>36</v>
      </c>
      <c r="B70" s="18">
        <v>0</v>
      </c>
      <c r="C70" s="18">
        <v>0</v>
      </c>
      <c r="D70" s="18">
        <v>0</v>
      </c>
      <c r="E70" s="18">
        <v>0</v>
      </c>
      <c r="F70" s="18">
        <v>0</v>
      </c>
      <c r="G70" s="18">
        <v>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6" t="s">
        <v>12</v>
      </c>
      <c r="B71" s="18">
        <v>0</v>
      </c>
      <c r="C71" s="18">
        <v>0</v>
      </c>
      <c r="D71" s="18">
        <v>0</v>
      </c>
      <c r="E71" s="18">
        <v>0</v>
      </c>
      <c r="F71" s="18">
        <v>0</v>
      </c>
      <c r="G71" s="18">
        <v>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thickBot="1" x14ac:dyDescent="0.3">
      <c r="A72" s="33" t="s">
        <v>13</v>
      </c>
      <c r="B72" s="51">
        <v>0</v>
      </c>
      <c r="C72" s="51">
        <v>0</v>
      </c>
      <c r="D72" s="51">
        <v>0</v>
      </c>
      <c r="E72" s="51">
        <v>0</v>
      </c>
      <c r="F72" s="51">
        <v>0</v>
      </c>
      <c r="G72" s="51">
        <v>0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0" t="s">
        <v>14</v>
      </c>
      <c r="B73" s="31"/>
      <c r="C73" s="31"/>
      <c r="D73" s="31"/>
      <c r="E73" s="31"/>
      <c r="F73" s="31"/>
      <c r="G73" s="3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6" t="s">
        <v>62</v>
      </c>
      <c r="B74" s="18">
        <f t="shared" ref="B74:G74" si="25">B50</f>
        <v>17364.240000000005</v>
      </c>
      <c r="C74" s="18">
        <f t="shared" si="25"/>
        <v>3248.410000000018</v>
      </c>
      <c r="D74" s="18">
        <f t="shared" si="25"/>
        <v>16985.794000000027</v>
      </c>
      <c r="E74" s="18">
        <f t="shared" si="25"/>
        <v>43098.602000000006</v>
      </c>
      <c r="F74" s="18">
        <f t="shared" si="25"/>
        <v>82083.922000000006</v>
      </c>
      <c r="G74" s="18">
        <f t="shared" si="25"/>
        <v>150819.49799999999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thickBot="1" x14ac:dyDescent="0.3">
      <c r="A75" s="9" t="s">
        <v>15</v>
      </c>
      <c r="B75" s="24">
        <v>0</v>
      </c>
      <c r="C75" s="24">
        <v>0</v>
      </c>
      <c r="D75" s="24">
        <v>0</v>
      </c>
      <c r="E75" s="24">
        <v>0</v>
      </c>
      <c r="F75" s="24">
        <v>0</v>
      </c>
      <c r="G75" s="24">
        <v>0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0" t="s">
        <v>16</v>
      </c>
      <c r="B76" s="31"/>
      <c r="C76" s="31"/>
      <c r="D76" s="31"/>
      <c r="E76" s="31"/>
      <c r="F76" s="31"/>
      <c r="G76" s="3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6" t="s">
        <v>17</v>
      </c>
      <c r="B77" s="18">
        <v>0</v>
      </c>
      <c r="C77" s="18">
        <f>D42</f>
        <v>15000</v>
      </c>
      <c r="D77" s="18">
        <f t="shared" ref="D77:G77" si="26">E42</f>
        <v>25000</v>
      </c>
      <c r="E77" s="18">
        <f t="shared" si="26"/>
        <v>25000</v>
      </c>
      <c r="F77" s="18">
        <f t="shared" si="26"/>
        <v>0</v>
      </c>
      <c r="G77" s="18">
        <f t="shared" si="26"/>
        <v>0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thickBot="1" x14ac:dyDescent="0.3">
      <c r="A78" s="33" t="s">
        <v>19</v>
      </c>
      <c r="B78" s="51">
        <f>SUM(B74:B75)-B77</f>
        <v>17364.240000000005</v>
      </c>
      <c r="C78" s="51">
        <f>SUM(C74:C75)-C77</f>
        <v>-11751.589999999982</v>
      </c>
      <c r="D78" s="51">
        <f>SUM(D74:D75)-D77</f>
        <v>-8014.2059999999728</v>
      </c>
      <c r="E78" s="51">
        <f t="shared" ref="E78:G78" si="27">SUM(E74:E75)-E77</f>
        <v>18098.602000000006</v>
      </c>
      <c r="F78" s="51">
        <f t="shared" si="27"/>
        <v>82083.922000000006</v>
      </c>
      <c r="G78" s="51">
        <f t="shared" si="27"/>
        <v>150819.49799999999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5">
      <c r="A79" s="30" t="s">
        <v>21</v>
      </c>
      <c r="B79" s="31"/>
      <c r="C79" s="31"/>
      <c r="D79" s="31"/>
      <c r="E79" s="31"/>
      <c r="F79" s="31"/>
      <c r="G79" s="3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thickBot="1" x14ac:dyDescent="0.3">
      <c r="A80" s="9" t="s">
        <v>22</v>
      </c>
      <c r="B80" s="24">
        <f>B41</f>
        <v>65000</v>
      </c>
      <c r="C80" s="24">
        <f>B80-C77</f>
        <v>50000</v>
      </c>
      <c r="D80" s="24">
        <f>C80-D77</f>
        <v>25000</v>
      </c>
      <c r="E80" s="24">
        <f t="shared" ref="E80:G80" si="28">D80-E77</f>
        <v>0</v>
      </c>
      <c r="F80" s="24">
        <f t="shared" si="28"/>
        <v>0</v>
      </c>
      <c r="G80" s="24">
        <f t="shared" si="28"/>
        <v>0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5">
      <c r="A81" s="30" t="s">
        <v>23</v>
      </c>
      <c r="B81" s="31"/>
      <c r="C81" s="31"/>
      <c r="D81" s="31"/>
      <c r="E81" s="31"/>
      <c r="F81" s="31"/>
      <c r="G81" s="3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52" t="s">
        <v>23</v>
      </c>
      <c r="B82" s="32">
        <f t="shared" ref="B82:G82" si="29">(B72+B78)-B80</f>
        <v>-47635.759999999995</v>
      </c>
      <c r="C82" s="32">
        <f t="shared" si="29"/>
        <v>-61751.589999999982</v>
      </c>
      <c r="D82" s="32">
        <f t="shared" si="29"/>
        <v>-33014.205999999976</v>
      </c>
      <c r="E82" s="32">
        <f t="shared" si="29"/>
        <v>18098.602000000006</v>
      </c>
      <c r="F82" s="32">
        <f t="shared" si="29"/>
        <v>82083.922000000006</v>
      </c>
      <c r="G82" s="32">
        <f t="shared" si="29"/>
        <v>150819.49799999999</v>
      </c>
      <c r="H82" s="7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25"/>
      <c r="B83" s="19"/>
      <c r="C83" s="19"/>
      <c r="D83" s="19"/>
      <c r="E83" s="19"/>
      <c r="F83" s="19"/>
      <c r="G83" s="19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5">
      <c r="A84" s="25"/>
      <c r="B84" s="19"/>
      <c r="C84" s="19"/>
      <c r="D84" s="19"/>
      <c r="E84" s="19"/>
      <c r="F84" s="19"/>
      <c r="G84" s="19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25"/>
      <c r="B85" s="19"/>
      <c r="C85" s="19"/>
      <c r="D85" s="19"/>
      <c r="E85" s="19"/>
      <c r="F85" s="19"/>
      <c r="G85" s="19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25"/>
      <c r="B86" s="19"/>
      <c r="C86" s="19"/>
      <c r="D86" s="19"/>
      <c r="E86" s="19"/>
      <c r="F86" s="19"/>
      <c r="G86" s="19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C87" s="19"/>
      <c r="D87" s="19"/>
      <c r="E87" s="19"/>
      <c r="F87" s="19"/>
      <c r="G87" s="19"/>
      <c r="H87" s="21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C88" s="25"/>
      <c r="D88" s="25"/>
      <c r="E88" s="25"/>
      <c r="F88" s="25"/>
      <c r="G88" s="2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C89" s="26"/>
      <c r="D89" s="26"/>
      <c r="E89" s="26"/>
      <c r="F89" s="26"/>
      <c r="G89" s="2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C91" s="7"/>
      <c r="D91" s="7"/>
      <c r="E91" s="7"/>
      <c r="F91" s="7"/>
      <c r="G91" s="7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6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/>
      <c r="B93" s="53"/>
      <c r="C93" s="53"/>
      <c r="D93" s="53"/>
      <c r="E93" s="53"/>
      <c r="F93" s="53"/>
      <c r="G93" s="5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5">
      <c r="A94" s="3"/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/>
      <c r="B95" s="54"/>
      <c r="C95" s="54"/>
      <c r="D95" s="54"/>
      <c r="E95" s="54"/>
      <c r="F95" s="54"/>
      <c r="G95" s="5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x14ac:dyDescent="0.25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x14ac:dyDescent="0.25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x14ac:dyDescent="0.25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x14ac:dyDescent="0.25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x14ac:dyDescent="0.2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 spans="1:26" x14ac:dyDescent="0.25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 spans="1:26" x14ac:dyDescent="0.25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Projections</vt:lpstr>
      <vt:lpstr>Net Worth Graph Over Time  </vt:lpstr>
      <vt:lpstr>Net Profit Graph Over time </vt:lpstr>
      <vt:lpstr>Volume of Sales Over time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Armstrong</dc:creator>
  <cp:lastModifiedBy>Emmanuel Olutayo</cp:lastModifiedBy>
  <dcterms:created xsi:type="dcterms:W3CDTF">2015-05-28T13:53:01Z</dcterms:created>
  <dcterms:modified xsi:type="dcterms:W3CDTF">2015-05-29T16:10:32Z</dcterms:modified>
</cp:coreProperties>
</file>