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-405" windowWidth="25605" windowHeight="15540"/>
  </bookViews>
  <sheets>
    <sheet name="P&amp;L for duration of project " sheetId="1" r:id="rId1"/>
    <sheet name="Projections with 50% Renewal" sheetId="2" r:id="rId2"/>
    <sheet name="50% Customer Renewal P&amp;L Graph" sheetId="3" r:id="rId3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7" i="2" l="1"/>
  <c r="E27" i="2"/>
  <c r="F27" i="2"/>
  <c r="G27" i="2"/>
  <c r="C27" i="2"/>
  <c r="B54" i="2"/>
  <c r="B35" i="2"/>
  <c r="B55" i="2" s="1"/>
  <c r="B57" i="2" s="1"/>
  <c r="B58" i="2" s="1"/>
  <c r="B20" i="2"/>
  <c r="D75" i="2"/>
  <c r="E75" i="2"/>
  <c r="F75" i="2"/>
  <c r="G75" i="2"/>
  <c r="C75" i="2"/>
  <c r="B78" i="2"/>
  <c r="C78" i="2" s="1"/>
  <c r="D78" i="2" s="1"/>
  <c r="E78" i="2" s="1"/>
  <c r="F78" i="2" s="1"/>
  <c r="G78" i="2" s="1"/>
  <c r="C33" i="2"/>
  <c r="B33" i="2"/>
  <c r="B60" i="2" l="1"/>
  <c r="B48" i="2" s="1"/>
  <c r="B61" i="2" l="1"/>
  <c r="D16" i="2" l="1"/>
  <c r="E16" i="2" s="1"/>
  <c r="F16" i="2" s="1"/>
  <c r="G16" i="2" s="1"/>
  <c r="C11" i="2"/>
  <c r="D11" i="2" s="1"/>
  <c r="E11" i="2" s="1"/>
  <c r="F11" i="2" s="1"/>
  <c r="G11" i="2" s="1"/>
  <c r="C8" i="2"/>
  <c r="D33" i="2" l="1"/>
  <c r="C17" i="2"/>
  <c r="C18" i="2" s="1"/>
  <c r="C12" i="2"/>
  <c r="C13" i="2" s="1"/>
  <c r="C20" i="2" s="1"/>
  <c r="C54" i="2" s="1"/>
  <c r="D17" i="2"/>
  <c r="D18" i="2" s="1"/>
  <c r="D8" i="2"/>
  <c r="E8" i="2"/>
  <c r="F8" i="2"/>
  <c r="G8" i="2"/>
  <c r="H6" i="1"/>
  <c r="H22" i="1"/>
  <c r="H23" i="1"/>
  <c r="H27" i="1"/>
  <c r="H28" i="1"/>
  <c r="H5" i="1"/>
  <c r="E11" i="1"/>
  <c r="B11" i="1"/>
  <c r="H11" i="1" s="1"/>
  <c r="C11" i="1"/>
  <c r="D11" i="1"/>
  <c r="B25" i="2"/>
  <c r="D25" i="2"/>
  <c r="E25" i="2"/>
  <c r="F25" i="2"/>
  <c r="G25" i="2"/>
  <c r="C25" i="2"/>
  <c r="B21" i="1"/>
  <c r="C21" i="1"/>
  <c r="D21" i="1"/>
  <c r="D42" i="1" s="1"/>
  <c r="E21" i="1"/>
  <c r="E42" i="1" s="1"/>
  <c r="F21" i="1"/>
  <c r="G21" i="1"/>
  <c r="C24" i="2"/>
  <c r="B23" i="2"/>
  <c r="B24" i="2"/>
  <c r="G24" i="2"/>
  <c r="F24" i="2"/>
  <c r="E24" i="2"/>
  <c r="D24" i="2"/>
  <c r="G23" i="2"/>
  <c r="F23" i="2"/>
  <c r="E23" i="2"/>
  <c r="D23" i="2"/>
  <c r="C23" i="2"/>
  <c r="B12" i="2"/>
  <c r="B13" i="2" s="1"/>
  <c r="F11" i="1"/>
  <c r="F42" i="1" s="1"/>
  <c r="B39" i="1"/>
  <c r="G37" i="1"/>
  <c r="F37" i="1"/>
  <c r="E37" i="1"/>
  <c r="D37" i="1"/>
  <c r="C37" i="1"/>
  <c r="B37" i="1"/>
  <c r="G29" i="1"/>
  <c r="G9" i="1"/>
  <c r="F29" i="1"/>
  <c r="H29" i="1" s="1"/>
  <c r="F9" i="1"/>
  <c r="E29" i="1"/>
  <c r="E9" i="1" s="1"/>
  <c r="D29" i="1"/>
  <c r="D9" i="1"/>
  <c r="C29" i="1"/>
  <c r="C9" i="1" s="1"/>
  <c r="B29" i="1"/>
  <c r="B9" i="1" s="1"/>
  <c r="F24" i="1"/>
  <c r="F7" i="1" s="1"/>
  <c r="F8" i="1" s="1"/>
  <c r="F10" i="1" s="1"/>
  <c r="F12" i="1" s="1"/>
  <c r="F14" i="1" s="1"/>
  <c r="F16" i="1" s="1"/>
  <c r="F49" i="1" s="1"/>
  <c r="E24" i="1"/>
  <c r="E7" i="1" s="1"/>
  <c r="E8" i="1" s="1"/>
  <c r="E10" i="1" s="1"/>
  <c r="E12" i="1" s="1"/>
  <c r="E14" i="1" s="1"/>
  <c r="E16" i="1" s="1"/>
  <c r="E49" i="1" s="1"/>
  <c r="D24" i="1"/>
  <c r="D7" i="1" s="1"/>
  <c r="D8" i="1" s="1"/>
  <c r="D10" i="1" s="1"/>
  <c r="D12" i="1" s="1"/>
  <c r="D14" i="1" s="1"/>
  <c r="D16" i="1" s="1"/>
  <c r="D49" i="1" s="1"/>
  <c r="C24" i="1"/>
  <c r="C7" i="1" s="1"/>
  <c r="C8" i="1" s="1"/>
  <c r="C10" i="1" s="1"/>
  <c r="C12" i="1"/>
  <c r="C14" i="1"/>
  <c r="C16" i="1"/>
  <c r="C49" i="1"/>
  <c r="G11" i="1"/>
  <c r="G42" i="1"/>
  <c r="G24" i="1"/>
  <c r="G7" i="1"/>
  <c r="G8" i="1" s="1"/>
  <c r="B43" i="2" l="1"/>
  <c r="D12" i="2"/>
  <c r="D13" i="2" s="1"/>
  <c r="H21" i="1"/>
  <c r="E17" i="2"/>
  <c r="E18" i="2" s="1"/>
  <c r="G10" i="1"/>
  <c r="G12" i="1" s="1"/>
  <c r="G14" i="1" s="1"/>
  <c r="G16" i="1" s="1"/>
  <c r="G49" i="1" s="1"/>
  <c r="C42" i="1"/>
  <c r="H9" i="1"/>
  <c r="B24" i="1"/>
  <c r="B42" i="1"/>
  <c r="B43" i="1" s="1"/>
  <c r="B46" i="1" s="1"/>
  <c r="D20" i="2" l="1"/>
  <c r="D54" i="2" s="1"/>
  <c r="C43" i="2"/>
  <c r="B44" i="2"/>
  <c r="B46" i="2" s="1"/>
  <c r="B49" i="2" s="1"/>
  <c r="C38" i="2" s="1"/>
  <c r="E33" i="2"/>
  <c r="G29" i="2"/>
  <c r="C29" i="2"/>
  <c r="E29" i="2"/>
  <c r="F29" i="2"/>
  <c r="D29" i="2"/>
  <c r="D35" i="2" s="1"/>
  <c r="F17" i="2"/>
  <c r="F18" i="2" s="1"/>
  <c r="G17" i="2"/>
  <c r="G18" i="2" s="1"/>
  <c r="E12" i="2"/>
  <c r="E13" i="2" s="1"/>
  <c r="E20" i="2" s="1"/>
  <c r="E54" i="2" s="1"/>
  <c r="B7" i="1"/>
  <c r="H24" i="1"/>
  <c r="D43" i="2" l="1"/>
  <c r="D44" i="2"/>
  <c r="D55" i="2"/>
  <c r="D57" i="2" s="1"/>
  <c r="D58" i="2" s="1"/>
  <c r="D60" i="2" s="1"/>
  <c r="E43" i="2"/>
  <c r="E35" i="2"/>
  <c r="E55" i="2" s="1"/>
  <c r="F33" i="2"/>
  <c r="C35" i="2"/>
  <c r="F12" i="2"/>
  <c r="F13" i="2" s="1"/>
  <c r="F20" i="2" s="1"/>
  <c r="F54" i="2" s="1"/>
  <c r="G12" i="2"/>
  <c r="G13" i="2" s="1"/>
  <c r="G20" i="2" s="1"/>
  <c r="G54" i="2" s="1"/>
  <c r="B8" i="1"/>
  <c r="H7" i="1"/>
  <c r="E44" i="2" l="1"/>
  <c r="C44" i="2"/>
  <c r="C55" i="2"/>
  <c r="E57" i="2"/>
  <c r="E58" i="2" s="1"/>
  <c r="E60" i="2" s="1"/>
  <c r="G43" i="2"/>
  <c r="F43" i="2"/>
  <c r="B63" i="2"/>
  <c r="G33" i="2"/>
  <c r="G35" i="2" s="1"/>
  <c r="D48" i="2"/>
  <c r="D46" i="2"/>
  <c r="E46" i="2"/>
  <c r="C57" i="2"/>
  <c r="F35" i="2"/>
  <c r="F55" i="2" s="1"/>
  <c r="H8" i="1"/>
  <c r="B10" i="1"/>
  <c r="G44" i="2" l="1"/>
  <c r="G55" i="2"/>
  <c r="F44" i="2"/>
  <c r="E48" i="2"/>
  <c r="C46" i="2"/>
  <c r="B72" i="2"/>
  <c r="C58" i="2"/>
  <c r="C60" i="2" s="1"/>
  <c r="F46" i="2"/>
  <c r="H10" i="1"/>
  <c r="B12" i="1"/>
  <c r="E61" i="2" l="1"/>
  <c r="E63" i="2" s="1"/>
  <c r="C48" i="2"/>
  <c r="C49" i="2" s="1"/>
  <c r="C72" i="2" s="1"/>
  <c r="G46" i="2"/>
  <c r="B76" i="2"/>
  <c r="B80" i="2" s="1"/>
  <c r="D61" i="2"/>
  <c r="D63" i="2" s="1"/>
  <c r="G57" i="2"/>
  <c r="G58" i="2" s="1"/>
  <c r="G60" i="2" s="1"/>
  <c r="F57" i="2"/>
  <c r="F58" i="2" s="1"/>
  <c r="F60" i="2" s="1"/>
  <c r="B14" i="1"/>
  <c r="H12" i="1"/>
  <c r="C76" i="2" l="1"/>
  <c r="C80" i="2" s="1"/>
  <c r="C61" i="2"/>
  <c r="C63" i="2" s="1"/>
  <c r="F48" i="2"/>
  <c r="G48" i="2"/>
  <c r="D38" i="2"/>
  <c r="D49" i="2" s="1"/>
  <c r="D72" i="2" s="1"/>
  <c r="D76" i="2" s="1"/>
  <c r="D80" i="2" s="1"/>
  <c r="B16" i="1"/>
  <c r="H14" i="1"/>
  <c r="G61" i="2" l="1"/>
  <c r="G63" i="2" s="1"/>
  <c r="F61" i="2"/>
  <c r="F63" i="2" s="1"/>
  <c r="B49" i="1"/>
  <c r="H16" i="1"/>
  <c r="C39" i="1"/>
  <c r="D39" i="1" l="1"/>
  <c r="C43" i="1"/>
  <c r="C46" i="1" s="1"/>
  <c r="B51" i="1"/>
  <c r="C51" i="1" s="1"/>
  <c r="D51" i="1" s="1"/>
  <c r="E51" i="1" s="1"/>
  <c r="F51" i="1" s="1"/>
  <c r="G51" i="1" s="1"/>
  <c r="H49" i="1"/>
  <c r="E39" i="1" l="1"/>
  <c r="D43" i="1"/>
  <c r="D46" i="1" s="1"/>
  <c r="F39" i="1" l="1"/>
  <c r="E43" i="1"/>
  <c r="E46" i="1" s="1"/>
  <c r="G39" i="1" l="1"/>
  <c r="G43" i="1" s="1"/>
  <c r="G46" i="1" s="1"/>
  <c r="F43" i="1"/>
  <c r="F46" i="1" s="1"/>
  <c r="E38" i="2" l="1"/>
  <c r="E49" i="2" l="1"/>
  <c r="F38" i="2" s="1"/>
  <c r="F49" i="2" l="1"/>
  <c r="G38" i="2" s="1"/>
  <c r="G49" i="2" s="1"/>
  <c r="E72" i="2"/>
  <c r="E76" i="2" l="1"/>
  <c r="E80" i="2" s="1"/>
  <c r="G72" i="2"/>
  <c r="F72" i="2"/>
  <c r="F76" i="2" l="1"/>
  <c r="F80" i="2" s="1"/>
  <c r="G76" i="2"/>
  <c r="G80" i="2" s="1"/>
</calcChain>
</file>

<file path=xl/sharedStrings.xml><?xml version="1.0" encoding="utf-8"?>
<sst xmlns="http://schemas.openxmlformats.org/spreadsheetml/2006/main" count="118" uniqueCount="99">
  <si>
    <t xml:space="preserve">Cash Flow </t>
  </si>
  <si>
    <t>P&amp;L Account for Sofia from Janurary to June 2015</t>
  </si>
  <si>
    <t>Year 0</t>
  </si>
  <si>
    <t>Year 1</t>
  </si>
  <si>
    <t>Year 2</t>
  </si>
  <si>
    <t>Year 3</t>
  </si>
  <si>
    <t>Year 4</t>
  </si>
  <si>
    <t>% Customers renew</t>
  </si>
  <si>
    <t xml:space="preserve">Janurary </t>
  </si>
  <si>
    <t xml:space="preserve">Feburary </t>
  </si>
  <si>
    <t xml:space="preserve">March </t>
  </si>
  <si>
    <t xml:space="preserve">April </t>
  </si>
  <si>
    <t xml:space="preserve">May </t>
  </si>
  <si>
    <t xml:space="preserve">June </t>
  </si>
  <si>
    <t xml:space="preserve">Sales </t>
  </si>
  <si>
    <t xml:space="preserve">Cost of sales </t>
  </si>
  <si>
    <t xml:space="preserve">Loan </t>
  </si>
  <si>
    <t xml:space="preserve">Revenue on Media Sold Media Handlers </t>
  </si>
  <si>
    <t xml:space="preserve">Gross Profit </t>
  </si>
  <si>
    <t xml:space="preserve">Overheads </t>
  </si>
  <si>
    <t xml:space="preserve">Profit Before Interest and tax </t>
  </si>
  <si>
    <t xml:space="preserve">interest </t>
  </si>
  <si>
    <t xml:space="preserve">Profit After interest </t>
  </si>
  <si>
    <t xml:space="preserve">Tax </t>
  </si>
  <si>
    <t xml:space="preserve">Profit after tax </t>
  </si>
  <si>
    <t xml:space="preserve">Net profit </t>
  </si>
  <si>
    <t xml:space="preserve">Cost Of sales </t>
  </si>
  <si>
    <t xml:space="preserve">Labour </t>
  </si>
  <si>
    <t xml:space="preserve">Infrastructure used </t>
  </si>
  <si>
    <t xml:space="preserve">Media Handler purchased </t>
  </si>
  <si>
    <t xml:space="preserve">Total </t>
  </si>
  <si>
    <t xml:space="preserve">Rent </t>
  </si>
  <si>
    <t xml:space="preserve">Utilities </t>
  </si>
  <si>
    <t xml:space="preserve">Balance sheet </t>
  </si>
  <si>
    <t xml:space="preserve">Fixed Assets </t>
  </si>
  <si>
    <t xml:space="preserve">Tangible </t>
  </si>
  <si>
    <t xml:space="preserve">Total Fixed Assets </t>
  </si>
  <si>
    <t xml:space="preserve">Current assest </t>
  </si>
  <si>
    <t xml:space="preserve">Debtors </t>
  </si>
  <si>
    <t xml:space="preserve">Current liabalities </t>
  </si>
  <si>
    <t xml:space="preserve">Creditors </t>
  </si>
  <si>
    <t>Infrastructure Cost</t>
  </si>
  <si>
    <t>Net current assets</t>
  </si>
  <si>
    <t xml:space="preserve">Labour cost </t>
  </si>
  <si>
    <t xml:space="preserve">Long term Liabilities </t>
  </si>
  <si>
    <t xml:space="preserve">Bank loan </t>
  </si>
  <si>
    <t xml:space="preserve">Net Assets </t>
  </si>
  <si>
    <t xml:space="preserve">Cost Of Media Handlers </t>
  </si>
  <si>
    <t xml:space="preserve">Profit &amp; loss Account </t>
  </si>
  <si>
    <t xml:space="preserve">Closing Bank Balance </t>
  </si>
  <si>
    <t xml:space="preserve">Interest </t>
  </si>
  <si>
    <t>Advertising Cost</t>
  </si>
  <si>
    <t>Server costs</t>
  </si>
  <si>
    <t xml:space="preserve">Misc expenses </t>
  </si>
  <si>
    <t xml:space="preserve">Opening Balance </t>
  </si>
  <si>
    <t xml:space="preserve">Cash in </t>
  </si>
  <si>
    <t>Cash out</t>
  </si>
  <si>
    <t xml:space="preserve">Closing Balance </t>
  </si>
  <si>
    <t xml:space="preserve">Profit and Loss </t>
  </si>
  <si>
    <t xml:space="preserve">Profit after Tax </t>
  </si>
  <si>
    <t xml:space="preserve">Net Profit </t>
  </si>
  <si>
    <t>Cash</t>
  </si>
  <si>
    <t>Total</t>
  </si>
  <si>
    <t xml:space="preserve">Financial </t>
  </si>
  <si>
    <t>Tax</t>
  </si>
  <si>
    <t>Year 5</t>
  </si>
  <si>
    <t>Yearly Profit and Loss Projection</t>
  </si>
  <si>
    <t>Predicted Sales Volume to Returning Teachers</t>
  </si>
  <si>
    <t>Predicted Sales Volume to Teachers</t>
  </si>
  <si>
    <t>Predicted Sales Volume to Tutors</t>
  </si>
  <si>
    <t>Predicted Sales Volume to Returning Tutors</t>
  </si>
  <si>
    <t>Selling Prices</t>
  </si>
  <si>
    <t>Business</t>
  </si>
  <si>
    <t>Total Predicted Volume of Sales  to Teachers</t>
  </si>
  <si>
    <t>Group Sales (Assumed Teachers)</t>
  </si>
  <si>
    <t>Single Sales (Assumed Tutors)</t>
  </si>
  <si>
    <t>Total Predicted Volume of Sales  to Tutors</t>
  </si>
  <si>
    <t>Income Prediction for Tutors</t>
  </si>
  <si>
    <t>Income Prediction for Teachers</t>
  </si>
  <si>
    <t>Selling Price of Single Purchase Software</t>
  </si>
  <si>
    <t>Selling Price of Group Purchase Software (20 plus)</t>
  </si>
  <si>
    <t>Overheads</t>
  </si>
  <si>
    <t xml:space="preserve">Variable </t>
  </si>
  <si>
    <t>Other</t>
  </si>
  <si>
    <t>Total Revenue</t>
  </si>
  <si>
    <t>Cash Flow before Tax</t>
  </si>
  <si>
    <t>Profit Before Interest and Tax</t>
  </si>
  <si>
    <t>Profit Before Tax</t>
  </si>
  <si>
    <t>Balance Sheet at End of Year</t>
  </si>
  <si>
    <t>Cash in Hand and at Bank</t>
  </si>
  <si>
    <t>Expenditure (not including loan repayments)</t>
  </si>
  <si>
    <t>Revenue (not including loan received)</t>
  </si>
  <si>
    <t>Cash Out</t>
  </si>
  <si>
    <t>Cash In</t>
  </si>
  <si>
    <t>Total Pre-Tax Expenditure</t>
  </si>
  <si>
    <t>Totals</t>
  </si>
  <si>
    <t>Loan in</t>
  </si>
  <si>
    <t>Loan out</t>
  </si>
  <si>
    <t xml:space="preserve">Group Discount rate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</si>
</sst>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£&quot;* #,##0.00_-;\-&quot;£&quot;* #,##0.00_-;_-&quot;£&quot;* &quot;-&quot;??_-;_-@_-"/>
    <numFmt numFmtId="164" formatCode="_-&quot;£&quot;* #,##0.00_-;\-&quot;£&quot;* #,##0.00_-;_-&quot;£&quot;* &quot;-&quot;??_-;_-@"/>
    <numFmt numFmtId="165" formatCode="_(&quot;£&quot;* #,##0.00_);_(&quot;£&quot;* \(#,##0.00\);_(&quot;£&quot;* &quot;-&quot;??_);_(@_)"/>
    <numFmt numFmtId="167" formatCode="&quot;£&quot;#,##0.00"/>
  </numFmts>
  <fonts count="16" x14ac:knownFonts="1">
    <font>
      <sz val="11"/>
      <color rgb="FF000000"/>
      <name val="Calibri"/>
    </font>
    <font>
      <b/>
      <sz val="11"/>
      <color rgb="FF000000"/>
      <name val="Cambria"/>
    </font>
    <font>
      <b/>
      <sz val="12"/>
      <color rgb="FF000000"/>
      <name val="Cambria"/>
    </font>
    <font>
      <b/>
      <sz val="12"/>
      <color rgb="FF000000"/>
      <name val="Arial"/>
    </font>
    <font>
      <u/>
      <sz val="11"/>
      <color theme="10"/>
      <name val="Calibri"/>
    </font>
    <font>
      <u/>
      <sz val="11"/>
      <color theme="11"/>
      <name val="Calibri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16"/>
      <name val="Calibri"/>
      <family val="2"/>
      <scheme val="minor"/>
    </font>
    <font>
      <sz val="8"/>
      <color rgb="FFFF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rgb="FF000000"/>
      </left>
      <right style="thick">
        <color indexed="64"/>
      </right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3">
    <xf numFmtId="0" fontId="0" fillId="0" borderId="0" xfId="0" applyFont="1" applyAlignment="1"/>
    <xf numFmtId="0" fontId="0" fillId="0" borderId="0" xfId="0" applyFont="1"/>
    <xf numFmtId="0" fontId="0" fillId="0" borderId="0" xfId="0" applyFont="1"/>
    <xf numFmtId="0" fontId="1" fillId="0" borderId="0" xfId="0" applyFont="1"/>
    <xf numFmtId="164" fontId="0" fillId="0" borderId="0" xfId="0" applyNumberFormat="1" applyFont="1"/>
    <xf numFmtId="0" fontId="2" fillId="0" borderId="0" xfId="0" applyFont="1"/>
    <xf numFmtId="0" fontId="0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7" fillId="0" borderId="4" xfId="0" applyFont="1" applyBorder="1" applyAlignment="1"/>
    <xf numFmtId="0" fontId="7" fillId="0" borderId="0" xfId="0" applyFont="1" applyAlignment="1"/>
    <xf numFmtId="0" fontId="7" fillId="0" borderId="0" xfId="0" applyFont="1"/>
    <xf numFmtId="0" fontId="9" fillId="3" borderId="3" xfId="0" applyFont="1" applyFill="1" applyBorder="1"/>
    <xf numFmtId="0" fontId="7" fillId="3" borderId="0" xfId="0" applyFont="1" applyFill="1"/>
    <xf numFmtId="0" fontId="7" fillId="0" borderId="3" xfId="0" applyFont="1" applyBorder="1"/>
    <xf numFmtId="165" fontId="7" fillId="0" borderId="0" xfId="0" applyNumberFormat="1" applyFont="1"/>
    <xf numFmtId="9" fontId="7" fillId="0" borderId="0" xfId="0" applyNumberFormat="1" applyFont="1"/>
    <xf numFmtId="0" fontId="7" fillId="0" borderId="9" xfId="0" applyFont="1" applyBorder="1"/>
    <xf numFmtId="165" fontId="7" fillId="0" borderId="8" xfId="0" applyNumberFormat="1" applyFont="1" applyBorder="1"/>
    <xf numFmtId="165" fontId="7" fillId="3" borderId="0" xfId="0" applyNumberFormat="1" applyFont="1" applyFill="1"/>
    <xf numFmtId="0" fontId="7" fillId="0" borderId="0" xfId="0" applyNumberFormat="1" applyFont="1"/>
    <xf numFmtId="3" fontId="7" fillId="0" borderId="0" xfId="0" applyNumberFormat="1" applyFont="1"/>
    <xf numFmtId="1" fontId="7" fillId="0" borderId="0" xfId="0" applyNumberFormat="1" applyFont="1"/>
    <xf numFmtId="0" fontId="9" fillId="0" borderId="3" xfId="0" applyFont="1" applyBorder="1"/>
    <xf numFmtId="165" fontId="9" fillId="0" borderId="0" xfId="0" applyNumberFormat="1" applyFont="1"/>
    <xf numFmtId="0" fontId="7" fillId="0" borderId="5" xfId="0" applyFont="1" applyBorder="1"/>
    <xf numFmtId="165" fontId="10" fillId="0" borderId="0" xfId="0" applyNumberFormat="1" applyFont="1"/>
    <xf numFmtId="165" fontId="6" fillId="0" borderId="0" xfId="0" applyNumberFormat="1" applyFont="1"/>
    <xf numFmtId="165" fontId="7" fillId="0" borderId="2" xfId="0" applyNumberFormat="1" applyFont="1" applyBorder="1"/>
    <xf numFmtId="164" fontId="7" fillId="0" borderId="0" xfId="0" applyNumberFormat="1" applyFont="1"/>
    <xf numFmtId="0" fontId="10" fillId="0" borderId="3" xfId="0" applyFont="1" applyBorder="1"/>
    <xf numFmtId="0" fontId="11" fillId="0" borderId="3" xfId="0" applyFont="1" applyBorder="1"/>
    <xf numFmtId="165" fontId="10" fillId="0" borderId="8" xfId="0" applyNumberFormat="1" applyFont="1" applyBorder="1"/>
    <xf numFmtId="0" fontId="6" fillId="0" borderId="0" xfId="0" applyFont="1"/>
    <xf numFmtId="0" fontId="14" fillId="0" borderId="0" xfId="0" applyFont="1"/>
    <xf numFmtId="164" fontId="6" fillId="0" borderId="0" xfId="0" applyNumberFormat="1" applyFont="1"/>
    <xf numFmtId="0" fontId="12" fillId="0" borderId="0" xfId="0" applyFont="1"/>
    <xf numFmtId="0" fontId="9" fillId="2" borderId="11" xfId="0" applyFont="1" applyFill="1" applyBorder="1"/>
    <xf numFmtId="0" fontId="7" fillId="2" borderId="10" xfId="0" applyFont="1" applyFill="1" applyBorder="1"/>
    <xf numFmtId="0" fontId="8" fillId="4" borderId="7" xfId="0" applyFont="1" applyFill="1" applyBorder="1"/>
    <xf numFmtId="0" fontId="9" fillId="2" borderId="3" xfId="0" applyFont="1" applyFill="1" applyBorder="1"/>
    <xf numFmtId="165" fontId="6" fillId="2" borderId="0" xfId="0" applyNumberFormat="1" applyFont="1" applyFill="1"/>
    <xf numFmtId="165" fontId="11" fillId="0" borderId="0" xfId="0" applyNumberFormat="1" applyFont="1"/>
    <xf numFmtId="0" fontId="9" fillId="0" borderId="9" xfId="0" applyFont="1" applyBorder="1"/>
    <xf numFmtId="165" fontId="9" fillId="0" borderId="8" xfId="0" applyNumberFormat="1" applyFont="1" applyBorder="1"/>
    <xf numFmtId="165" fontId="7" fillId="2" borderId="10" xfId="0" applyNumberFormat="1" applyFont="1" applyFill="1" applyBorder="1"/>
    <xf numFmtId="0" fontId="9" fillId="0" borderId="3" xfId="0" applyFont="1" applyFill="1" applyBorder="1"/>
    <xf numFmtId="165" fontId="7" fillId="0" borderId="0" xfId="0" applyNumberFormat="1" applyFont="1" applyFill="1"/>
    <xf numFmtId="0" fontId="7" fillId="3" borderId="0" xfId="0" applyFont="1" applyFill="1" applyAlignment="1"/>
    <xf numFmtId="0" fontId="9" fillId="3" borderId="3" xfId="0" applyFont="1" applyFill="1" applyBorder="1" applyAlignment="1"/>
    <xf numFmtId="0" fontId="7" fillId="0" borderId="3" xfId="0" applyFont="1" applyBorder="1" applyAlignment="1"/>
    <xf numFmtId="0" fontId="9" fillId="0" borderId="9" xfId="0" applyFont="1" applyFill="1" applyBorder="1" applyAlignment="1"/>
    <xf numFmtId="0" fontId="9" fillId="0" borderId="0" xfId="0" applyFont="1"/>
    <xf numFmtId="0" fontId="9" fillId="0" borderId="0" xfId="0" applyFont="1" applyAlignment="1"/>
    <xf numFmtId="0" fontId="9" fillId="0" borderId="2" xfId="0" applyFont="1" applyBorder="1"/>
    <xf numFmtId="0" fontId="12" fillId="0" borderId="2" xfId="0" applyFont="1" applyBorder="1"/>
    <xf numFmtId="0" fontId="9" fillId="2" borderId="12" xfId="0" applyFont="1" applyFill="1" applyBorder="1"/>
    <xf numFmtId="165" fontId="7" fillId="2" borderId="13" xfId="0" applyNumberFormat="1" applyFont="1" applyFill="1" applyBorder="1"/>
    <xf numFmtId="165" fontId="7" fillId="2" borderId="14" xfId="0" applyNumberFormat="1" applyFont="1" applyFill="1" applyBorder="1"/>
    <xf numFmtId="0" fontId="9" fillId="0" borderId="0" xfId="0" applyFont="1" applyBorder="1"/>
    <xf numFmtId="0" fontId="11" fillId="0" borderId="0" xfId="0" applyFont="1" applyBorder="1"/>
    <xf numFmtId="165" fontId="11" fillId="0" borderId="8" xfId="0" applyNumberFormat="1" applyFont="1" applyBorder="1"/>
    <xf numFmtId="0" fontId="9" fillId="0" borderId="3" xfId="0" applyNumberFormat="1" applyFont="1" applyBorder="1"/>
    <xf numFmtId="167" fontId="7" fillId="0" borderId="0" xfId="0" applyNumberFormat="1" applyFont="1"/>
    <xf numFmtId="44" fontId="7" fillId="0" borderId="0" xfId="0" applyNumberFormat="1" applyFont="1"/>
    <xf numFmtId="165" fontId="9" fillId="0" borderId="8" xfId="0" applyNumberFormat="1" applyFont="1" applyBorder="1" applyAlignment="1"/>
    <xf numFmtId="0" fontId="13" fillId="4" borderId="7" xfId="0" applyFont="1" applyFill="1" applyBorder="1"/>
    <xf numFmtId="0" fontId="10" fillId="4" borderId="6" xfId="0" applyFont="1" applyFill="1" applyBorder="1"/>
    <xf numFmtId="165" fontId="7" fillId="4" borderId="6" xfId="0" applyNumberFormat="1" applyFont="1" applyFill="1" applyBorder="1"/>
    <xf numFmtId="0" fontId="15" fillId="0" borderId="0" xfId="0" applyFont="1"/>
    <xf numFmtId="9" fontId="15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1"/>
  <c:style val="2"/>
  <c:chart>
    <c:title>
      <c:tx>
        <c:rich>
          <a:bodyPr/>
          <a:lstStyle/>
          <a:p>
            <a:pPr>
              <a:defRPr b="1" i="0"/>
            </a:pPr>
            <a:r>
              <a:rPr lang="en-GB"/>
              <a:t>    Net Profit With 50% Customer Renewal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8337000351926"/>
          <c:y val="0.10900994742428401"/>
          <c:w val="0.80158125065482499"/>
          <c:h val="0.81308995466475797"/>
        </c:manualLayout>
      </c:layout>
      <c:lineChart>
        <c:grouping val="standard"/>
        <c:varyColors val="0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'Projections with 50% Renewal'!$B$1:$G$1</c:f>
              <c:strCache>
                <c:ptCount val="6"/>
                <c:pt idx="0">
                  <c:v>Year 0</c:v>
                </c:pt>
                <c:pt idx="1">
                  <c:v>Year 1</c:v>
                </c:pt>
                <c:pt idx="2">
                  <c:v>Year 2</c:v>
                </c:pt>
                <c:pt idx="3">
                  <c:v>Year 3</c:v>
                </c:pt>
                <c:pt idx="4">
                  <c:v>Year 4</c:v>
                </c:pt>
                <c:pt idx="5">
                  <c:v>Year 5</c:v>
                </c:pt>
              </c:strCache>
            </c:strRef>
          </c:cat>
          <c:val>
            <c:numRef>
              <c:f>'Projections with 50% Renewal'!$B$63:$G$63</c:f>
              <c:numCache>
                <c:formatCode>_("£"* #,##0.00_);_("£"* \(#,##0.00\);_("£"* "-"??_);_(@_)</c:formatCode>
                <c:ptCount val="6"/>
                <c:pt idx="0">
                  <c:v>-47635.759999999995</c:v>
                </c:pt>
                <c:pt idx="1">
                  <c:v>-16114.520000000004</c:v>
                </c:pt>
                <c:pt idx="2">
                  <c:v>16783.112000000001</c:v>
                </c:pt>
                <c:pt idx="3">
                  <c:v>36070.880000000005</c:v>
                </c:pt>
                <c:pt idx="4">
                  <c:v>47388.767999999996</c:v>
                </c:pt>
                <c:pt idx="5">
                  <c:v>51361.712000000014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649920"/>
        <c:axId val="71661824"/>
      </c:lineChart>
      <c:catAx>
        <c:axId val="71649920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>
              <a:defRPr/>
            </a:pPr>
            <a:endParaRPr lang="en-US"/>
          </a:p>
        </c:txPr>
        <c:crossAx val="71661824"/>
        <c:crosses val="autoZero"/>
        <c:auto val="1"/>
        <c:lblAlgn val="ctr"/>
        <c:lblOffset val="100"/>
        <c:noMultiLvlLbl val="1"/>
      </c:catAx>
      <c:valAx>
        <c:axId val="716618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_(&quot;£&quot;* #,##0.00_);_(&quot;£&quot;* \(#,##0.00\);_(&quot;£&quot;* &quot;-&quot;??_);_(@_)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71649920"/>
        <c:crosses val="autoZero"/>
        <c:crossBetween val="between"/>
      </c:valAx>
      <c:spPr>
        <a:noFill/>
      </c:spPr>
    </c:plotArea>
    <c:legend>
      <c:legendPos val="b"/>
      <c:layout/>
      <c:overlay val="0"/>
    </c:legend>
    <c:plotVisOnly val="1"/>
    <c:dispBlanksAs val="zero"/>
    <c:showDLblsOverMax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L37" sqref="L37"/>
    </sheetView>
  </sheetViews>
  <sheetFormatPr defaultColWidth="15.140625" defaultRowHeight="15" customHeight="1" x14ac:dyDescent="0.25"/>
  <cols>
    <col min="1" max="1" width="24.28515625" customWidth="1"/>
    <col min="2" max="3" width="11.42578125" customWidth="1"/>
    <col min="4" max="5" width="11.42578125" bestFit="1" customWidth="1"/>
    <col min="6" max="6" width="15.28515625" customWidth="1"/>
    <col min="7" max="7" width="12.42578125" customWidth="1"/>
    <col min="8" max="8" width="14.28515625" customWidth="1"/>
    <col min="9" max="9" width="11" customWidth="1"/>
    <col min="10" max="26" width="7.42578125" customWidth="1"/>
  </cols>
  <sheetData>
    <row r="1" spans="1:26" x14ac:dyDescent="0.25">
      <c r="A1" s="1"/>
      <c r="B1" s="1"/>
      <c r="C1" s="9" t="s">
        <v>1</v>
      </c>
      <c r="D1" s="10"/>
      <c r="E1" s="10"/>
      <c r="F1" s="10"/>
      <c r="G1" s="10"/>
      <c r="H1" s="1"/>
      <c r="I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</row>
    <row r="3" spans="1:26" x14ac:dyDescent="0.25">
      <c r="A3" s="1"/>
      <c r="B3" s="1" t="s">
        <v>8</v>
      </c>
      <c r="C3" s="1" t="s">
        <v>9</v>
      </c>
      <c r="D3" s="1" t="s">
        <v>10</v>
      </c>
      <c r="E3" s="1" t="s">
        <v>11</v>
      </c>
      <c r="F3" s="1" t="s">
        <v>12</v>
      </c>
      <c r="G3" s="1" t="s">
        <v>13</v>
      </c>
      <c r="H3" s="8" t="s">
        <v>62</v>
      </c>
      <c r="I3" s="1"/>
    </row>
    <row r="4" spans="1:26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1" t="s">
        <v>14</v>
      </c>
      <c r="B5" s="4">
        <v>0</v>
      </c>
      <c r="C5" s="4">
        <v>1500</v>
      </c>
      <c r="D5" s="4">
        <v>0</v>
      </c>
      <c r="E5" s="4">
        <v>4500</v>
      </c>
      <c r="F5" s="4">
        <v>0</v>
      </c>
      <c r="G5" s="4">
        <v>0</v>
      </c>
      <c r="H5" s="4">
        <f>SUM(B5:G5)</f>
        <v>6000</v>
      </c>
      <c r="I5" s="1"/>
    </row>
    <row r="6" spans="1:26" hidden="1" x14ac:dyDescent="0.25">
      <c r="A6" s="2"/>
      <c r="B6" s="4"/>
      <c r="C6" s="4"/>
      <c r="D6" s="4"/>
      <c r="E6" s="4"/>
      <c r="F6" s="4"/>
      <c r="G6" s="4"/>
      <c r="H6" s="4">
        <f t="shared" ref="H6:H49" si="0">SUM(B6:G6)</f>
        <v>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" t="s">
        <v>15</v>
      </c>
      <c r="B7" s="4">
        <f t="shared" ref="B7:G7" si="1">B24</f>
        <v>2315.63</v>
      </c>
      <c r="C7" s="4">
        <f t="shared" si="1"/>
        <v>9365.630000000001</v>
      </c>
      <c r="D7" s="4">
        <f t="shared" si="1"/>
        <v>3703.33</v>
      </c>
      <c r="E7" s="4">
        <f t="shared" si="1"/>
        <v>6659.28</v>
      </c>
      <c r="F7" s="4">
        <f t="shared" si="1"/>
        <v>7293.75</v>
      </c>
      <c r="G7" s="4">
        <f t="shared" si="1"/>
        <v>3331.25</v>
      </c>
      <c r="H7" s="4">
        <f t="shared" si="0"/>
        <v>32668.870000000003</v>
      </c>
      <c r="I7" s="1"/>
    </row>
    <row r="8" spans="1:26" x14ac:dyDescent="0.25">
      <c r="A8" s="1" t="s">
        <v>18</v>
      </c>
      <c r="B8" s="4">
        <f t="shared" ref="B8:G8" si="2">B5+B6-B7</f>
        <v>-2315.63</v>
      </c>
      <c r="C8" s="4">
        <f t="shared" si="2"/>
        <v>-7865.630000000001</v>
      </c>
      <c r="D8" s="4">
        <f t="shared" si="2"/>
        <v>-3703.33</v>
      </c>
      <c r="E8" s="4">
        <f t="shared" si="2"/>
        <v>-2159.2799999999997</v>
      </c>
      <c r="F8" s="4">
        <f t="shared" si="2"/>
        <v>-7293.75</v>
      </c>
      <c r="G8" s="4">
        <f t="shared" si="2"/>
        <v>-3331.25</v>
      </c>
      <c r="H8" s="4">
        <f t="shared" si="0"/>
        <v>-26668.870000000003</v>
      </c>
      <c r="I8" s="1"/>
    </row>
    <row r="9" spans="1:26" x14ac:dyDescent="0.25">
      <c r="A9" s="1" t="s">
        <v>19</v>
      </c>
      <c r="B9" s="4">
        <f t="shared" ref="B9:G9" si="3">B29</f>
        <v>1898.0700000000002</v>
      </c>
      <c r="C9" s="4">
        <f t="shared" si="3"/>
        <v>2148.0700000000002</v>
      </c>
      <c r="D9" s="4">
        <f t="shared" si="3"/>
        <v>2098.0700000000002</v>
      </c>
      <c r="E9" s="4">
        <f t="shared" si="3"/>
        <v>0</v>
      </c>
      <c r="F9" s="4">
        <f t="shared" si="3"/>
        <v>7459.6100000000006</v>
      </c>
      <c r="G9" s="4">
        <f t="shared" si="3"/>
        <v>2098.0700000000002</v>
      </c>
      <c r="H9" s="4">
        <f t="shared" si="0"/>
        <v>15701.890000000001</v>
      </c>
      <c r="I9" s="1"/>
    </row>
    <row r="10" spans="1:26" x14ac:dyDescent="0.25">
      <c r="A10" s="1" t="s">
        <v>20</v>
      </c>
      <c r="B10" s="4">
        <f t="shared" ref="B10:G10" si="4">B8-B9</f>
        <v>-4213.7000000000007</v>
      </c>
      <c r="C10" s="4">
        <f t="shared" si="4"/>
        <v>-10013.700000000001</v>
      </c>
      <c r="D10" s="4">
        <f t="shared" si="4"/>
        <v>-5801.4</v>
      </c>
      <c r="E10" s="4">
        <f t="shared" si="4"/>
        <v>-2159.2799999999997</v>
      </c>
      <c r="F10" s="4">
        <f t="shared" si="4"/>
        <v>-14753.36</v>
      </c>
      <c r="G10" s="4">
        <f t="shared" si="4"/>
        <v>-5429.32</v>
      </c>
      <c r="H10" s="4">
        <f t="shared" si="0"/>
        <v>-42370.76</v>
      </c>
      <c r="I10" s="1"/>
    </row>
    <row r="11" spans="1:26" x14ac:dyDescent="0.25">
      <c r="A11" s="1" t="s">
        <v>21</v>
      </c>
      <c r="B11" s="4">
        <f>195*5</f>
        <v>975</v>
      </c>
      <c r="C11" s="4">
        <f t="shared" ref="C11:D11" si="5">195*4</f>
        <v>780</v>
      </c>
      <c r="D11" s="4">
        <f t="shared" si="5"/>
        <v>780</v>
      </c>
      <c r="E11" s="4">
        <f>195*5</f>
        <v>975</v>
      </c>
      <c r="F11" s="4">
        <f>195*4</f>
        <v>780</v>
      </c>
      <c r="G11" s="4">
        <f>5*195</f>
        <v>975</v>
      </c>
      <c r="H11" s="4">
        <f t="shared" si="0"/>
        <v>5265</v>
      </c>
      <c r="I11" s="1"/>
    </row>
    <row r="12" spans="1:26" x14ac:dyDescent="0.25">
      <c r="A12" s="1" t="s">
        <v>22</v>
      </c>
      <c r="B12" s="4">
        <f t="shared" ref="B12:G12" si="6">B10-B11</f>
        <v>-5188.7000000000007</v>
      </c>
      <c r="C12" s="4">
        <f t="shared" si="6"/>
        <v>-10793.7</v>
      </c>
      <c r="D12" s="4">
        <f t="shared" si="6"/>
        <v>-6581.4</v>
      </c>
      <c r="E12" s="4">
        <f t="shared" si="6"/>
        <v>-3134.2799999999997</v>
      </c>
      <c r="F12" s="4">
        <f t="shared" si="6"/>
        <v>-15533.36</v>
      </c>
      <c r="G12" s="4">
        <f t="shared" si="6"/>
        <v>-6404.32</v>
      </c>
      <c r="H12" s="4">
        <f t="shared" si="0"/>
        <v>-47635.76</v>
      </c>
      <c r="I12" s="1"/>
    </row>
    <row r="13" spans="1:26" x14ac:dyDescent="0.25">
      <c r="A13" s="1" t="s">
        <v>23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/>
      <c r="I13" s="1"/>
    </row>
    <row r="14" spans="1:26" x14ac:dyDescent="0.25">
      <c r="A14" s="1" t="s">
        <v>24</v>
      </c>
      <c r="B14" s="4">
        <f t="shared" ref="B14:G14" si="7">B12-B13</f>
        <v>-5188.7000000000007</v>
      </c>
      <c r="C14" s="4">
        <f t="shared" si="7"/>
        <v>-10793.7</v>
      </c>
      <c r="D14" s="4">
        <f t="shared" si="7"/>
        <v>-6581.4</v>
      </c>
      <c r="E14" s="4">
        <f t="shared" si="7"/>
        <v>-3134.2799999999997</v>
      </c>
      <c r="F14" s="4">
        <f t="shared" si="7"/>
        <v>-15533.36</v>
      </c>
      <c r="G14" s="4">
        <f t="shared" si="7"/>
        <v>-6404.32</v>
      </c>
      <c r="H14" s="4">
        <f t="shared" si="0"/>
        <v>-47635.76</v>
      </c>
      <c r="I14" s="1"/>
    </row>
    <row r="15" spans="1:26" x14ac:dyDescent="0.25">
      <c r="A15" s="1"/>
      <c r="B15" s="4"/>
      <c r="C15" s="4"/>
      <c r="D15" s="4"/>
      <c r="E15" s="4"/>
      <c r="F15" s="4"/>
      <c r="G15" s="4"/>
      <c r="H15" s="4"/>
      <c r="I15" s="1"/>
    </row>
    <row r="16" spans="1:26" x14ac:dyDescent="0.25">
      <c r="A16" s="1" t="s">
        <v>25</v>
      </c>
      <c r="B16" s="4">
        <f t="shared" ref="B16:G16" si="8">B14</f>
        <v>-5188.7000000000007</v>
      </c>
      <c r="C16" s="4">
        <f t="shared" si="8"/>
        <v>-10793.7</v>
      </c>
      <c r="D16" s="4">
        <f t="shared" si="8"/>
        <v>-6581.4</v>
      </c>
      <c r="E16" s="4">
        <f t="shared" si="8"/>
        <v>-3134.2799999999997</v>
      </c>
      <c r="F16" s="4">
        <f t="shared" si="8"/>
        <v>-15533.36</v>
      </c>
      <c r="G16" s="4">
        <f t="shared" si="8"/>
        <v>-6404.32</v>
      </c>
      <c r="H16" s="4">
        <f t="shared" si="0"/>
        <v>-47635.76</v>
      </c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4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4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4"/>
      <c r="I19" s="1"/>
    </row>
    <row r="20" spans="1:9" ht="15.75" customHeight="1" x14ac:dyDescent="0.25">
      <c r="A20" s="5" t="s">
        <v>26</v>
      </c>
      <c r="B20" s="1"/>
      <c r="C20" s="1"/>
      <c r="D20" s="1"/>
      <c r="E20" s="1"/>
      <c r="F20" s="1"/>
      <c r="G20" s="1"/>
      <c r="H20" s="4"/>
      <c r="I20" s="1"/>
    </row>
    <row r="21" spans="1:9" x14ac:dyDescent="0.25">
      <c r="A21" s="1" t="s">
        <v>27</v>
      </c>
      <c r="B21" s="4">
        <f>859.38+1456.25</f>
        <v>2315.63</v>
      </c>
      <c r="C21" s="4">
        <f>1537.5+2421.88+1831.25+1575</f>
        <v>7365.63</v>
      </c>
      <c r="D21" s="4">
        <f>1503.33+1106.25+362.5+81.25+250</f>
        <v>3303.33</v>
      </c>
      <c r="E21" s="4">
        <f>537.5+459.28+450+712.5</f>
        <v>2159.2799999999997</v>
      </c>
      <c r="F21" s="4">
        <f>268.75+325+2568.75+3131.25</f>
        <v>6293.75</v>
      </c>
      <c r="G21" s="4">
        <f>2931.25</f>
        <v>2931.25</v>
      </c>
      <c r="H21" s="4">
        <f t="shared" si="0"/>
        <v>24368.87</v>
      </c>
      <c r="I21" s="1"/>
    </row>
    <row r="22" spans="1:9" x14ac:dyDescent="0.25">
      <c r="A22" s="1" t="s">
        <v>28</v>
      </c>
      <c r="B22" s="4">
        <v>0</v>
      </c>
      <c r="C22" s="4">
        <v>500</v>
      </c>
      <c r="D22" s="4">
        <v>400</v>
      </c>
      <c r="E22" s="4">
        <v>0</v>
      </c>
      <c r="F22" s="4">
        <v>1000</v>
      </c>
      <c r="G22" s="4">
        <v>400</v>
      </c>
      <c r="H22" s="4">
        <f t="shared" si="0"/>
        <v>2300</v>
      </c>
      <c r="I22" s="1"/>
    </row>
    <row r="23" spans="1:9" x14ac:dyDescent="0.25">
      <c r="A23" s="2" t="s">
        <v>29</v>
      </c>
      <c r="B23" s="4">
        <v>0</v>
      </c>
      <c r="C23" s="4">
        <v>1500</v>
      </c>
      <c r="D23" s="4">
        <v>0</v>
      </c>
      <c r="E23" s="4">
        <v>4500</v>
      </c>
      <c r="F23" s="4">
        <v>0</v>
      </c>
      <c r="G23" s="4">
        <v>0</v>
      </c>
      <c r="H23" s="4">
        <f t="shared" si="0"/>
        <v>6000</v>
      </c>
      <c r="I23" s="1"/>
    </row>
    <row r="24" spans="1:9" x14ac:dyDescent="0.25">
      <c r="A24" s="1" t="s">
        <v>30</v>
      </c>
      <c r="B24" s="4">
        <f t="shared" ref="B24:G24" si="9">SUM(B21:B23)</f>
        <v>2315.63</v>
      </c>
      <c r="C24" s="4">
        <f t="shared" si="9"/>
        <v>9365.630000000001</v>
      </c>
      <c r="D24" s="4">
        <f t="shared" si="9"/>
        <v>3703.33</v>
      </c>
      <c r="E24" s="4">
        <f t="shared" si="9"/>
        <v>6659.28</v>
      </c>
      <c r="F24" s="4">
        <f t="shared" si="9"/>
        <v>7293.75</v>
      </c>
      <c r="G24" s="4">
        <f t="shared" si="9"/>
        <v>3331.25</v>
      </c>
      <c r="H24" s="4">
        <f t="shared" si="0"/>
        <v>32668.870000000003</v>
      </c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4"/>
      <c r="I25" s="1"/>
    </row>
    <row r="26" spans="1:9" ht="15.75" customHeight="1" x14ac:dyDescent="0.25">
      <c r="A26" s="5" t="s">
        <v>19</v>
      </c>
      <c r="B26" s="1"/>
      <c r="C26" s="1"/>
      <c r="D26" s="1"/>
      <c r="E26" s="1"/>
      <c r="F26" s="1"/>
      <c r="G26" s="1"/>
      <c r="H26" s="4"/>
      <c r="I26" s="1"/>
    </row>
    <row r="27" spans="1:9" x14ac:dyDescent="0.25">
      <c r="A27" s="6" t="s">
        <v>31</v>
      </c>
      <c r="B27" s="4">
        <v>1898.0700000000002</v>
      </c>
      <c r="C27" s="4">
        <v>1898.0700000000002</v>
      </c>
      <c r="D27" s="4">
        <v>1898.0700000000002</v>
      </c>
      <c r="E27" s="4">
        <v>0</v>
      </c>
      <c r="F27" s="4">
        <v>6959.6100000000006</v>
      </c>
      <c r="G27" s="4">
        <v>1898.0700000000002</v>
      </c>
      <c r="H27" s="4">
        <f t="shared" si="0"/>
        <v>14551.890000000001</v>
      </c>
      <c r="I27" s="1"/>
    </row>
    <row r="28" spans="1:9" x14ac:dyDescent="0.25">
      <c r="A28" s="6" t="s">
        <v>32</v>
      </c>
      <c r="B28" s="4">
        <v>0</v>
      </c>
      <c r="C28" s="4">
        <v>250</v>
      </c>
      <c r="D28" s="4">
        <v>200</v>
      </c>
      <c r="E28" s="4">
        <v>0</v>
      </c>
      <c r="F28" s="4">
        <v>500</v>
      </c>
      <c r="G28" s="4">
        <v>200</v>
      </c>
      <c r="H28" s="4">
        <f t="shared" si="0"/>
        <v>1150</v>
      </c>
      <c r="I28" s="1"/>
    </row>
    <row r="29" spans="1:9" x14ac:dyDescent="0.25">
      <c r="A29" s="6" t="s">
        <v>30</v>
      </c>
      <c r="B29" s="4">
        <f t="shared" ref="B29:G29" si="10">SUM(B27:B28)</f>
        <v>1898.0700000000002</v>
      </c>
      <c r="C29" s="4">
        <f t="shared" si="10"/>
        <v>2148.0700000000002</v>
      </c>
      <c r="D29" s="4">
        <f t="shared" si="10"/>
        <v>2098.0700000000002</v>
      </c>
      <c r="E29" s="4">
        <f t="shared" si="10"/>
        <v>0</v>
      </c>
      <c r="F29" s="4">
        <f t="shared" si="10"/>
        <v>7459.6100000000006</v>
      </c>
      <c r="G29" s="4">
        <f t="shared" si="10"/>
        <v>2098.0700000000002</v>
      </c>
      <c r="H29" s="4">
        <f t="shared" si="0"/>
        <v>15701.890000000001</v>
      </c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4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4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4"/>
      <c r="I32" s="1"/>
    </row>
    <row r="33" spans="1:26" ht="15.75" customHeight="1" x14ac:dyDescent="0.25">
      <c r="A33" s="7" t="s">
        <v>33</v>
      </c>
      <c r="B33" s="1"/>
      <c r="C33" s="1"/>
      <c r="D33" s="1"/>
      <c r="E33" s="1"/>
      <c r="F33" s="1"/>
      <c r="G33" s="1"/>
      <c r="H33" s="4"/>
      <c r="I33" s="1"/>
    </row>
    <row r="34" spans="1:26" x14ac:dyDescent="0.25">
      <c r="A34" s="3" t="s">
        <v>34</v>
      </c>
      <c r="B34" s="1"/>
      <c r="C34" s="1"/>
      <c r="D34" s="1"/>
      <c r="E34" s="1"/>
      <c r="F34" s="1"/>
      <c r="G34" s="1"/>
      <c r="H34" s="4"/>
      <c r="I34" s="1"/>
    </row>
    <row r="35" spans="1:26" x14ac:dyDescent="0.25">
      <c r="A35" s="1" t="s">
        <v>63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4"/>
      <c r="I35" s="1"/>
    </row>
    <row r="36" spans="1:26" x14ac:dyDescent="0.25">
      <c r="A36" s="1" t="s">
        <v>35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4"/>
      <c r="I36" s="1"/>
    </row>
    <row r="37" spans="1:26" x14ac:dyDescent="0.25">
      <c r="A37" s="2" t="s">
        <v>36</v>
      </c>
      <c r="B37" s="1">
        <f t="shared" ref="B37:G37" si="11">B35+B36</f>
        <v>0</v>
      </c>
      <c r="C37" s="2">
        <f t="shared" si="11"/>
        <v>0</v>
      </c>
      <c r="D37" s="2">
        <f t="shared" si="11"/>
        <v>0</v>
      </c>
      <c r="E37" s="2">
        <f t="shared" si="11"/>
        <v>0</v>
      </c>
      <c r="F37" s="2">
        <f t="shared" si="11"/>
        <v>0</v>
      </c>
      <c r="G37" s="2">
        <f t="shared" si="11"/>
        <v>0</v>
      </c>
      <c r="H37" s="4"/>
      <c r="I37" s="1"/>
    </row>
    <row r="38" spans="1:26" x14ac:dyDescent="0.25">
      <c r="A38" s="3" t="s">
        <v>37</v>
      </c>
      <c r="B38" s="1"/>
      <c r="C38" s="1"/>
      <c r="D38" s="1"/>
      <c r="E38" s="1"/>
      <c r="F38" s="1"/>
      <c r="G38" s="1"/>
      <c r="H38" s="4"/>
      <c r="I38" s="1"/>
    </row>
    <row r="39" spans="1:26" x14ac:dyDescent="0.25">
      <c r="A39" s="1" t="s">
        <v>61</v>
      </c>
      <c r="B39" s="4">
        <f>B48</f>
        <v>65000</v>
      </c>
      <c r="C39" s="4">
        <f t="shared" ref="C39:G39" si="12">B39+B16</f>
        <v>59811.3</v>
      </c>
      <c r="D39" s="4">
        <f t="shared" si="12"/>
        <v>49017.600000000006</v>
      </c>
      <c r="E39" s="4">
        <f t="shared" si="12"/>
        <v>42436.200000000004</v>
      </c>
      <c r="F39" s="4">
        <f t="shared" si="12"/>
        <v>39301.920000000006</v>
      </c>
      <c r="G39" s="4">
        <f t="shared" si="12"/>
        <v>23768.560000000005</v>
      </c>
      <c r="H39" s="4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1" t="s">
        <v>38</v>
      </c>
      <c r="B40" s="1">
        <v>0</v>
      </c>
      <c r="C40" s="1">
        <v>6000</v>
      </c>
      <c r="D40" s="1">
        <v>4500</v>
      </c>
      <c r="E40" s="1">
        <v>4500</v>
      </c>
      <c r="F40" s="1">
        <v>0</v>
      </c>
      <c r="G40" s="1">
        <v>0</v>
      </c>
      <c r="H40" s="4"/>
      <c r="I40" s="1"/>
    </row>
    <row r="41" spans="1:26" x14ac:dyDescent="0.25">
      <c r="A41" s="3" t="s">
        <v>39</v>
      </c>
      <c r="B41" s="1"/>
      <c r="C41" s="1"/>
      <c r="D41" s="1"/>
      <c r="E41" s="1"/>
      <c r="F41" s="1"/>
      <c r="G41" s="1"/>
      <c r="H41" s="4"/>
      <c r="I41" s="1"/>
    </row>
    <row r="42" spans="1:26" x14ac:dyDescent="0.25">
      <c r="A42" s="1" t="s">
        <v>40</v>
      </c>
      <c r="B42" s="4">
        <f>B21+B22+B27+B28+B40+B11</f>
        <v>5188.7000000000007</v>
      </c>
      <c r="C42" s="4">
        <f>C21+C22+C27+C28+C40+C11</f>
        <v>16793.7</v>
      </c>
      <c r="D42" s="4">
        <f t="shared" ref="D42:E42" si="13">D21+D22+D27+D28+D40+D11</f>
        <v>11081.4</v>
      </c>
      <c r="E42" s="4">
        <f t="shared" si="13"/>
        <v>7634.28</v>
      </c>
      <c r="F42" s="4">
        <f t="shared" ref="F42:G42" si="14">F21+F22+F27+F28+F11</f>
        <v>15533.36</v>
      </c>
      <c r="G42" s="4">
        <f t="shared" si="14"/>
        <v>6404.32</v>
      </c>
      <c r="H42" s="4"/>
      <c r="I42" s="1"/>
    </row>
    <row r="43" spans="1:26" x14ac:dyDescent="0.25">
      <c r="A43" s="1" t="s">
        <v>42</v>
      </c>
      <c r="B43" s="4">
        <f t="shared" ref="B43:G43" si="15">SUM(B39:B40)-B42</f>
        <v>59811.3</v>
      </c>
      <c r="C43" s="4">
        <f t="shared" si="15"/>
        <v>49017.600000000006</v>
      </c>
      <c r="D43" s="4">
        <f t="shared" si="15"/>
        <v>42436.200000000004</v>
      </c>
      <c r="E43" s="4">
        <f t="shared" si="15"/>
        <v>39301.920000000006</v>
      </c>
      <c r="F43" s="4">
        <f t="shared" si="15"/>
        <v>23768.560000000005</v>
      </c>
      <c r="G43" s="4">
        <f t="shared" si="15"/>
        <v>17364.240000000005</v>
      </c>
      <c r="H43" s="4"/>
      <c r="I43" s="1"/>
    </row>
    <row r="44" spans="1:26" x14ac:dyDescent="0.25">
      <c r="A44" s="3" t="s">
        <v>44</v>
      </c>
      <c r="B44" s="1"/>
      <c r="C44" s="1"/>
      <c r="D44" s="1"/>
      <c r="E44" s="1"/>
      <c r="F44" s="1"/>
      <c r="G44" s="1"/>
      <c r="H44" s="4"/>
      <c r="I44" s="1"/>
    </row>
    <row r="45" spans="1:26" x14ac:dyDescent="0.25">
      <c r="A45" s="1" t="s">
        <v>45</v>
      </c>
      <c r="B45" s="2">
        <v>65000</v>
      </c>
      <c r="C45" s="2">
        <v>65000</v>
      </c>
      <c r="D45" s="8">
        <v>65000</v>
      </c>
      <c r="E45" s="2">
        <v>65000</v>
      </c>
      <c r="F45" s="1">
        <v>65000</v>
      </c>
      <c r="G45" s="2">
        <v>65000</v>
      </c>
      <c r="H45" s="4"/>
      <c r="I45" s="1"/>
    </row>
    <row r="46" spans="1:26" x14ac:dyDescent="0.25">
      <c r="A46" s="4" t="s">
        <v>46</v>
      </c>
      <c r="B46" s="4">
        <f t="shared" ref="B46:G46" si="16">B43+B37-B45</f>
        <v>-5188.6999999999971</v>
      </c>
      <c r="C46" s="4">
        <f t="shared" si="16"/>
        <v>-15982.399999999994</v>
      </c>
      <c r="D46" s="4">
        <f t="shared" si="16"/>
        <v>-22563.799999999996</v>
      </c>
      <c r="E46" s="4">
        <f t="shared" si="16"/>
        <v>-25698.079999999994</v>
      </c>
      <c r="F46" s="4">
        <f t="shared" si="16"/>
        <v>-41231.439999999995</v>
      </c>
      <c r="G46" s="4">
        <f t="shared" si="16"/>
        <v>-47635.759999999995</v>
      </c>
      <c r="H46" s="4"/>
      <c r="I46" s="1"/>
    </row>
    <row r="47" spans="1:26" x14ac:dyDescent="0.25">
      <c r="A47" s="1"/>
      <c r="B47" s="1"/>
      <c r="C47" s="1"/>
      <c r="D47" s="1"/>
      <c r="E47" s="1"/>
      <c r="F47" s="1"/>
      <c r="G47" s="1"/>
      <c r="H47" s="4"/>
      <c r="I47" s="1"/>
    </row>
    <row r="48" spans="1:26" x14ac:dyDescent="0.25">
      <c r="A48" s="1" t="s">
        <v>16</v>
      </c>
      <c r="B48" s="2">
        <v>65000</v>
      </c>
      <c r="C48" s="2">
        <v>65000</v>
      </c>
      <c r="D48" s="2">
        <v>65000</v>
      </c>
      <c r="E48" s="2">
        <v>65000</v>
      </c>
      <c r="F48" s="1">
        <v>65000</v>
      </c>
      <c r="G48" s="2">
        <v>65000</v>
      </c>
      <c r="H48" s="4"/>
      <c r="I48" s="1"/>
    </row>
    <row r="49" spans="1:9" x14ac:dyDescent="0.25">
      <c r="A49" s="1" t="s">
        <v>48</v>
      </c>
      <c r="B49" s="4">
        <f t="shared" ref="B49:G49" si="17">B16</f>
        <v>-5188.7000000000007</v>
      </c>
      <c r="C49" s="4">
        <f t="shared" si="17"/>
        <v>-10793.7</v>
      </c>
      <c r="D49" s="4">
        <f t="shared" si="17"/>
        <v>-6581.4</v>
      </c>
      <c r="E49" s="4">
        <f t="shared" si="17"/>
        <v>-3134.2799999999997</v>
      </c>
      <c r="F49" s="4">
        <f t="shared" si="17"/>
        <v>-15533.36</v>
      </c>
      <c r="G49" s="4">
        <f t="shared" si="17"/>
        <v>-6404.32</v>
      </c>
      <c r="H49" s="4">
        <f t="shared" si="0"/>
        <v>-47635.76</v>
      </c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4"/>
      <c r="I50" s="1"/>
    </row>
    <row r="51" spans="1:9" x14ac:dyDescent="0.25">
      <c r="A51" s="1" t="s">
        <v>49</v>
      </c>
      <c r="B51" s="4">
        <f>B49+B48</f>
        <v>59811.3</v>
      </c>
      <c r="C51" s="4">
        <f t="shared" ref="C51:G51" si="18">B51+C49</f>
        <v>49017.600000000006</v>
      </c>
      <c r="D51" s="4">
        <f t="shared" si="18"/>
        <v>42436.200000000004</v>
      </c>
      <c r="E51" s="4">
        <f t="shared" si="18"/>
        <v>39301.920000000006</v>
      </c>
      <c r="F51" s="4">
        <f t="shared" si="18"/>
        <v>23768.560000000005</v>
      </c>
      <c r="G51" s="4">
        <f t="shared" si="18"/>
        <v>17364.240000000005</v>
      </c>
      <c r="H51" s="4"/>
      <c r="I51" s="1"/>
    </row>
    <row r="52" spans="1:9" x14ac:dyDescent="0.25">
      <c r="A52" s="1"/>
      <c r="B52" s="1"/>
      <c r="C52" s="1"/>
      <c r="D52" s="1"/>
      <c r="E52" s="1"/>
      <c r="F52" s="4"/>
      <c r="G52" s="4"/>
      <c r="H52" s="1"/>
      <c r="I52" s="1"/>
    </row>
    <row r="53" spans="1:9" x14ac:dyDescent="0.25">
      <c r="A53" s="1"/>
      <c r="B53" s="4"/>
      <c r="C53" s="4"/>
      <c r="D53" s="4"/>
      <c r="E53" s="4"/>
      <c r="F53" s="4"/>
      <c r="G53" s="4"/>
      <c r="H53" s="1"/>
      <c r="I53" s="1"/>
    </row>
    <row r="54" spans="1:9" x14ac:dyDescent="0.25">
      <c r="A54" s="1"/>
      <c r="B54" s="1"/>
      <c r="C54" s="1"/>
      <c r="D54" s="1"/>
      <c r="E54" s="1"/>
      <c r="F54" s="4"/>
      <c r="G54" s="4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4"/>
      <c r="G56" s="4"/>
      <c r="H56" s="1"/>
      <c r="I56" s="1"/>
    </row>
    <row r="57" spans="1:9" x14ac:dyDescent="0.25">
      <c r="A57" s="1"/>
      <c r="B57" s="1"/>
      <c r="C57" s="1"/>
      <c r="D57" s="1"/>
      <c r="E57" s="1"/>
      <c r="F57" s="4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</sheetData>
  <mergeCells count="1">
    <mergeCell ref="C1:G1"/>
  </mergeCells>
  <conditionalFormatting sqref="B7:G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G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5"/>
  <sheetViews>
    <sheetView workbookViewId="0">
      <pane ySplit="1" topLeftCell="A2" activePane="bottomLeft" state="frozen"/>
      <selection pane="bottomLeft" activeCell="I17" sqref="I17"/>
    </sheetView>
  </sheetViews>
  <sheetFormatPr defaultColWidth="15.140625" defaultRowHeight="15" customHeight="1" x14ac:dyDescent="0.25"/>
  <cols>
    <col min="1" max="1" width="48.5703125" style="12" customWidth="1"/>
    <col min="2" max="7" width="15.7109375" style="12" customWidth="1"/>
    <col min="8" max="8" width="2.7109375" style="12" customWidth="1"/>
    <col min="9" max="9" width="24.85546875" style="12" bestFit="1" customWidth="1"/>
    <col min="10" max="10" width="8" style="12" customWidth="1"/>
    <col min="11" max="26" width="7.42578125" style="12" customWidth="1"/>
    <col min="27" max="16384" width="15.140625" style="12"/>
  </cols>
  <sheetData>
    <row r="1" spans="1:26" ht="15" customHeight="1" thickBot="1" x14ac:dyDescent="0.3">
      <c r="A1" s="11"/>
      <c r="B1" s="56" t="s">
        <v>2</v>
      </c>
      <c r="C1" s="56" t="s">
        <v>3</v>
      </c>
      <c r="D1" s="56" t="s">
        <v>4</v>
      </c>
      <c r="E1" s="56" t="s">
        <v>5</v>
      </c>
      <c r="F1" s="56" t="s">
        <v>6</v>
      </c>
      <c r="G1" s="56" t="s">
        <v>65</v>
      </c>
    </row>
    <row r="2" spans="1:26" ht="20.25" customHeight="1" thickTop="1" thickBot="1" x14ac:dyDescent="0.4">
      <c r="A2" s="68" t="s">
        <v>0</v>
      </c>
      <c r="B2" s="69"/>
      <c r="C2" s="69"/>
      <c r="D2" s="69"/>
      <c r="E2" s="69"/>
      <c r="F2" s="69"/>
      <c r="G2" s="69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5.75" thickBot="1" x14ac:dyDescent="0.3">
      <c r="A3" s="39" t="s">
        <v>93</v>
      </c>
      <c r="B3" s="40"/>
      <c r="C3" s="40"/>
      <c r="D3" s="40"/>
      <c r="E3" s="40"/>
      <c r="F3" s="40"/>
      <c r="G3" s="40"/>
      <c r="H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x14ac:dyDescent="0.25">
      <c r="A4" s="14" t="s">
        <v>72</v>
      </c>
      <c r="B4" s="15"/>
      <c r="C4" s="15"/>
      <c r="D4" s="15"/>
      <c r="E4" s="15"/>
      <c r="F4" s="15"/>
      <c r="G4" s="15"/>
      <c r="H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5.75" thickBot="1" x14ac:dyDescent="0.3">
      <c r="A5" s="19" t="s">
        <v>17</v>
      </c>
      <c r="B5" s="20">
        <v>6000</v>
      </c>
      <c r="C5" s="20">
        <v>0</v>
      </c>
      <c r="D5" s="20">
        <v>0</v>
      </c>
      <c r="E5" s="20">
        <v>0</v>
      </c>
      <c r="F5" s="20">
        <v>0</v>
      </c>
      <c r="G5" s="20">
        <v>0</v>
      </c>
      <c r="H5" s="17"/>
      <c r="I5" s="18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25">
      <c r="A6" s="14" t="s">
        <v>71</v>
      </c>
      <c r="B6" s="21"/>
      <c r="C6" s="21"/>
      <c r="D6" s="21"/>
      <c r="E6" s="21"/>
      <c r="F6" s="21"/>
      <c r="G6" s="21"/>
      <c r="H6" s="17"/>
      <c r="I6" s="71" t="s">
        <v>98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x14ac:dyDescent="0.25">
      <c r="A7" s="16" t="s">
        <v>79</v>
      </c>
      <c r="B7" s="17"/>
      <c r="C7" s="17">
        <v>29.99</v>
      </c>
      <c r="D7" s="17">
        <v>29.99</v>
      </c>
      <c r="E7" s="17">
        <v>29.99</v>
      </c>
      <c r="F7" s="17">
        <v>29.99</v>
      </c>
      <c r="G7" s="17">
        <v>29.99</v>
      </c>
      <c r="H7" s="17"/>
      <c r="I7" s="72">
        <v>0.1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5.75" thickBot="1" x14ac:dyDescent="0.3">
      <c r="A8" s="19" t="s">
        <v>80</v>
      </c>
      <c r="B8" s="20"/>
      <c r="C8" s="20">
        <f>C7-1</f>
        <v>28.99</v>
      </c>
      <c r="D8" s="20">
        <f>ROUNDDOWN(D7-D7*$I$7,2)</f>
        <v>26.99</v>
      </c>
      <c r="E8" s="20">
        <f>ROUNDDOWN(E7-E7*$I$7,2)</f>
        <v>26.99</v>
      </c>
      <c r="F8" s="20">
        <f>ROUNDDOWN(F7-F7*$I$7,2)</f>
        <v>26.99</v>
      </c>
      <c r="G8" s="20">
        <f>ROUNDDOWN(G7-G7*$I$7,2)</f>
        <v>26.99</v>
      </c>
      <c r="H8" s="17"/>
      <c r="I8" s="18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x14ac:dyDescent="0.25">
      <c r="A9" s="14" t="s">
        <v>74</v>
      </c>
      <c r="B9" s="21"/>
      <c r="C9" s="21"/>
      <c r="D9" s="21"/>
      <c r="E9" s="21"/>
      <c r="F9" s="21"/>
      <c r="G9" s="21"/>
      <c r="H9" s="17"/>
      <c r="I9" s="71" t="s">
        <v>7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x14ac:dyDescent="0.25">
      <c r="A10" s="16" t="s">
        <v>68</v>
      </c>
      <c r="B10" s="22">
        <v>0</v>
      </c>
      <c r="C10" s="22">
        <v>2626</v>
      </c>
      <c r="D10" s="22">
        <v>2626</v>
      </c>
      <c r="E10" s="22">
        <v>2626</v>
      </c>
      <c r="F10" s="22">
        <v>2626</v>
      </c>
      <c r="G10" s="22">
        <v>2626</v>
      </c>
      <c r="H10" s="23"/>
      <c r="I10" s="72">
        <v>0.5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x14ac:dyDescent="0.25">
      <c r="A11" s="16" t="s">
        <v>67</v>
      </c>
      <c r="B11" s="22">
        <v>0</v>
      </c>
      <c r="C11" s="22">
        <f>ROUNDDOWN((B10+B11)*$I$10,0)</f>
        <v>0</v>
      </c>
      <c r="D11" s="22">
        <f>ROUNDDOWN((C10+C11)*$I$10,0)</f>
        <v>1313</v>
      </c>
      <c r="E11" s="22">
        <f>ROUNDDOWN((D10+D11)*$I$10,0)</f>
        <v>1969</v>
      </c>
      <c r="F11" s="22">
        <f>ROUNDDOWN((E10+E11)*$I$10,0)</f>
        <v>2297</v>
      </c>
      <c r="G11" s="22">
        <f>ROUNDDOWN((F10+F11)*$I$10,0)</f>
        <v>2461</v>
      </c>
      <c r="H11" s="2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x14ac:dyDescent="0.25">
      <c r="A12" s="16" t="s">
        <v>73</v>
      </c>
      <c r="B12" s="24">
        <f t="shared" ref="B12:G12" si="0">B11+B10</f>
        <v>0</v>
      </c>
      <c r="C12" s="24">
        <f>C11+C10</f>
        <v>2626</v>
      </c>
      <c r="D12" s="24">
        <f t="shared" si="0"/>
        <v>3939</v>
      </c>
      <c r="E12" s="24">
        <f t="shared" si="0"/>
        <v>4595</v>
      </c>
      <c r="F12" s="24">
        <f t="shared" si="0"/>
        <v>4923</v>
      </c>
      <c r="G12" s="24">
        <f t="shared" si="0"/>
        <v>5087</v>
      </c>
      <c r="H12" s="2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5.75" thickBot="1" x14ac:dyDescent="0.3">
      <c r="A13" s="19" t="s">
        <v>78</v>
      </c>
      <c r="B13" s="20">
        <f>B12*B7</f>
        <v>0</v>
      </c>
      <c r="C13" s="20">
        <f>C12*C8</f>
        <v>76127.739999999991</v>
      </c>
      <c r="D13" s="20">
        <f t="shared" ref="D13:G13" si="1">D12*D8</f>
        <v>106313.61</v>
      </c>
      <c r="E13" s="20">
        <f t="shared" si="1"/>
        <v>124019.04999999999</v>
      </c>
      <c r="F13" s="20">
        <f t="shared" si="1"/>
        <v>132871.76999999999</v>
      </c>
      <c r="G13" s="20">
        <f t="shared" si="1"/>
        <v>137298.13</v>
      </c>
      <c r="H13" s="17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x14ac:dyDescent="0.25">
      <c r="A14" s="14" t="s">
        <v>75</v>
      </c>
      <c r="B14" s="21"/>
      <c r="C14" s="21"/>
      <c r="D14" s="21"/>
      <c r="E14" s="21"/>
      <c r="F14" s="21"/>
      <c r="G14" s="21"/>
      <c r="H14" s="17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x14ac:dyDescent="0.25">
      <c r="A15" s="16" t="s">
        <v>69</v>
      </c>
      <c r="B15" s="24">
        <v>0</v>
      </c>
      <c r="C15" s="24">
        <v>292</v>
      </c>
      <c r="D15" s="24">
        <v>292</v>
      </c>
      <c r="E15" s="24">
        <v>292</v>
      </c>
      <c r="F15" s="24">
        <v>292</v>
      </c>
      <c r="G15" s="24">
        <v>292</v>
      </c>
      <c r="H15" s="2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x14ac:dyDescent="0.25">
      <c r="A16" s="16" t="s">
        <v>70</v>
      </c>
      <c r="B16" s="24">
        <v>0</v>
      </c>
      <c r="C16" s="24">
        <v>0</v>
      </c>
      <c r="D16" s="24">
        <f>ROUNDDOWN((C15+C16)*$I$10,0)</f>
        <v>146</v>
      </c>
      <c r="E16" s="24">
        <f>ROUNDDOWN((D15+D16)*$I$10,0)</f>
        <v>219</v>
      </c>
      <c r="F16" s="24">
        <f>ROUNDDOWN((E15+E16)*$I$10,0)</f>
        <v>255</v>
      </c>
      <c r="G16" s="24">
        <f>ROUNDDOWN((F15+F16)*$I$10,0)</f>
        <v>273</v>
      </c>
      <c r="H16" s="2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x14ac:dyDescent="0.25">
      <c r="A17" s="16" t="s">
        <v>76</v>
      </c>
      <c r="B17" s="24">
        <v>0</v>
      </c>
      <c r="C17" s="24">
        <f>C15+C16</f>
        <v>292</v>
      </c>
      <c r="D17" s="24">
        <f t="shared" ref="D17:G17" si="2">D15+D16</f>
        <v>438</v>
      </c>
      <c r="E17" s="24">
        <f t="shared" si="2"/>
        <v>511</v>
      </c>
      <c r="F17" s="24">
        <f t="shared" si="2"/>
        <v>547</v>
      </c>
      <c r="G17" s="24">
        <f t="shared" si="2"/>
        <v>565</v>
      </c>
      <c r="H17" s="2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x14ac:dyDescent="0.25">
      <c r="A18" s="16" t="s">
        <v>77</v>
      </c>
      <c r="B18" s="17">
        <v>0</v>
      </c>
      <c r="C18" s="17">
        <f>C17*C7</f>
        <v>8757.08</v>
      </c>
      <c r="D18" s="17">
        <f t="shared" ref="D18:F18" si="3">D17*D7</f>
        <v>13135.619999999999</v>
      </c>
      <c r="E18" s="17">
        <f t="shared" si="3"/>
        <v>15324.89</v>
      </c>
      <c r="F18" s="17">
        <f t="shared" si="3"/>
        <v>16404.53</v>
      </c>
      <c r="G18" s="17">
        <f>G17*G7</f>
        <v>16944.349999999999</v>
      </c>
      <c r="H18" s="17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x14ac:dyDescent="0.25">
      <c r="A19" s="16"/>
      <c r="B19" s="17"/>
      <c r="C19" s="17"/>
      <c r="D19" s="17"/>
      <c r="E19" s="17"/>
      <c r="F19" s="17"/>
      <c r="G19" s="17"/>
      <c r="H19" s="17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5.75" thickBot="1" x14ac:dyDescent="0.3">
      <c r="A20" s="45" t="s">
        <v>84</v>
      </c>
      <c r="B20" s="46">
        <f>B5+B13+B18</f>
        <v>6000</v>
      </c>
      <c r="C20" s="46">
        <f t="shared" ref="C20:G20" si="4">C5+C13+C18</f>
        <v>84884.819999999992</v>
      </c>
      <c r="D20" s="46">
        <f t="shared" si="4"/>
        <v>119449.23</v>
      </c>
      <c r="E20" s="46">
        <f t="shared" si="4"/>
        <v>139343.94</v>
      </c>
      <c r="F20" s="46">
        <f t="shared" si="4"/>
        <v>149276.29999999999</v>
      </c>
      <c r="G20" s="46">
        <f t="shared" si="4"/>
        <v>154242.48000000001</v>
      </c>
      <c r="H20" s="17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5.75" thickBot="1" x14ac:dyDescent="0.3">
      <c r="A21" s="39" t="s">
        <v>92</v>
      </c>
      <c r="B21" s="47"/>
      <c r="C21" s="47"/>
      <c r="D21" s="47"/>
      <c r="E21" s="47"/>
      <c r="F21" s="47"/>
      <c r="G21" s="47"/>
      <c r="H21" s="17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x14ac:dyDescent="0.25">
      <c r="A22" s="14" t="s">
        <v>81</v>
      </c>
      <c r="B22" s="21"/>
      <c r="C22" s="21"/>
      <c r="D22" s="21"/>
      <c r="E22" s="21"/>
      <c r="F22" s="21"/>
      <c r="G22" s="21"/>
      <c r="H22" s="17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x14ac:dyDescent="0.25">
      <c r="A23" s="27" t="s">
        <v>41</v>
      </c>
      <c r="B23" s="17">
        <f>2300</f>
        <v>2300</v>
      </c>
      <c r="C23" s="17">
        <f t="shared" ref="C23:G23" si="5">100*52</f>
        <v>5200</v>
      </c>
      <c r="D23" s="17">
        <f t="shared" si="5"/>
        <v>5200</v>
      </c>
      <c r="E23" s="17">
        <f t="shared" si="5"/>
        <v>5200</v>
      </c>
      <c r="F23" s="17">
        <f t="shared" si="5"/>
        <v>5200</v>
      </c>
      <c r="G23" s="17">
        <f t="shared" si="5"/>
        <v>5200</v>
      </c>
      <c r="H23" s="17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x14ac:dyDescent="0.25">
      <c r="A24" s="27" t="s">
        <v>32</v>
      </c>
      <c r="B24" s="17">
        <f>1150</f>
        <v>1150</v>
      </c>
      <c r="C24" s="17">
        <f t="shared" ref="C24:G24" si="6">50*52</f>
        <v>2600</v>
      </c>
      <c r="D24" s="17">
        <f t="shared" si="6"/>
        <v>2600</v>
      </c>
      <c r="E24" s="17">
        <f t="shared" si="6"/>
        <v>2600</v>
      </c>
      <c r="F24" s="17">
        <f t="shared" si="6"/>
        <v>2600</v>
      </c>
      <c r="G24" s="17">
        <f t="shared" si="6"/>
        <v>2600</v>
      </c>
      <c r="H24" s="17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6.5" customHeight="1" x14ac:dyDescent="0.25">
      <c r="A25" s="27" t="s">
        <v>31</v>
      </c>
      <c r="B25" s="17">
        <f>14551.89</f>
        <v>14551.89</v>
      </c>
      <c r="C25" s="17">
        <f>(1400*23.5)/2</f>
        <v>16450</v>
      </c>
      <c r="D25" s="17">
        <f t="shared" ref="D25:G25" si="7">(1400*23.5)/2</f>
        <v>16450</v>
      </c>
      <c r="E25" s="17">
        <f t="shared" si="7"/>
        <v>16450</v>
      </c>
      <c r="F25" s="17">
        <f t="shared" si="7"/>
        <v>16450</v>
      </c>
      <c r="G25" s="17">
        <f t="shared" si="7"/>
        <v>16450</v>
      </c>
      <c r="H25" s="17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x14ac:dyDescent="0.25">
      <c r="A26" s="16" t="s">
        <v>52</v>
      </c>
      <c r="B26" s="17">
        <v>0</v>
      </c>
      <c r="C26" s="17">
        <v>232.6</v>
      </c>
      <c r="D26" s="17">
        <v>232.6</v>
      </c>
      <c r="E26" s="17">
        <v>232.6</v>
      </c>
      <c r="F26" s="17">
        <v>232.6</v>
      </c>
      <c r="G26" s="17">
        <v>232.6</v>
      </c>
      <c r="H26" s="17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5.75" thickBot="1" x14ac:dyDescent="0.3">
      <c r="A27" s="19" t="s">
        <v>51</v>
      </c>
      <c r="B27" s="20">
        <v>0</v>
      </c>
      <c r="C27" s="20">
        <f>16820</f>
        <v>16820</v>
      </c>
      <c r="D27" s="20">
        <f>16820</f>
        <v>16820</v>
      </c>
      <c r="E27" s="20">
        <f>16820</f>
        <v>16820</v>
      </c>
      <c r="F27" s="20">
        <f>16820</f>
        <v>16820</v>
      </c>
      <c r="G27" s="20">
        <f>16820</f>
        <v>16820</v>
      </c>
      <c r="H27" s="17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5" customHeight="1" x14ac:dyDescent="0.25">
      <c r="A28" s="51" t="s">
        <v>82</v>
      </c>
      <c r="B28" s="50"/>
      <c r="C28" s="50"/>
      <c r="D28" s="50"/>
      <c r="E28" s="50"/>
      <c r="F28" s="50"/>
      <c r="G28" s="50"/>
    </row>
    <row r="29" spans="1:26" x14ac:dyDescent="0.25">
      <c r="A29" s="27" t="s">
        <v>43</v>
      </c>
      <c r="B29" s="17">
        <v>24368.87</v>
      </c>
      <c r="C29" s="17">
        <f>$B$29 * 2</f>
        <v>48737.74</v>
      </c>
      <c r="D29" s="17">
        <f>$B$29 * 2</f>
        <v>48737.74</v>
      </c>
      <c r="E29" s="17">
        <f>$B$29 * 2</f>
        <v>48737.74</v>
      </c>
      <c r="F29" s="17">
        <f>$B$29 * 2</f>
        <v>48737.74</v>
      </c>
      <c r="G29" s="17">
        <f>$B$29 * 2</f>
        <v>48737.74</v>
      </c>
      <c r="H29" s="17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x14ac:dyDescent="0.25">
      <c r="A30" s="27" t="s">
        <v>47</v>
      </c>
      <c r="B30" s="17">
        <v>6000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5.75" thickBot="1" x14ac:dyDescent="0.3">
      <c r="A31" s="19" t="s">
        <v>53</v>
      </c>
      <c r="B31" s="20">
        <v>0</v>
      </c>
      <c r="C31" s="20">
        <v>0</v>
      </c>
      <c r="D31" s="20">
        <v>0</v>
      </c>
      <c r="E31" s="20">
        <v>0</v>
      </c>
      <c r="F31" s="20">
        <v>0</v>
      </c>
      <c r="G31" s="20">
        <v>0</v>
      </c>
      <c r="H31" s="17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5" customHeight="1" x14ac:dyDescent="0.25">
      <c r="A32" s="51" t="s">
        <v>83</v>
      </c>
      <c r="B32" s="50"/>
      <c r="C32" s="50"/>
      <c r="D32" s="50"/>
      <c r="E32" s="50"/>
      <c r="F32" s="50"/>
      <c r="G32" s="50"/>
    </row>
    <row r="33" spans="1:26" x14ac:dyDescent="0.25">
      <c r="A33" s="27" t="s">
        <v>50</v>
      </c>
      <c r="B33" s="17">
        <f>'P&amp;L for duration of project '!H11</f>
        <v>5265</v>
      </c>
      <c r="C33" s="17">
        <f>B78*0.1686</f>
        <v>10959</v>
      </c>
      <c r="D33" s="17">
        <f>C78*0.1686</f>
        <v>8430</v>
      </c>
      <c r="E33" s="17">
        <f t="shared" ref="E33:G33" si="8">D78*0.1686</f>
        <v>4215</v>
      </c>
      <c r="F33" s="17">
        <f t="shared" si="8"/>
        <v>0</v>
      </c>
      <c r="G33" s="17">
        <f t="shared" si="8"/>
        <v>0</v>
      </c>
      <c r="H33" s="17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5" customHeight="1" x14ac:dyDescent="0.25">
      <c r="A34" s="52"/>
    </row>
    <row r="35" spans="1:26" ht="15" customHeight="1" thickBot="1" x14ac:dyDescent="0.3">
      <c r="A35" s="53" t="s">
        <v>94</v>
      </c>
      <c r="B35" s="67">
        <f>SUM(B23:B33)</f>
        <v>53635.759999999995</v>
      </c>
      <c r="C35" s="67">
        <f>SUM(C23:C33)</f>
        <v>100999.34</v>
      </c>
      <c r="D35" s="67">
        <f>SUM(D23:D33)</f>
        <v>98470.34</v>
      </c>
      <c r="E35" s="67">
        <f>SUM(E23:E33)</f>
        <v>94255.34</v>
      </c>
      <c r="F35" s="67">
        <f>SUM(F23:F33)</f>
        <v>90040.34</v>
      </c>
      <c r="G35" s="67">
        <f>SUM(G23:G33)</f>
        <v>90040.34</v>
      </c>
    </row>
    <row r="36" spans="1:26" ht="15.75" thickBot="1" x14ac:dyDescent="0.3">
      <c r="A36" s="39" t="s">
        <v>95</v>
      </c>
      <c r="B36" s="47"/>
      <c r="C36" s="47"/>
      <c r="D36" s="47"/>
      <c r="E36" s="47"/>
      <c r="F36" s="47"/>
      <c r="G36" s="47"/>
      <c r="H36" s="17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x14ac:dyDescent="0.25">
      <c r="A37" s="14" t="s">
        <v>95</v>
      </c>
      <c r="B37" s="21"/>
      <c r="C37" s="21"/>
      <c r="D37" s="21"/>
      <c r="E37" s="21"/>
      <c r="F37" s="21"/>
      <c r="G37" s="21"/>
      <c r="H37" s="17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x14ac:dyDescent="0.25">
      <c r="A38" s="25" t="s">
        <v>54</v>
      </c>
      <c r="B38" s="26">
        <v>0</v>
      </c>
      <c r="C38" s="26">
        <f>B49</f>
        <v>17364.240000000005</v>
      </c>
      <c r="D38" s="26">
        <f>C49</f>
        <v>1249.7200000000012</v>
      </c>
      <c r="E38" s="26">
        <f>D49</f>
        <v>3032.8320000000003</v>
      </c>
      <c r="F38" s="26">
        <f>E49</f>
        <v>14103.712000000007</v>
      </c>
      <c r="G38" s="26">
        <f>F49</f>
        <v>36492.479999999996</v>
      </c>
      <c r="H38" s="17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x14ac:dyDescent="0.25">
      <c r="A39" s="48"/>
      <c r="B39" s="49"/>
      <c r="C39" s="49"/>
      <c r="D39" s="49"/>
      <c r="E39" s="49"/>
      <c r="F39" s="49"/>
      <c r="G39" s="49"/>
      <c r="H39" s="17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x14ac:dyDescent="0.25">
      <c r="A40" s="48" t="s">
        <v>96</v>
      </c>
      <c r="B40" s="49">
        <v>65000</v>
      </c>
      <c r="C40" s="49">
        <v>0</v>
      </c>
      <c r="D40" s="49">
        <v>0</v>
      </c>
      <c r="E40" s="49">
        <v>0</v>
      </c>
      <c r="F40" s="49">
        <v>0</v>
      </c>
      <c r="G40" s="49">
        <v>0</v>
      </c>
      <c r="H40" s="17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x14ac:dyDescent="0.25">
      <c r="A41" s="48" t="s">
        <v>97</v>
      </c>
      <c r="B41" s="49">
        <v>0</v>
      </c>
      <c r="C41" s="49">
        <v>0</v>
      </c>
      <c r="D41" s="49">
        <v>15000</v>
      </c>
      <c r="E41" s="49">
        <v>25000</v>
      </c>
      <c r="F41" s="49">
        <v>25000</v>
      </c>
      <c r="G41" s="49">
        <v>0</v>
      </c>
      <c r="H41" s="17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x14ac:dyDescent="0.25">
      <c r="A42" s="48"/>
      <c r="B42" s="49"/>
      <c r="C42" s="49"/>
      <c r="D42" s="49"/>
      <c r="E42" s="49"/>
      <c r="F42" s="49"/>
      <c r="G42" s="49"/>
      <c r="H42" s="17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x14ac:dyDescent="0.25">
      <c r="A43" s="16" t="s">
        <v>55</v>
      </c>
      <c r="B43" s="17">
        <f>B20+B40</f>
        <v>71000</v>
      </c>
      <c r="C43" s="17">
        <f>C20+C40</f>
        <v>84884.819999999992</v>
      </c>
      <c r="D43" s="17">
        <f>D20+D40</f>
        <v>119449.23</v>
      </c>
      <c r="E43" s="17">
        <f>E20+E40</f>
        <v>139343.94</v>
      </c>
      <c r="F43" s="17">
        <f>F20+F40</f>
        <v>149276.29999999999</v>
      </c>
      <c r="G43" s="17">
        <f>G20+G40</f>
        <v>154242.48000000001</v>
      </c>
      <c r="H43" s="17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x14ac:dyDescent="0.25">
      <c r="A44" s="16" t="s">
        <v>56</v>
      </c>
      <c r="B44" s="17">
        <f>B35+B41</f>
        <v>53635.759999999995</v>
      </c>
      <c r="C44" s="17">
        <f t="shared" ref="C44:G44" si="9">C35+C41</f>
        <v>100999.34</v>
      </c>
      <c r="D44" s="17">
        <f t="shared" si="9"/>
        <v>113470.34</v>
      </c>
      <c r="E44" s="17">
        <f t="shared" si="9"/>
        <v>119255.34</v>
      </c>
      <c r="F44" s="17">
        <f t="shared" si="9"/>
        <v>115040.34</v>
      </c>
      <c r="G44" s="17">
        <f t="shared" si="9"/>
        <v>90040.34</v>
      </c>
      <c r="H44" s="17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x14ac:dyDescent="0.25">
      <c r="A45" s="16"/>
      <c r="B45" s="17"/>
      <c r="C45" s="17"/>
      <c r="D45" s="17"/>
      <c r="E45" s="17"/>
      <c r="F45" s="17"/>
      <c r="G45" s="17"/>
      <c r="H45" s="17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x14ac:dyDescent="0.25">
      <c r="A46" s="25" t="s">
        <v>85</v>
      </c>
      <c r="B46" s="26">
        <f>B43-B44</f>
        <v>17364.240000000005</v>
      </c>
      <c r="C46" s="26">
        <f>C43-C44</f>
        <v>-16114.520000000004</v>
      </c>
      <c r="D46" s="26">
        <f>D43-D44</f>
        <v>5978.8899999999994</v>
      </c>
      <c r="E46" s="26">
        <f>E43-E44</f>
        <v>20088.600000000006</v>
      </c>
      <c r="F46" s="26">
        <f>F43-F44</f>
        <v>34235.959999999992</v>
      </c>
      <c r="G46" s="26">
        <f>G43-G44</f>
        <v>64202.140000000014</v>
      </c>
      <c r="H46" s="17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x14ac:dyDescent="0.25">
      <c r="A47" s="16"/>
      <c r="B47" s="17"/>
      <c r="C47" s="17"/>
      <c r="D47" s="17"/>
      <c r="E47" s="17"/>
      <c r="F47" s="17"/>
      <c r="G47" s="17"/>
      <c r="H47" s="17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x14ac:dyDescent="0.25">
      <c r="A48" s="16" t="s">
        <v>64</v>
      </c>
      <c r="B48" s="17">
        <f>B60</f>
        <v>0</v>
      </c>
      <c r="C48" s="17">
        <f>C60</f>
        <v>0</v>
      </c>
      <c r="D48" s="17">
        <f>D60</f>
        <v>4195.7780000000002</v>
      </c>
      <c r="E48" s="17">
        <f>E60</f>
        <v>9017.7200000000012</v>
      </c>
      <c r="F48" s="17">
        <f>F60</f>
        <v>11847.191999999999</v>
      </c>
      <c r="G48" s="17">
        <f>G60</f>
        <v>12840.428000000004</v>
      </c>
      <c r="H48" s="17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x14ac:dyDescent="0.25">
      <c r="A49" s="25" t="s">
        <v>57</v>
      </c>
      <c r="B49" s="26">
        <f>B38+B46-B48</f>
        <v>17364.240000000005</v>
      </c>
      <c r="C49" s="26">
        <f>C46+C38-C48</f>
        <v>1249.7200000000012</v>
      </c>
      <c r="D49" s="26">
        <f>D46+D38-D48</f>
        <v>3032.8320000000003</v>
      </c>
      <c r="E49" s="26">
        <f>E46+E38-E48</f>
        <v>14103.712000000007</v>
      </c>
      <c r="F49" s="26">
        <f>F46+F38-F48</f>
        <v>36492.479999999996</v>
      </c>
      <c r="G49" s="26">
        <f>G46+G38-G48</f>
        <v>87854.19200000001</v>
      </c>
      <c r="H49" s="17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x14ac:dyDescent="0.25">
      <c r="A50" s="61"/>
      <c r="B50" s="26"/>
      <c r="C50" s="26"/>
      <c r="D50" s="26"/>
      <c r="E50" s="26"/>
      <c r="F50" s="26"/>
      <c r="G50" s="26"/>
      <c r="H50" s="17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5.75" thickBot="1" x14ac:dyDescent="0.3">
      <c r="A51" s="56"/>
      <c r="B51" s="26"/>
      <c r="C51" s="26"/>
      <c r="D51" s="26"/>
      <c r="E51" s="26"/>
      <c r="F51" s="26"/>
      <c r="G51" s="26"/>
      <c r="H51" s="17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20.25" customHeight="1" thickTop="1" thickBot="1" x14ac:dyDescent="0.4">
      <c r="A52" s="41" t="s">
        <v>66</v>
      </c>
      <c r="B52" s="70"/>
      <c r="C52" s="70"/>
      <c r="D52" s="70"/>
      <c r="E52" s="70"/>
      <c r="F52" s="70"/>
      <c r="G52" s="70"/>
      <c r="H52" s="17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x14ac:dyDescent="0.25">
      <c r="A53" s="58" t="s">
        <v>58</v>
      </c>
      <c r="B53" s="59"/>
      <c r="C53" s="60"/>
      <c r="D53" s="60"/>
      <c r="E53" s="60"/>
      <c r="F53" s="60"/>
      <c r="G53" s="60"/>
      <c r="H53" s="17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x14ac:dyDescent="0.25">
      <c r="A54" s="16" t="s">
        <v>91</v>
      </c>
      <c r="B54" s="17">
        <f>B20</f>
        <v>6000</v>
      </c>
      <c r="C54" s="17">
        <f t="shared" ref="C54:G54" si="10">C20</f>
        <v>84884.819999999992</v>
      </c>
      <c r="D54" s="17">
        <f t="shared" si="10"/>
        <v>119449.23</v>
      </c>
      <c r="E54" s="17">
        <f t="shared" si="10"/>
        <v>139343.94</v>
      </c>
      <c r="F54" s="17">
        <f t="shared" si="10"/>
        <v>149276.29999999999</v>
      </c>
      <c r="G54" s="17">
        <f t="shared" si="10"/>
        <v>154242.48000000001</v>
      </c>
      <c r="H54" s="17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x14ac:dyDescent="0.25">
      <c r="A55" s="16" t="s">
        <v>90</v>
      </c>
      <c r="B55" s="17">
        <f>B35</f>
        <v>53635.759999999995</v>
      </c>
      <c r="C55" s="17">
        <f t="shared" ref="C55:G55" si="11">C35</f>
        <v>100999.34</v>
      </c>
      <c r="D55" s="17">
        <f t="shared" si="11"/>
        <v>98470.34</v>
      </c>
      <c r="E55" s="17">
        <f t="shared" si="11"/>
        <v>94255.34</v>
      </c>
      <c r="F55" s="17">
        <f t="shared" si="11"/>
        <v>90040.34</v>
      </c>
      <c r="G55" s="17">
        <f t="shared" si="11"/>
        <v>90040.34</v>
      </c>
      <c r="H55" s="17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5" customHeight="1" x14ac:dyDescent="0.25">
      <c r="A56" s="52"/>
    </row>
    <row r="57" spans="1:26" s="55" customFormat="1" x14ac:dyDescent="0.25">
      <c r="A57" s="25" t="s">
        <v>86</v>
      </c>
      <c r="B57" s="26">
        <f>B54-B55+B33</f>
        <v>-42370.759999999995</v>
      </c>
      <c r="C57" s="26">
        <f>C54-C55+C33</f>
        <v>-5155.5200000000041</v>
      </c>
      <c r="D57" s="26">
        <f>D54-D55+D33</f>
        <v>29408.89</v>
      </c>
      <c r="E57" s="26">
        <f>E54-E55+E33</f>
        <v>49303.600000000006</v>
      </c>
      <c r="F57" s="26">
        <f>F54-F55+F33</f>
        <v>59235.959999999992</v>
      </c>
      <c r="G57" s="26">
        <f>G54-G55+G33</f>
        <v>64202.140000000014</v>
      </c>
      <c r="H57" s="26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 spans="1:26" s="55" customFormat="1" x14ac:dyDescent="0.25">
      <c r="A58" s="25" t="s">
        <v>87</v>
      </c>
      <c r="B58" s="26">
        <f>B57-B33</f>
        <v>-47635.759999999995</v>
      </c>
      <c r="C58" s="26">
        <f>C57-C33</f>
        <v>-16114.520000000004</v>
      </c>
      <c r="D58" s="26">
        <f>D57-D33</f>
        <v>20978.89</v>
      </c>
      <c r="E58" s="26">
        <f>E57-E33</f>
        <v>45088.600000000006</v>
      </c>
      <c r="F58" s="26">
        <f>F57-F33</f>
        <v>59235.959999999992</v>
      </c>
      <c r="G58" s="26">
        <f>G57-G33</f>
        <v>64202.140000000014</v>
      </c>
      <c r="H58" s="26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 spans="1:26" s="55" customFormat="1" x14ac:dyDescent="0.25">
      <c r="A59" s="25"/>
      <c r="B59" s="26"/>
      <c r="C59" s="26"/>
      <c r="D59" s="26"/>
      <c r="E59" s="26"/>
      <c r="F59" s="26"/>
      <c r="G59" s="26"/>
      <c r="H59" s="26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 spans="1:26" x14ac:dyDescent="0.25">
      <c r="A60" s="32" t="s">
        <v>23</v>
      </c>
      <c r="B60" s="17">
        <f>IF((B58)&gt;0,(B58)*0.2,0)</f>
        <v>0</v>
      </c>
      <c r="C60" s="17">
        <f t="shared" ref="C60:G60" si="12">IF((C58)&gt;0,(C58)*0.2,0)</f>
        <v>0</v>
      </c>
      <c r="D60" s="17">
        <f t="shared" si="12"/>
        <v>4195.7780000000002</v>
      </c>
      <c r="E60" s="17">
        <f t="shared" si="12"/>
        <v>9017.7200000000012</v>
      </c>
      <c r="F60" s="17">
        <f t="shared" si="12"/>
        <v>11847.191999999999</v>
      </c>
      <c r="G60" s="17">
        <f t="shared" si="12"/>
        <v>12840.428000000004</v>
      </c>
      <c r="H60" s="17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x14ac:dyDescent="0.25">
      <c r="A61" s="32" t="s">
        <v>59</v>
      </c>
      <c r="B61" s="17">
        <f>B58-B60</f>
        <v>-47635.759999999995</v>
      </c>
      <c r="C61" s="17">
        <f>C58-C60</f>
        <v>-16114.520000000004</v>
      </c>
      <c r="D61" s="17">
        <f>D58-D60</f>
        <v>16783.112000000001</v>
      </c>
      <c r="E61" s="17">
        <f t="shared" ref="B61:F61" si="13">E58-E60</f>
        <v>36070.880000000005</v>
      </c>
      <c r="F61" s="17">
        <f t="shared" si="13"/>
        <v>47388.767999999996</v>
      </c>
      <c r="G61" s="17">
        <f>G58-G60</f>
        <v>51361.712000000014</v>
      </c>
      <c r="H61" s="17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x14ac:dyDescent="0.25">
      <c r="A62" s="32"/>
      <c r="B62" s="17"/>
      <c r="C62" s="17"/>
      <c r="D62" s="17"/>
      <c r="E62" s="17"/>
      <c r="F62" s="17"/>
      <c r="G62" s="17"/>
      <c r="H62" s="17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x14ac:dyDescent="0.25">
      <c r="A63" s="33" t="s">
        <v>60</v>
      </c>
      <c r="B63" s="26">
        <f>B61</f>
        <v>-47635.759999999995</v>
      </c>
      <c r="C63" s="26">
        <f>C61</f>
        <v>-16114.520000000004</v>
      </c>
      <c r="D63" s="26">
        <f>D61</f>
        <v>16783.112000000001</v>
      </c>
      <c r="E63" s="26">
        <f t="shared" ref="E63:F63" si="14">E61</f>
        <v>36070.880000000005</v>
      </c>
      <c r="F63" s="26">
        <f t="shared" si="14"/>
        <v>47388.767999999996</v>
      </c>
      <c r="G63" s="26">
        <f>G61</f>
        <v>51361.712000000014</v>
      </c>
      <c r="H63" s="17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x14ac:dyDescent="0.25">
      <c r="A64" s="62"/>
      <c r="B64" s="26"/>
      <c r="C64" s="26"/>
      <c r="D64" s="26"/>
      <c r="E64" s="26"/>
      <c r="F64" s="26"/>
      <c r="G64" s="26"/>
      <c r="H64" s="17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5.75" thickBot="1" x14ac:dyDescent="0.3">
      <c r="A65" s="57"/>
      <c r="B65" s="30"/>
      <c r="C65" s="30"/>
      <c r="D65" s="30"/>
      <c r="E65" s="30"/>
      <c r="F65" s="30"/>
      <c r="G65" s="30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22.5" thickTop="1" thickBot="1" x14ac:dyDescent="0.4">
      <c r="A66" s="68" t="s">
        <v>88</v>
      </c>
      <c r="B66" s="70"/>
      <c r="C66" s="70"/>
      <c r="D66" s="70"/>
      <c r="E66" s="70"/>
      <c r="F66" s="70"/>
      <c r="G66" s="70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x14ac:dyDescent="0.25">
      <c r="A67" s="42" t="s">
        <v>34</v>
      </c>
      <c r="B67" s="43"/>
      <c r="C67" s="43"/>
      <c r="D67" s="43"/>
      <c r="E67" s="43"/>
      <c r="F67" s="43"/>
      <c r="G67" s="4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x14ac:dyDescent="0.25">
      <c r="A68" s="16" t="s">
        <v>63</v>
      </c>
      <c r="B68" s="28">
        <v>0</v>
      </c>
      <c r="C68" s="28">
        <v>0</v>
      </c>
      <c r="D68" s="28">
        <v>0</v>
      </c>
      <c r="E68" s="28">
        <v>0</v>
      </c>
      <c r="F68" s="28">
        <v>0</v>
      </c>
      <c r="G68" s="28">
        <v>0</v>
      </c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x14ac:dyDescent="0.25">
      <c r="A69" s="16" t="s">
        <v>35</v>
      </c>
      <c r="B69" s="28">
        <v>0</v>
      </c>
      <c r="C69" s="28">
        <v>0</v>
      </c>
      <c r="D69" s="28">
        <v>0</v>
      </c>
      <c r="E69" s="28">
        <v>0</v>
      </c>
      <c r="F69" s="28">
        <v>0</v>
      </c>
      <c r="G69" s="28">
        <v>0</v>
      </c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5.75" thickBot="1" x14ac:dyDescent="0.3">
      <c r="A70" s="45" t="s">
        <v>36</v>
      </c>
      <c r="B70" s="63">
        <v>0</v>
      </c>
      <c r="C70" s="63">
        <v>0</v>
      </c>
      <c r="D70" s="63">
        <v>0</v>
      </c>
      <c r="E70" s="63">
        <v>0</v>
      </c>
      <c r="F70" s="63">
        <v>0</v>
      </c>
      <c r="G70" s="63">
        <v>0</v>
      </c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x14ac:dyDescent="0.25">
      <c r="A71" s="42" t="s">
        <v>37</v>
      </c>
      <c r="B71" s="43"/>
      <c r="C71" s="43"/>
      <c r="D71" s="43"/>
      <c r="E71" s="43"/>
      <c r="F71" s="43"/>
      <c r="G71" s="4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x14ac:dyDescent="0.25">
      <c r="A72" s="16" t="s">
        <v>89</v>
      </c>
      <c r="B72" s="28">
        <f>B49</f>
        <v>17364.240000000005</v>
      </c>
      <c r="C72" s="28">
        <f>C49</f>
        <v>1249.7200000000012</v>
      </c>
      <c r="D72" s="28">
        <f>D49</f>
        <v>3032.8320000000003</v>
      </c>
      <c r="E72" s="28">
        <f>E49</f>
        <v>14103.712000000007</v>
      </c>
      <c r="F72" s="28">
        <f>F49</f>
        <v>36492.479999999996</v>
      </c>
      <c r="G72" s="28">
        <f>G49</f>
        <v>87854.19200000001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5.75" thickBot="1" x14ac:dyDescent="0.3">
      <c r="A73" s="19" t="s">
        <v>38</v>
      </c>
      <c r="B73" s="34">
        <v>0</v>
      </c>
      <c r="C73" s="34">
        <v>0</v>
      </c>
      <c r="D73" s="34">
        <v>0</v>
      </c>
      <c r="E73" s="34">
        <v>0</v>
      </c>
      <c r="F73" s="34">
        <v>0</v>
      </c>
      <c r="G73" s="34">
        <v>0</v>
      </c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x14ac:dyDescent="0.25">
      <c r="A74" s="42" t="s">
        <v>39</v>
      </c>
      <c r="B74" s="43"/>
      <c r="C74" s="43"/>
      <c r="D74" s="43"/>
      <c r="E74" s="43"/>
      <c r="F74" s="43"/>
      <c r="G74" s="4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x14ac:dyDescent="0.25">
      <c r="A75" s="16" t="s">
        <v>40</v>
      </c>
      <c r="B75" s="28">
        <v>0</v>
      </c>
      <c r="C75" s="28">
        <f>D41</f>
        <v>15000</v>
      </c>
      <c r="D75" s="28">
        <f t="shared" ref="D75:G75" si="15">E41</f>
        <v>25000</v>
      </c>
      <c r="E75" s="28">
        <f t="shared" si="15"/>
        <v>25000</v>
      </c>
      <c r="F75" s="28">
        <f t="shared" si="15"/>
        <v>0</v>
      </c>
      <c r="G75" s="28">
        <f t="shared" si="15"/>
        <v>0</v>
      </c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.75" thickBot="1" x14ac:dyDescent="0.3">
      <c r="A76" s="45" t="s">
        <v>42</v>
      </c>
      <c r="B76" s="63">
        <f>SUM(B72:B73)-B75</f>
        <v>17364.240000000005</v>
      </c>
      <c r="C76" s="63">
        <f>SUM(C72:C73)-C75</f>
        <v>-13750.279999999999</v>
      </c>
      <c r="D76" s="63">
        <f>SUM(D72:D73)-D75</f>
        <v>-21967.167999999998</v>
      </c>
      <c r="E76" s="63">
        <f t="shared" ref="E76:G76" si="16">SUM(E72:E73)-E75</f>
        <v>-10896.287999999993</v>
      </c>
      <c r="F76" s="63">
        <f t="shared" si="16"/>
        <v>36492.479999999996</v>
      </c>
      <c r="G76" s="63">
        <f t="shared" si="16"/>
        <v>87854.19200000001</v>
      </c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x14ac:dyDescent="0.25">
      <c r="A77" s="42" t="s">
        <v>44</v>
      </c>
      <c r="B77" s="43"/>
      <c r="C77" s="43"/>
      <c r="D77" s="43"/>
      <c r="E77" s="43"/>
      <c r="F77" s="43"/>
      <c r="G77" s="4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5.75" thickBot="1" x14ac:dyDescent="0.3">
      <c r="A78" s="19" t="s">
        <v>45</v>
      </c>
      <c r="B78" s="34">
        <f>B40</f>
        <v>65000</v>
      </c>
      <c r="C78" s="34">
        <f>B78-C75</f>
        <v>50000</v>
      </c>
      <c r="D78" s="34">
        <f>C78-D75</f>
        <v>25000</v>
      </c>
      <c r="E78" s="34">
        <f t="shared" ref="E78:G78" si="17">D78-E75</f>
        <v>0</v>
      </c>
      <c r="F78" s="34">
        <f t="shared" si="17"/>
        <v>0</v>
      </c>
      <c r="G78" s="34">
        <f t="shared" si="17"/>
        <v>0</v>
      </c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x14ac:dyDescent="0.25">
      <c r="A79" s="42" t="s">
        <v>46</v>
      </c>
      <c r="B79" s="43"/>
      <c r="C79" s="43"/>
      <c r="D79" s="43"/>
      <c r="E79" s="43"/>
      <c r="F79" s="43"/>
      <c r="G79" s="4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x14ac:dyDescent="0.25">
      <c r="A80" s="64" t="s">
        <v>46</v>
      </c>
      <c r="B80" s="44">
        <f>(B70+B76)-B78</f>
        <v>-47635.759999999995</v>
      </c>
      <c r="C80" s="44">
        <f>(C70+C76)-C78</f>
        <v>-63750.28</v>
      </c>
      <c r="D80" s="44">
        <f>(D70+D76)-D78</f>
        <v>-46967.167999999998</v>
      </c>
      <c r="E80" s="44">
        <f>(E70+E76)-E78</f>
        <v>-10896.287999999993</v>
      </c>
      <c r="F80" s="44">
        <f>(F70+F76)-F78</f>
        <v>36492.479999999996</v>
      </c>
      <c r="G80" s="44">
        <f>(G70+G76)-G78</f>
        <v>87854.19200000001</v>
      </c>
      <c r="H80" s="17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x14ac:dyDescent="0.25">
      <c r="A81" s="35"/>
      <c r="B81" s="29"/>
      <c r="C81" s="29"/>
      <c r="D81" s="29"/>
      <c r="E81" s="29"/>
      <c r="F81" s="29"/>
      <c r="G81" s="29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x14ac:dyDescent="0.25">
      <c r="A82" s="35"/>
      <c r="B82" s="29"/>
      <c r="C82" s="29"/>
      <c r="D82" s="29"/>
      <c r="E82" s="29"/>
      <c r="F82" s="29"/>
      <c r="G82" s="29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x14ac:dyDescent="0.25">
      <c r="A83" s="35"/>
      <c r="B83" s="29"/>
      <c r="C83" s="29"/>
      <c r="D83" s="29"/>
      <c r="E83" s="29"/>
      <c r="F83" s="29"/>
      <c r="G83" s="29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x14ac:dyDescent="0.25">
      <c r="A84" s="35"/>
      <c r="B84" s="29"/>
      <c r="C84" s="29"/>
      <c r="D84" s="29"/>
      <c r="E84" s="29"/>
      <c r="F84" s="29"/>
      <c r="G84" s="29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x14ac:dyDescent="0.25">
      <c r="A85" s="35"/>
      <c r="B85" s="29"/>
      <c r="C85" s="29"/>
      <c r="D85" s="29"/>
      <c r="E85" s="29"/>
      <c r="F85" s="29"/>
      <c r="G85" s="29"/>
      <c r="H85" s="31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x14ac:dyDescent="0.25">
      <c r="A86" s="36"/>
      <c r="B86" s="35"/>
      <c r="C86" s="35"/>
      <c r="D86" s="35"/>
      <c r="E86" s="35"/>
      <c r="F86" s="35"/>
      <c r="G86" s="35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x14ac:dyDescent="0.25">
      <c r="A87" s="36"/>
      <c r="B87" s="37"/>
      <c r="C87" s="37"/>
      <c r="D87" s="37"/>
      <c r="E87" s="37"/>
      <c r="F87" s="37"/>
      <c r="G87" s="37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x14ac:dyDescent="0.25">
      <c r="A88" s="38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x14ac:dyDescent="0.25">
      <c r="A89" s="13"/>
      <c r="B89" s="17"/>
      <c r="C89" s="17"/>
      <c r="D89" s="17"/>
      <c r="E89" s="17"/>
      <c r="F89" s="17"/>
      <c r="G89" s="17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x14ac:dyDescent="0.2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x14ac:dyDescent="0.25">
      <c r="A91" s="13"/>
      <c r="B91" s="65"/>
      <c r="C91" s="65"/>
      <c r="D91" s="65"/>
      <c r="E91" s="65"/>
      <c r="F91" s="65"/>
      <c r="G91" s="65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x14ac:dyDescent="0.25">
      <c r="A92" s="13"/>
      <c r="B92" s="17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x14ac:dyDescent="0.25">
      <c r="A93" s="13"/>
      <c r="B93" s="66"/>
      <c r="C93" s="66"/>
      <c r="D93" s="66"/>
      <c r="E93" s="66"/>
      <c r="F93" s="66"/>
      <c r="G93" s="66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x14ac:dyDescent="0.2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x14ac:dyDescent="0.2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x14ac:dyDescent="0.2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x14ac:dyDescent="0.2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x14ac:dyDescent="0.2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x14ac:dyDescent="0.2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x14ac:dyDescent="0.2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x14ac:dyDescent="0.2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x14ac:dyDescent="0.2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x14ac:dyDescent="0.2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x14ac:dyDescent="0.2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x14ac:dyDescent="0.2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x14ac:dyDescent="0.2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x14ac:dyDescent="0.2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x14ac:dyDescent="0.2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x14ac:dyDescent="0.2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x14ac:dyDescent="0.2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x14ac:dyDescent="0.2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x14ac:dyDescent="0.2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x14ac:dyDescent="0.2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x14ac:dyDescent="0.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x14ac:dyDescent="0.2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x14ac:dyDescent="0.2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x14ac:dyDescent="0.2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x14ac:dyDescent="0.2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x14ac:dyDescent="0.2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x14ac:dyDescent="0.2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x14ac:dyDescent="0.2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x14ac:dyDescent="0.2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x14ac:dyDescent="0.2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x14ac:dyDescent="0.2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x14ac:dyDescent="0.2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x14ac:dyDescent="0.2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x14ac:dyDescent="0.2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x14ac:dyDescent="0.2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x14ac:dyDescent="0.2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x14ac:dyDescent="0.2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x14ac:dyDescent="0.2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x14ac:dyDescent="0.2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x14ac:dyDescent="0.2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x14ac:dyDescent="0.2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x14ac:dyDescent="0.2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x14ac:dyDescent="0.2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x14ac:dyDescent="0.2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x14ac:dyDescent="0.2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x14ac:dyDescent="0.2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x14ac:dyDescent="0.2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x14ac:dyDescent="0.2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x14ac:dyDescent="0.2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x14ac:dyDescent="0.2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x14ac:dyDescent="0.2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x14ac:dyDescent="0.2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x14ac:dyDescent="0.2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x14ac:dyDescent="0.2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x14ac:dyDescent="0.2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x14ac:dyDescent="0.2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x14ac:dyDescent="0.2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x14ac:dyDescent="0.2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x14ac:dyDescent="0.2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x14ac:dyDescent="0.2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x14ac:dyDescent="0.2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x14ac:dyDescent="0.2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x14ac:dyDescent="0.2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x14ac:dyDescent="0.2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x14ac:dyDescent="0.2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x14ac:dyDescent="0.2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x14ac:dyDescent="0.2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x14ac:dyDescent="0.2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x14ac:dyDescent="0.2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x14ac:dyDescent="0.2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x14ac:dyDescent="0.2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x14ac:dyDescent="0.2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x14ac:dyDescent="0.2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x14ac:dyDescent="0.2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x14ac:dyDescent="0.2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x14ac:dyDescent="0.2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x14ac:dyDescent="0.2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x14ac:dyDescent="0.2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x14ac:dyDescent="0.2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x14ac:dyDescent="0.2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x14ac:dyDescent="0.2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x14ac:dyDescent="0.2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x14ac:dyDescent="0.2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x14ac:dyDescent="0.2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x14ac:dyDescent="0.2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x14ac:dyDescent="0.2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x14ac:dyDescent="0.2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x14ac:dyDescent="0.2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x14ac:dyDescent="0.2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x14ac:dyDescent="0.2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x14ac:dyDescent="0.2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x14ac:dyDescent="0.2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x14ac:dyDescent="0.2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x14ac:dyDescent="0.2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x14ac:dyDescent="0.2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x14ac:dyDescent="0.2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x14ac:dyDescent="0.2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x14ac:dyDescent="0.2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x14ac:dyDescent="0.2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x14ac:dyDescent="0.2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x14ac:dyDescent="0.2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x14ac:dyDescent="0.2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x14ac:dyDescent="0.2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x14ac:dyDescent="0.2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x14ac:dyDescent="0.2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x14ac:dyDescent="0.2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x14ac:dyDescent="0.2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x14ac:dyDescent="0.2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x14ac:dyDescent="0.2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x14ac:dyDescent="0.2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x14ac:dyDescent="0.2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x14ac:dyDescent="0.2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x14ac:dyDescent="0.2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x14ac:dyDescent="0.2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x14ac:dyDescent="0.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x14ac:dyDescent="0.2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x14ac:dyDescent="0.2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x14ac:dyDescent="0.2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x14ac:dyDescent="0.2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x14ac:dyDescent="0.2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x14ac:dyDescent="0.2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x14ac:dyDescent="0.2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x14ac:dyDescent="0.2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x14ac:dyDescent="0.2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x14ac:dyDescent="0.2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x14ac:dyDescent="0.2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x14ac:dyDescent="0.2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x14ac:dyDescent="0.2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x14ac:dyDescent="0.2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x14ac:dyDescent="0.2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x14ac:dyDescent="0.2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x14ac:dyDescent="0.2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x14ac:dyDescent="0.2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x14ac:dyDescent="0.2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x14ac:dyDescent="0.2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x14ac:dyDescent="0.2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x14ac:dyDescent="0.2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x14ac:dyDescent="0.2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x14ac:dyDescent="0.2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x14ac:dyDescent="0.2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x14ac:dyDescent="0.2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x14ac:dyDescent="0.2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x14ac:dyDescent="0.2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x14ac:dyDescent="0.2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x14ac:dyDescent="0.2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x14ac:dyDescent="0.2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x14ac:dyDescent="0.2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x14ac:dyDescent="0.2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x14ac:dyDescent="0.2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x14ac:dyDescent="0.2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x14ac:dyDescent="0.2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x14ac:dyDescent="0.2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x14ac:dyDescent="0.2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x14ac:dyDescent="0.2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x14ac:dyDescent="0.2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x14ac:dyDescent="0.2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x14ac:dyDescent="0.2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x14ac:dyDescent="0.2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x14ac:dyDescent="0.2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x14ac:dyDescent="0.2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x14ac:dyDescent="0.2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x14ac:dyDescent="0.2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x14ac:dyDescent="0.2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x14ac:dyDescent="0.2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x14ac:dyDescent="0.2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x14ac:dyDescent="0.2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x14ac:dyDescent="0.2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x14ac:dyDescent="0.2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x14ac:dyDescent="0.2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x14ac:dyDescent="0.2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x14ac:dyDescent="0.2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x14ac:dyDescent="0.2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x14ac:dyDescent="0.2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x14ac:dyDescent="0.2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x14ac:dyDescent="0.2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x14ac:dyDescent="0.2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x14ac:dyDescent="0.2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x14ac:dyDescent="0.2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x14ac:dyDescent="0.2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x14ac:dyDescent="0.2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x14ac:dyDescent="0.2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x14ac:dyDescent="0.2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x14ac:dyDescent="0.2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x14ac:dyDescent="0.2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x14ac:dyDescent="0.2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x14ac:dyDescent="0.2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x14ac:dyDescent="0.2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x14ac:dyDescent="0.2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x14ac:dyDescent="0.2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x14ac:dyDescent="0.2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x14ac:dyDescent="0.2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x14ac:dyDescent="0.2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x14ac:dyDescent="0.2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x14ac:dyDescent="0.2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x14ac:dyDescent="0.2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x14ac:dyDescent="0.2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x14ac:dyDescent="0.2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x14ac:dyDescent="0.2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x14ac:dyDescent="0.2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x14ac:dyDescent="0.2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x14ac:dyDescent="0.2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x14ac:dyDescent="0.2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x14ac:dyDescent="0.2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x14ac:dyDescent="0.2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x14ac:dyDescent="0.2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x14ac:dyDescent="0.2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x14ac:dyDescent="0.2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x14ac:dyDescent="0.2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x14ac:dyDescent="0.2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x14ac:dyDescent="0.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x14ac:dyDescent="0.2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x14ac:dyDescent="0.2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x14ac:dyDescent="0.2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x14ac:dyDescent="0.2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x14ac:dyDescent="0.2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x14ac:dyDescent="0.2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x14ac:dyDescent="0.2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x14ac:dyDescent="0.2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x14ac:dyDescent="0.2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x14ac:dyDescent="0.2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x14ac:dyDescent="0.2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x14ac:dyDescent="0.2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x14ac:dyDescent="0.2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x14ac:dyDescent="0.2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x14ac:dyDescent="0.2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x14ac:dyDescent="0.2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x14ac:dyDescent="0.2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x14ac:dyDescent="0.2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x14ac:dyDescent="0.2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x14ac:dyDescent="0.2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x14ac:dyDescent="0.2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x14ac:dyDescent="0.2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x14ac:dyDescent="0.2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x14ac:dyDescent="0.2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x14ac:dyDescent="0.2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x14ac:dyDescent="0.2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x14ac:dyDescent="0.2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x14ac:dyDescent="0.2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x14ac:dyDescent="0.2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x14ac:dyDescent="0.2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x14ac:dyDescent="0.2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x14ac:dyDescent="0.2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x14ac:dyDescent="0.2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x14ac:dyDescent="0.2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x14ac:dyDescent="0.2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x14ac:dyDescent="0.2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x14ac:dyDescent="0.2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x14ac:dyDescent="0.2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x14ac:dyDescent="0.2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x14ac:dyDescent="0.2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x14ac:dyDescent="0.2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x14ac:dyDescent="0.2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x14ac:dyDescent="0.2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x14ac:dyDescent="0.2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x14ac:dyDescent="0.2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x14ac:dyDescent="0.2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x14ac:dyDescent="0.2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x14ac:dyDescent="0.2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x14ac:dyDescent="0.2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x14ac:dyDescent="0.2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x14ac:dyDescent="0.2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x14ac:dyDescent="0.2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x14ac:dyDescent="0.2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x14ac:dyDescent="0.2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x14ac:dyDescent="0.2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x14ac:dyDescent="0.2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x14ac:dyDescent="0.2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x14ac:dyDescent="0.2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x14ac:dyDescent="0.2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x14ac:dyDescent="0.2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x14ac:dyDescent="0.2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x14ac:dyDescent="0.2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x14ac:dyDescent="0.2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x14ac:dyDescent="0.2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x14ac:dyDescent="0.2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x14ac:dyDescent="0.2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x14ac:dyDescent="0.2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x14ac:dyDescent="0.2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x14ac:dyDescent="0.2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x14ac:dyDescent="0.2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x14ac:dyDescent="0.2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x14ac:dyDescent="0.2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x14ac:dyDescent="0.2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x14ac:dyDescent="0.2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x14ac:dyDescent="0.2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x14ac:dyDescent="0.2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x14ac:dyDescent="0.2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x14ac:dyDescent="0.2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x14ac:dyDescent="0.2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x14ac:dyDescent="0.2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x14ac:dyDescent="0.2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x14ac:dyDescent="0.2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x14ac:dyDescent="0.2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x14ac:dyDescent="0.2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x14ac:dyDescent="0.2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x14ac:dyDescent="0.2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x14ac:dyDescent="0.2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x14ac:dyDescent="0.2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x14ac:dyDescent="0.2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x14ac:dyDescent="0.2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x14ac:dyDescent="0.2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x14ac:dyDescent="0.2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x14ac:dyDescent="0.2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x14ac:dyDescent="0.2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x14ac:dyDescent="0.2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x14ac:dyDescent="0.2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x14ac:dyDescent="0.2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x14ac:dyDescent="0.2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x14ac:dyDescent="0.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x14ac:dyDescent="0.2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x14ac:dyDescent="0.2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x14ac:dyDescent="0.2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x14ac:dyDescent="0.2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x14ac:dyDescent="0.2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x14ac:dyDescent="0.2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x14ac:dyDescent="0.2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x14ac:dyDescent="0.2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x14ac:dyDescent="0.2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x14ac:dyDescent="0.2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x14ac:dyDescent="0.2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x14ac:dyDescent="0.2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x14ac:dyDescent="0.2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x14ac:dyDescent="0.2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x14ac:dyDescent="0.2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x14ac:dyDescent="0.2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x14ac:dyDescent="0.2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x14ac:dyDescent="0.2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x14ac:dyDescent="0.2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x14ac:dyDescent="0.2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x14ac:dyDescent="0.2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x14ac:dyDescent="0.2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x14ac:dyDescent="0.2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x14ac:dyDescent="0.2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x14ac:dyDescent="0.2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x14ac:dyDescent="0.2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x14ac:dyDescent="0.2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x14ac:dyDescent="0.2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x14ac:dyDescent="0.2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x14ac:dyDescent="0.2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x14ac:dyDescent="0.2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x14ac:dyDescent="0.2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x14ac:dyDescent="0.2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x14ac:dyDescent="0.2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x14ac:dyDescent="0.2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x14ac:dyDescent="0.2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x14ac:dyDescent="0.2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x14ac:dyDescent="0.2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x14ac:dyDescent="0.2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x14ac:dyDescent="0.2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x14ac:dyDescent="0.2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x14ac:dyDescent="0.2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x14ac:dyDescent="0.2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x14ac:dyDescent="0.2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x14ac:dyDescent="0.2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x14ac:dyDescent="0.2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x14ac:dyDescent="0.2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x14ac:dyDescent="0.2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x14ac:dyDescent="0.2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x14ac:dyDescent="0.2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x14ac:dyDescent="0.2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x14ac:dyDescent="0.2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x14ac:dyDescent="0.2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x14ac:dyDescent="0.2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x14ac:dyDescent="0.2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x14ac:dyDescent="0.2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x14ac:dyDescent="0.2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x14ac:dyDescent="0.2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x14ac:dyDescent="0.2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x14ac:dyDescent="0.2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x14ac:dyDescent="0.2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x14ac:dyDescent="0.2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x14ac:dyDescent="0.2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x14ac:dyDescent="0.2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x14ac:dyDescent="0.2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x14ac:dyDescent="0.2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x14ac:dyDescent="0.2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x14ac:dyDescent="0.2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x14ac:dyDescent="0.2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x14ac:dyDescent="0.2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x14ac:dyDescent="0.2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x14ac:dyDescent="0.2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x14ac:dyDescent="0.2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x14ac:dyDescent="0.2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x14ac:dyDescent="0.2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x14ac:dyDescent="0.2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x14ac:dyDescent="0.2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x14ac:dyDescent="0.2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x14ac:dyDescent="0.2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x14ac:dyDescent="0.2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x14ac:dyDescent="0.2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x14ac:dyDescent="0.2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x14ac:dyDescent="0.2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x14ac:dyDescent="0.2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x14ac:dyDescent="0.2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x14ac:dyDescent="0.2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x14ac:dyDescent="0.2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x14ac:dyDescent="0.2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x14ac:dyDescent="0.2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x14ac:dyDescent="0.2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x14ac:dyDescent="0.2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x14ac:dyDescent="0.2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x14ac:dyDescent="0.2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x14ac:dyDescent="0.2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x14ac:dyDescent="0.2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x14ac:dyDescent="0.2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x14ac:dyDescent="0.2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x14ac:dyDescent="0.2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x14ac:dyDescent="0.2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x14ac:dyDescent="0.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x14ac:dyDescent="0.2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x14ac:dyDescent="0.2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x14ac:dyDescent="0.2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x14ac:dyDescent="0.2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x14ac:dyDescent="0.2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x14ac:dyDescent="0.2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x14ac:dyDescent="0.2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x14ac:dyDescent="0.2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x14ac:dyDescent="0.2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x14ac:dyDescent="0.2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x14ac:dyDescent="0.2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x14ac:dyDescent="0.2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x14ac:dyDescent="0.2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x14ac:dyDescent="0.2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x14ac:dyDescent="0.2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x14ac:dyDescent="0.2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x14ac:dyDescent="0.2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x14ac:dyDescent="0.2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x14ac:dyDescent="0.2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x14ac:dyDescent="0.2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x14ac:dyDescent="0.2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x14ac:dyDescent="0.2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x14ac:dyDescent="0.2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x14ac:dyDescent="0.2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x14ac:dyDescent="0.2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x14ac:dyDescent="0.2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x14ac:dyDescent="0.2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x14ac:dyDescent="0.2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x14ac:dyDescent="0.2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x14ac:dyDescent="0.2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x14ac:dyDescent="0.2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x14ac:dyDescent="0.2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x14ac:dyDescent="0.2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x14ac:dyDescent="0.2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x14ac:dyDescent="0.2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x14ac:dyDescent="0.2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x14ac:dyDescent="0.2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x14ac:dyDescent="0.2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x14ac:dyDescent="0.2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x14ac:dyDescent="0.2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x14ac:dyDescent="0.2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x14ac:dyDescent="0.2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x14ac:dyDescent="0.2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x14ac:dyDescent="0.2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x14ac:dyDescent="0.2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x14ac:dyDescent="0.2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x14ac:dyDescent="0.2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x14ac:dyDescent="0.2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x14ac:dyDescent="0.2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x14ac:dyDescent="0.2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x14ac:dyDescent="0.2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x14ac:dyDescent="0.2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x14ac:dyDescent="0.2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x14ac:dyDescent="0.2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x14ac:dyDescent="0.2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x14ac:dyDescent="0.2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x14ac:dyDescent="0.2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x14ac:dyDescent="0.2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x14ac:dyDescent="0.2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x14ac:dyDescent="0.2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x14ac:dyDescent="0.2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x14ac:dyDescent="0.2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x14ac:dyDescent="0.2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x14ac:dyDescent="0.2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x14ac:dyDescent="0.2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x14ac:dyDescent="0.2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x14ac:dyDescent="0.2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x14ac:dyDescent="0.2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x14ac:dyDescent="0.2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x14ac:dyDescent="0.2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x14ac:dyDescent="0.2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x14ac:dyDescent="0.2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x14ac:dyDescent="0.2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x14ac:dyDescent="0.2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x14ac:dyDescent="0.2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x14ac:dyDescent="0.2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x14ac:dyDescent="0.2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x14ac:dyDescent="0.2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x14ac:dyDescent="0.2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x14ac:dyDescent="0.2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x14ac:dyDescent="0.2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x14ac:dyDescent="0.2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x14ac:dyDescent="0.2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x14ac:dyDescent="0.2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x14ac:dyDescent="0.2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x14ac:dyDescent="0.2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x14ac:dyDescent="0.2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x14ac:dyDescent="0.2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x14ac:dyDescent="0.2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x14ac:dyDescent="0.2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x14ac:dyDescent="0.2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x14ac:dyDescent="0.2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x14ac:dyDescent="0.2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x14ac:dyDescent="0.2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x14ac:dyDescent="0.2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x14ac:dyDescent="0.2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x14ac:dyDescent="0.2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x14ac:dyDescent="0.2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x14ac:dyDescent="0.2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x14ac:dyDescent="0.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x14ac:dyDescent="0.2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x14ac:dyDescent="0.2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x14ac:dyDescent="0.2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x14ac:dyDescent="0.2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x14ac:dyDescent="0.2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x14ac:dyDescent="0.2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x14ac:dyDescent="0.2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x14ac:dyDescent="0.2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x14ac:dyDescent="0.2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x14ac:dyDescent="0.2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x14ac:dyDescent="0.2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x14ac:dyDescent="0.2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x14ac:dyDescent="0.2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x14ac:dyDescent="0.2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x14ac:dyDescent="0.2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x14ac:dyDescent="0.2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x14ac:dyDescent="0.2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x14ac:dyDescent="0.2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x14ac:dyDescent="0.2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x14ac:dyDescent="0.2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x14ac:dyDescent="0.2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x14ac:dyDescent="0.2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x14ac:dyDescent="0.2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x14ac:dyDescent="0.2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x14ac:dyDescent="0.2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x14ac:dyDescent="0.2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x14ac:dyDescent="0.2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x14ac:dyDescent="0.2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x14ac:dyDescent="0.2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x14ac:dyDescent="0.2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x14ac:dyDescent="0.2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x14ac:dyDescent="0.2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x14ac:dyDescent="0.2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x14ac:dyDescent="0.2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x14ac:dyDescent="0.2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x14ac:dyDescent="0.2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x14ac:dyDescent="0.2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x14ac:dyDescent="0.2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x14ac:dyDescent="0.2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x14ac:dyDescent="0.2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x14ac:dyDescent="0.2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x14ac:dyDescent="0.2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x14ac:dyDescent="0.2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x14ac:dyDescent="0.2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x14ac:dyDescent="0.2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x14ac:dyDescent="0.2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x14ac:dyDescent="0.2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x14ac:dyDescent="0.2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x14ac:dyDescent="0.2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x14ac:dyDescent="0.2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x14ac:dyDescent="0.2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x14ac:dyDescent="0.2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x14ac:dyDescent="0.2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x14ac:dyDescent="0.2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x14ac:dyDescent="0.2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x14ac:dyDescent="0.2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x14ac:dyDescent="0.2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x14ac:dyDescent="0.2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x14ac:dyDescent="0.2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x14ac:dyDescent="0.2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x14ac:dyDescent="0.2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x14ac:dyDescent="0.2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x14ac:dyDescent="0.2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x14ac:dyDescent="0.2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x14ac:dyDescent="0.2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x14ac:dyDescent="0.2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x14ac:dyDescent="0.2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x14ac:dyDescent="0.2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x14ac:dyDescent="0.2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x14ac:dyDescent="0.2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x14ac:dyDescent="0.2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x14ac:dyDescent="0.2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x14ac:dyDescent="0.2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x14ac:dyDescent="0.2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x14ac:dyDescent="0.2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x14ac:dyDescent="0.2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x14ac:dyDescent="0.2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x14ac:dyDescent="0.2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x14ac:dyDescent="0.2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x14ac:dyDescent="0.2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x14ac:dyDescent="0.2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x14ac:dyDescent="0.2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x14ac:dyDescent="0.2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x14ac:dyDescent="0.2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x14ac:dyDescent="0.2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x14ac:dyDescent="0.2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x14ac:dyDescent="0.2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x14ac:dyDescent="0.2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x14ac:dyDescent="0.2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x14ac:dyDescent="0.2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x14ac:dyDescent="0.2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x14ac:dyDescent="0.2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x14ac:dyDescent="0.2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x14ac:dyDescent="0.2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x14ac:dyDescent="0.2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x14ac:dyDescent="0.2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x14ac:dyDescent="0.2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x14ac:dyDescent="0.2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x14ac:dyDescent="0.2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x14ac:dyDescent="0.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x14ac:dyDescent="0.2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x14ac:dyDescent="0.2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x14ac:dyDescent="0.2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x14ac:dyDescent="0.2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x14ac:dyDescent="0.2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x14ac:dyDescent="0.2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x14ac:dyDescent="0.2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x14ac:dyDescent="0.2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x14ac:dyDescent="0.2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x14ac:dyDescent="0.2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x14ac:dyDescent="0.2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x14ac:dyDescent="0.2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x14ac:dyDescent="0.2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x14ac:dyDescent="0.2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x14ac:dyDescent="0.2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x14ac:dyDescent="0.2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x14ac:dyDescent="0.2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x14ac:dyDescent="0.2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x14ac:dyDescent="0.2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x14ac:dyDescent="0.2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x14ac:dyDescent="0.2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x14ac:dyDescent="0.2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x14ac:dyDescent="0.2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x14ac:dyDescent="0.2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x14ac:dyDescent="0.2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x14ac:dyDescent="0.2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x14ac:dyDescent="0.2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x14ac:dyDescent="0.2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x14ac:dyDescent="0.2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x14ac:dyDescent="0.2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x14ac:dyDescent="0.2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x14ac:dyDescent="0.2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x14ac:dyDescent="0.2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x14ac:dyDescent="0.2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x14ac:dyDescent="0.2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x14ac:dyDescent="0.2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x14ac:dyDescent="0.2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x14ac:dyDescent="0.2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x14ac:dyDescent="0.2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x14ac:dyDescent="0.2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x14ac:dyDescent="0.2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x14ac:dyDescent="0.2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x14ac:dyDescent="0.2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x14ac:dyDescent="0.2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x14ac:dyDescent="0.2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x14ac:dyDescent="0.2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x14ac:dyDescent="0.2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x14ac:dyDescent="0.2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x14ac:dyDescent="0.2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x14ac:dyDescent="0.2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x14ac:dyDescent="0.2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x14ac:dyDescent="0.2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x14ac:dyDescent="0.2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x14ac:dyDescent="0.2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x14ac:dyDescent="0.2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x14ac:dyDescent="0.2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x14ac:dyDescent="0.2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x14ac:dyDescent="0.2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x14ac:dyDescent="0.2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x14ac:dyDescent="0.2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x14ac:dyDescent="0.2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x14ac:dyDescent="0.2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x14ac:dyDescent="0.2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x14ac:dyDescent="0.2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x14ac:dyDescent="0.2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x14ac:dyDescent="0.2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x14ac:dyDescent="0.2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x14ac:dyDescent="0.2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x14ac:dyDescent="0.2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x14ac:dyDescent="0.2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x14ac:dyDescent="0.2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x14ac:dyDescent="0.2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x14ac:dyDescent="0.2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x14ac:dyDescent="0.2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x14ac:dyDescent="0.2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x14ac:dyDescent="0.2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x14ac:dyDescent="0.2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x14ac:dyDescent="0.2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x14ac:dyDescent="0.2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x14ac:dyDescent="0.2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x14ac:dyDescent="0.2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x14ac:dyDescent="0.2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x14ac:dyDescent="0.2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x14ac:dyDescent="0.2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x14ac:dyDescent="0.2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x14ac:dyDescent="0.2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x14ac:dyDescent="0.2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x14ac:dyDescent="0.2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x14ac:dyDescent="0.2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x14ac:dyDescent="0.2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x14ac:dyDescent="0.2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x14ac:dyDescent="0.2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x14ac:dyDescent="0.2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x14ac:dyDescent="0.2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x14ac:dyDescent="0.2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x14ac:dyDescent="0.2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x14ac:dyDescent="0.2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x14ac:dyDescent="0.2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x14ac:dyDescent="0.2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x14ac:dyDescent="0.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x14ac:dyDescent="0.2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x14ac:dyDescent="0.2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x14ac:dyDescent="0.25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x14ac:dyDescent="0.25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x14ac:dyDescent="0.25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x14ac:dyDescent="0.25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x14ac:dyDescent="0.25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x14ac:dyDescent="0.25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x14ac:dyDescent="0.25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x14ac:dyDescent="0.2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x14ac:dyDescent="0.25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x14ac:dyDescent="0.25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x14ac:dyDescent="0.25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x14ac:dyDescent="0.25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x14ac:dyDescent="0.25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x14ac:dyDescent="0.25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x14ac:dyDescent="0.25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x14ac:dyDescent="0.25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x14ac:dyDescent="0.25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x14ac:dyDescent="0.2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x14ac:dyDescent="0.25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x14ac:dyDescent="0.25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x14ac:dyDescent="0.25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x14ac:dyDescent="0.25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x14ac:dyDescent="0.25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x14ac:dyDescent="0.25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x14ac:dyDescent="0.25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x14ac:dyDescent="0.25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x14ac:dyDescent="0.25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x14ac:dyDescent="0.2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x14ac:dyDescent="0.25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x14ac:dyDescent="0.25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x14ac:dyDescent="0.25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x14ac:dyDescent="0.25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x14ac:dyDescent="0.25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x14ac:dyDescent="0.25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x14ac:dyDescent="0.25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x14ac:dyDescent="0.25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x14ac:dyDescent="0.25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x14ac:dyDescent="0.2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x14ac:dyDescent="0.25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x14ac:dyDescent="0.25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x14ac:dyDescent="0.25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x14ac:dyDescent="0.25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x14ac:dyDescent="0.25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x14ac:dyDescent="0.25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x14ac:dyDescent="0.25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x14ac:dyDescent="0.25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x14ac:dyDescent="0.25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x14ac:dyDescent="0.2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x14ac:dyDescent="0.25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x14ac:dyDescent="0.25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x14ac:dyDescent="0.25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x14ac:dyDescent="0.25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x14ac:dyDescent="0.25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x14ac:dyDescent="0.25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x14ac:dyDescent="0.25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x14ac:dyDescent="0.25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x14ac:dyDescent="0.25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x14ac:dyDescent="0.2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x14ac:dyDescent="0.25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x14ac:dyDescent="0.25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x14ac:dyDescent="0.25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x14ac:dyDescent="0.25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x14ac:dyDescent="0.25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x14ac:dyDescent="0.25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x14ac:dyDescent="0.25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x14ac:dyDescent="0.25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x14ac:dyDescent="0.25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x14ac:dyDescent="0.2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x14ac:dyDescent="0.25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x14ac:dyDescent="0.25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x14ac:dyDescent="0.25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x14ac:dyDescent="0.25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x14ac:dyDescent="0.25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x14ac:dyDescent="0.25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x14ac:dyDescent="0.25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x14ac:dyDescent="0.25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x14ac:dyDescent="0.25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x14ac:dyDescent="0.2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x14ac:dyDescent="0.25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x14ac:dyDescent="0.25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x14ac:dyDescent="0.25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x14ac:dyDescent="0.25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x14ac:dyDescent="0.25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x14ac:dyDescent="0.25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x14ac:dyDescent="0.25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x14ac:dyDescent="0.25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x14ac:dyDescent="0.25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x14ac:dyDescent="0.2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x14ac:dyDescent="0.25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x14ac:dyDescent="0.25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x14ac:dyDescent="0.25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x14ac:dyDescent="0.25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x14ac:dyDescent="0.25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x14ac:dyDescent="0.25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x14ac:dyDescent="0.25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x14ac:dyDescent="0.25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x14ac:dyDescent="0.25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x14ac:dyDescent="0.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x14ac:dyDescent="0.25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x14ac:dyDescent="0.25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x14ac:dyDescent="0.25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x14ac:dyDescent="0.25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x14ac:dyDescent="0.25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x14ac:dyDescent="0.25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x14ac:dyDescent="0.25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x14ac:dyDescent="0.25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x14ac:dyDescent="0.25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x14ac:dyDescent="0.2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x14ac:dyDescent="0.25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x14ac:dyDescent="0.25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x14ac:dyDescent="0.25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x14ac:dyDescent="0.25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x14ac:dyDescent="0.25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x14ac:dyDescent="0.25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x14ac:dyDescent="0.25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x14ac:dyDescent="0.25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x14ac:dyDescent="0.25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x14ac:dyDescent="0.2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x14ac:dyDescent="0.25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x14ac:dyDescent="0.25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x14ac:dyDescent="0.25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x14ac:dyDescent="0.25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x14ac:dyDescent="0.25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x14ac:dyDescent="0.25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x14ac:dyDescent="0.25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x14ac:dyDescent="0.25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x14ac:dyDescent="0.25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x14ac:dyDescent="0.2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x14ac:dyDescent="0.25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x14ac:dyDescent="0.25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x14ac:dyDescent="0.25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x14ac:dyDescent="0.25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x14ac:dyDescent="0.25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x14ac:dyDescent="0.25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x14ac:dyDescent="0.25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x14ac:dyDescent="0.25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x14ac:dyDescent="0.25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x14ac:dyDescent="0.2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x14ac:dyDescent="0.25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x14ac:dyDescent="0.25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x14ac:dyDescent="0.25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x14ac:dyDescent="0.25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x14ac:dyDescent="0.25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x14ac:dyDescent="0.25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x14ac:dyDescent="0.25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x14ac:dyDescent="0.25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x14ac:dyDescent="0.25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x14ac:dyDescent="0.2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x14ac:dyDescent="0.25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x14ac:dyDescent="0.25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x14ac:dyDescent="0.25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x14ac:dyDescent="0.25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x14ac:dyDescent="0.25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x14ac:dyDescent="0.25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x14ac:dyDescent="0.25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x14ac:dyDescent="0.25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x14ac:dyDescent="0.25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x14ac:dyDescent="0.2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x14ac:dyDescent="0.25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x14ac:dyDescent="0.25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x14ac:dyDescent="0.25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x14ac:dyDescent="0.25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x14ac:dyDescent="0.25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x14ac:dyDescent="0.25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x14ac:dyDescent="0.25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x14ac:dyDescent="0.25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x14ac:dyDescent="0.25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x14ac:dyDescent="0.2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x14ac:dyDescent="0.25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x14ac:dyDescent="0.25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x14ac:dyDescent="0.25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x14ac:dyDescent="0.25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x14ac:dyDescent="0.25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 spans="1:26" x14ac:dyDescent="0.25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  <row r="1002" spans="1:26" x14ac:dyDescent="0.25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</row>
    <row r="1003" spans="1:26" x14ac:dyDescent="0.25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</row>
    <row r="1004" spans="1:26" x14ac:dyDescent="0.25">
      <c r="A1004" s="13"/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</row>
    <row r="1005" spans="1:26" x14ac:dyDescent="0.25">
      <c r="A1005" s="13"/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</row>
    <row r="1006" spans="1:26" x14ac:dyDescent="0.25">
      <c r="A1006" s="13"/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</row>
    <row r="1007" spans="1:26" x14ac:dyDescent="0.25">
      <c r="A1007" s="13"/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</row>
    <row r="1008" spans="1:26" x14ac:dyDescent="0.25">
      <c r="A1008" s="13"/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</row>
    <row r="1009" spans="1:26" x14ac:dyDescent="0.25">
      <c r="A1009" s="13"/>
      <c r="B1009" s="13"/>
      <c r="C1009" s="13"/>
      <c r="D1009" s="13"/>
      <c r="E1009" s="13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</row>
    <row r="1010" spans="1:26" x14ac:dyDescent="0.25">
      <c r="A1010" s="13"/>
      <c r="B1010" s="13"/>
      <c r="C1010" s="13"/>
      <c r="D1010" s="13"/>
      <c r="E1010" s="13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</row>
    <row r="1011" spans="1:26" x14ac:dyDescent="0.25">
      <c r="A1011" s="13"/>
      <c r="B1011" s="13"/>
      <c r="C1011" s="13"/>
      <c r="D1011" s="13"/>
      <c r="E1011" s="13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</row>
    <row r="1012" spans="1:26" x14ac:dyDescent="0.25">
      <c r="A1012" s="13"/>
      <c r="B1012" s="13"/>
      <c r="C1012" s="13"/>
      <c r="D1012" s="13"/>
      <c r="E1012" s="13"/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</row>
    <row r="1013" spans="1:26" x14ac:dyDescent="0.25">
      <c r="A1013" s="13"/>
      <c r="B1013" s="13"/>
      <c r="C1013" s="13"/>
      <c r="D1013" s="13"/>
      <c r="E1013" s="13"/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</row>
    <row r="1014" spans="1:26" x14ac:dyDescent="0.25">
      <c r="A1014" s="13"/>
      <c r="B1014" s="13"/>
      <c r="C1014" s="13"/>
      <c r="D1014" s="13"/>
      <c r="E1014" s="13"/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</row>
    <row r="1015" spans="1:26" x14ac:dyDescent="0.25">
      <c r="A1015" s="13"/>
      <c r="B1015" s="13"/>
      <c r="C1015" s="13"/>
      <c r="D1015" s="13"/>
      <c r="E1015" s="13"/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P&amp;L for duration of project </vt:lpstr>
      <vt:lpstr>Projections with 50% Renewal</vt:lpstr>
      <vt:lpstr>50% Customer Renewal P&amp;L 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Calum Armstrong</dc:creator>
  <cp:lastModifiedBy>Calum Armstrong</cp:lastModifiedBy>
  <dcterms:created xsi:type="dcterms:W3CDTF">2015-05-28T13:53:01Z</dcterms:created>
  <dcterms:modified xsi:type="dcterms:W3CDTF">2015-05-28T20:47:01Z</dcterms:modified>
</cp:coreProperties>
</file>