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05" windowWidth="25605" windowHeight="15540" activeTab="3"/>
  </bookViews>
  <sheets>
    <sheet name="Revenue vs net profit - Year 1" sheetId="9" r:id="rId1"/>
    <sheet name="Projections" sheetId="2" r:id="rId2"/>
    <sheet name="Net Profit Graph Over time " sheetId="3" r:id="rId3"/>
    <sheet name="Volume of Sales Over time 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C13" i="2"/>
  <c r="D13" i="2"/>
  <c r="E13" i="2"/>
  <c r="F13" i="2"/>
  <c r="G13" i="2"/>
  <c r="H13" i="2"/>
  <c r="I13" i="2"/>
  <c r="J13" i="2"/>
  <c r="K13" i="2"/>
  <c r="L13" i="2"/>
  <c r="M12" i="2"/>
  <c r="M13" i="2"/>
  <c r="N13" i="2"/>
  <c r="C21" i="2"/>
  <c r="C44" i="2"/>
  <c r="D21" i="2"/>
  <c r="D44" i="2"/>
  <c r="E21" i="2"/>
  <c r="E44" i="2"/>
  <c r="F21" i="2"/>
  <c r="F44" i="2"/>
  <c r="G21" i="2"/>
  <c r="G44" i="2"/>
  <c r="H21" i="2"/>
  <c r="H44" i="2"/>
  <c r="I21" i="2"/>
  <c r="I44" i="2"/>
  <c r="J21" i="2"/>
  <c r="J44" i="2"/>
  <c r="K21" i="2"/>
  <c r="K44" i="2"/>
  <c r="L21" i="2"/>
  <c r="L44" i="2"/>
  <c r="M21" i="2"/>
  <c r="M44" i="2"/>
  <c r="N21" i="2"/>
  <c r="N44" i="2"/>
  <c r="C36" i="2"/>
  <c r="D36" i="2"/>
  <c r="E36" i="2"/>
  <c r="F36" i="2"/>
  <c r="G36" i="2"/>
  <c r="H36" i="2"/>
  <c r="I36" i="2"/>
  <c r="J36" i="2"/>
  <c r="K36" i="2"/>
  <c r="L36" i="2"/>
  <c r="M36" i="2"/>
  <c r="N36" i="2"/>
  <c r="M17" i="2"/>
  <c r="J17" i="2"/>
  <c r="K17" i="2"/>
  <c r="L17" i="2"/>
  <c r="N17" i="2"/>
  <c r="I17" i="2"/>
  <c r="H17" i="2"/>
  <c r="G17" i="2"/>
  <c r="U17" i="2"/>
  <c r="P10" i="2"/>
  <c r="K12" i="2"/>
  <c r="L12" i="2"/>
  <c r="N12" i="2"/>
  <c r="U12" i="2"/>
  <c r="V29" i="2"/>
  <c r="C28" i="2"/>
  <c r="O17" i="2"/>
  <c r="U19" i="2"/>
  <c r="U18" i="2"/>
  <c r="C34" i="2"/>
  <c r="D34" i="2"/>
  <c r="E34" i="2"/>
  <c r="F34" i="2"/>
  <c r="G34" i="2"/>
  <c r="H34" i="2"/>
  <c r="I34" i="2"/>
  <c r="J34" i="2"/>
  <c r="K34" i="2"/>
  <c r="L34" i="2"/>
  <c r="M34" i="2"/>
  <c r="N34" i="2"/>
  <c r="N45" i="2"/>
  <c r="N47" i="2"/>
  <c r="N49" i="2"/>
  <c r="N50" i="2"/>
  <c r="M45" i="2"/>
  <c r="M47" i="2"/>
  <c r="M49" i="2"/>
  <c r="M50" i="2"/>
  <c r="L45" i="2"/>
  <c r="L47" i="2"/>
  <c r="L49" i="2"/>
  <c r="L50" i="2"/>
  <c r="K45" i="2"/>
  <c r="K47" i="2"/>
  <c r="K49" i="2"/>
  <c r="K50" i="2"/>
  <c r="J45" i="2"/>
  <c r="J47" i="2"/>
  <c r="J49" i="2"/>
  <c r="J50" i="2"/>
  <c r="I45" i="2"/>
  <c r="I47" i="2"/>
  <c r="I49" i="2"/>
  <c r="I50" i="2"/>
  <c r="H45" i="2"/>
  <c r="H47" i="2"/>
  <c r="H49" i="2"/>
  <c r="H50" i="2"/>
  <c r="G45" i="2"/>
  <c r="G47" i="2"/>
  <c r="G49" i="2"/>
  <c r="G50" i="2"/>
  <c r="F45" i="2"/>
  <c r="F47" i="2"/>
  <c r="F49" i="2"/>
  <c r="F50" i="2"/>
  <c r="E45" i="2"/>
  <c r="E47" i="2"/>
  <c r="E49" i="2"/>
  <c r="E50" i="2"/>
  <c r="D45" i="2"/>
  <c r="D47" i="2"/>
  <c r="D49" i="2"/>
  <c r="D50" i="2"/>
  <c r="C39" i="2"/>
  <c r="C45" i="2"/>
  <c r="C47" i="2"/>
  <c r="C49" i="2"/>
  <c r="C50" i="2"/>
  <c r="N30" i="2"/>
  <c r="M30" i="2"/>
  <c r="L30" i="2"/>
  <c r="K30" i="2"/>
  <c r="J30" i="2"/>
  <c r="I30" i="2"/>
  <c r="H30" i="2"/>
  <c r="G30" i="2"/>
  <c r="F30" i="2"/>
  <c r="E30" i="2"/>
  <c r="D30" i="2"/>
  <c r="C30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C26" i="2"/>
  <c r="N25" i="2"/>
  <c r="M25" i="2"/>
  <c r="L25" i="2"/>
  <c r="K25" i="2"/>
  <c r="J25" i="2"/>
  <c r="I25" i="2"/>
  <c r="H25" i="2"/>
  <c r="G25" i="2"/>
  <c r="F25" i="2"/>
  <c r="E25" i="2"/>
  <c r="D25" i="2"/>
  <c r="C25" i="2"/>
  <c r="N24" i="2"/>
  <c r="M24" i="2"/>
  <c r="L24" i="2"/>
  <c r="K24" i="2"/>
  <c r="J24" i="2"/>
  <c r="I24" i="2"/>
  <c r="H24" i="2"/>
  <c r="G24" i="2"/>
  <c r="F24" i="2"/>
  <c r="E24" i="2"/>
  <c r="D24" i="2"/>
  <c r="C24" i="2"/>
  <c r="N18" i="2"/>
  <c r="M18" i="2"/>
  <c r="L18" i="2"/>
  <c r="K18" i="2"/>
  <c r="J18" i="2"/>
  <c r="I18" i="2"/>
  <c r="H18" i="2"/>
  <c r="G18" i="2"/>
  <c r="F17" i="2"/>
  <c r="F18" i="2"/>
  <c r="E17" i="2"/>
  <c r="E18" i="2"/>
  <c r="D17" i="2"/>
  <c r="D18" i="2"/>
  <c r="C18" i="2"/>
  <c r="N19" i="2"/>
  <c r="M19" i="2"/>
  <c r="L19" i="2"/>
  <c r="K19" i="2"/>
  <c r="J12" i="2"/>
  <c r="J19" i="2"/>
  <c r="I12" i="2"/>
  <c r="I19" i="2"/>
  <c r="H12" i="2"/>
  <c r="H19" i="2"/>
  <c r="G12" i="2"/>
  <c r="G19" i="2"/>
  <c r="F12" i="2"/>
  <c r="F19" i="2"/>
  <c r="E12" i="2"/>
  <c r="E19" i="2"/>
  <c r="D12" i="2"/>
  <c r="D19" i="2"/>
  <c r="C12" i="2"/>
  <c r="C19" i="2"/>
  <c r="N8" i="2"/>
  <c r="M8" i="2"/>
  <c r="L8" i="2"/>
  <c r="K8" i="2"/>
  <c r="J8" i="2"/>
  <c r="I8" i="2"/>
  <c r="H8" i="2"/>
  <c r="G8" i="2"/>
  <c r="F8" i="2"/>
  <c r="E8" i="2"/>
  <c r="D8" i="2"/>
  <c r="C8" i="2"/>
  <c r="O11" i="2"/>
  <c r="O12" i="2"/>
  <c r="O19" i="2"/>
  <c r="P11" i="2"/>
  <c r="P12" i="2"/>
  <c r="P16" i="2"/>
  <c r="P17" i="2"/>
  <c r="P19" i="2"/>
  <c r="Q11" i="2"/>
  <c r="Q10" i="2"/>
  <c r="Q12" i="2"/>
  <c r="Q16" i="2"/>
  <c r="Q17" i="2"/>
  <c r="Q19" i="2"/>
  <c r="R11" i="2"/>
  <c r="R10" i="2"/>
  <c r="R12" i="2"/>
  <c r="R16" i="2"/>
  <c r="R17" i="2"/>
  <c r="R19" i="2"/>
  <c r="S11" i="2"/>
  <c r="S10" i="2"/>
  <c r="S12" i="2"/>
  <c r="S16" i="2"/>
  <c r="S17" i="2"/>
  <c r="S19" i="2"/>
  <c r="B12" i="2"/>
  <c r="B19" i="2"/>
  <c r="O24" i="2"/>
  <c r="O25" i="2"/>
  <c r="O26" i="2"/>
  <c r="O28" i="2"/>
  <c r="O30" i="2"/>
  <c r="B80" i="2"/>
  <c r="O34" i="2"/>
  <c r="O36" i="2"/>
  <c r="V62" i="2"/>
  <c r="O59" i="2"/>
  <c r="O77" i="2"/>
  <c r="O80" i="2"/>
  <c r="P34" i="2"/>
  <c r="P59" i="2"/>
  <c r="P77" i="2"/>
  <c r="P80" i="2"/>
  <c r="Q34" i="2"/>
  <c r="Q59" i="2"/>
  <c r="Q77" i="2"/>
  <c r="Q80" i="2"/>
  <c r="R34" i="2"/>
  <c r="R59" i="2"/>
  <c r="R77" i="2"/>
  <c r="R80" i="2"/>
  <c r="S34" i="2"/>
  <c r="S59" i="2"/>
  <c r="B59" i="2"/>
  <c r="V57" i="2"/>
  <c r="V58" i="2"/>
  <c r="V60" i="2"/>
  <c r="P28" i="2"/>
  <c r="Q28" i="2"/>
  <c r="R28" i="2"/>
  <c r="S28" i="2"/>
  <c r="O8" i="2"/>
  <c r="B13" i="2"/>
  <c r="B21" i="2"/>
  <c r="B55" i="2"/>
  <c r="S77" i="2"/>
  <c r="S80" i="2"/>
  <c r="B24" i="2"/>
  <c r="B25" i="2"/>
  <c r="B26" i="2"/>
  <c r="B36" i="2"/>
  <c r="B56" i="2"/>
  <c r="B58" i="2"/>
  <c r="B60" i="2"/>
  <c r="B62" i="2"/>
  <c r="B49" i="2"/>
  <c r="B63" i="2"/>
  <c r="O18" i="2"/>
  <c r="O13" i="2"/>
  <c r="O21" i="2"/>
  <c r="O55" i="2"/>
  <c r="P18" i="2"/>
  <c r="P8" i="2"/>
  <c r="Q8" i="2"/>
  <c r="R8" i="2"/>
  <c r="S8" i="2"/>
  <c r="P26" i="2"/>
  <c r="Q26" i="2"/>
  <c r="R26" i="2"/>
  <c r="S26" i="2"/>
  <c r="S25" i="2"/>
  <c r="R25" i="2"/>
  <c r="Q25" i="2"/>
  <c r="P25" i="2"/>
  <c r="S24" i="2"/>
  <c r="R24" i="2"/>
  <c r="Q24" i="2"/>
  <c r="P24" i="2"/>
  <c r="B44" i="2"/>
  <c r="P13" i="2"/>
  <c r="Q18" i="2"/>
  <c r="P21" i="2"/>
  <c r="P55" i="2"/>
  <c r="O44" i="2"/>
  <c r="B45" i="2"/>
  <c r="B47" i="2"/>
  <c r="B50" i="2"/>
  <c r="O39" i="2"/>
  <c r="S30" i="2"/>
  <c r="Q30" i="2"/>
  <c r="R30" i="2"/>
  <c r="P30" i="2"/>
  <c r="P36" i="2"/>
  <c r="R18" i="2"/>
  <c r="S18" i="2"/>
  <c r="Q13" i="2"/>
  <c r="Q21" i="2"/>
  <c r="Q55" i="2"/>
  <c r="P44" i="2"/>
  <c r="P45" i="2"/>
  <c r="P56" i="2"/>
  <c r="P58" i="2"/>
  <c r="P60" i="2"/>
  <c r="P62" i="2"/>
  <c r="Q44" i="2"/>
  <c r="Q36" i="2"/>
  <c r="Q56" i="2"/>
  <c r="R13" i="2"/>
  <c r="R21" i="2"/>
  <c r="R55" i="2"/>
  <c r="S13" i="2"/>
  <c r="S21" i="2"/>
  <c r="S55" i="2"/>
  <c r="Q45" i="2"/>
  <c r="O45" i="2"/>
  <c r="O56" i="2"/>
  <c r="Q58" i="2"/>
  <c r="Q60" i="2"/>
  <c r="Q62" i="2"/>
  <c r="S44" i="2"/>
  <c r="R44" i="2"/>
  <c r="B65" i="2"/>
  <c r="S36" i="2"/>
  <c r="P49" i="2"/>
  <c r="P47" i="2"/>
  <c r="Q47" i="2"/>
  <c r="O58" i="2"/>
  <c r="R36" i="2"/>
  <c r="R56" i="2"/>
  <c r="S45" i="2"/>
  <c r="S56" i="2"/>
  <c r="R45" i="2"/>
  <c r="Q49" i="2"/>
  <c r="O47" i="2"/>
  <c r="B74" i="2"/>
  <c r="O60" i="2"/>
  <c r="O62" i="2"/>
  <c r="R47" i="2"/>
  <c r="Q63" i="2"/>
  <c r="Q65" i="2"/>
  <c r="O49" i="2"/>
  <c r="O50" i="2"/>
  <c r="O74" i="2"/>
  <c r="S47" i="2"/>
  <c r="B78" i="2"/>
  <c r="B82" i="2"/>
  <c r="P63" i="2"/>
  <c r="P65" i="2"/>
  <c r="S58" i="2"/>
  <c r="S60" i="2"/>
  <c r="S62" i="2"/>
  <c r="R58" i="2"/>
  <c r="R60" i="2"/>
  <c r="R62" i="2"/>
  <c r="O78" i="2"/>
  <c r="O82" i="2"/>
  <c r="O63" i="2"/>
  <c r="O65" i="2"/>
  <c r="R49" i="2"/>
  <c r="S49" i="2"/>
  <c r="P39" i="2"/>
  <c r="P50" i="2"/>
  <c r="P74" i="2"/>
  <c r="P78" i="2"/>
  <c r="P82" i="2"/>
  <c r="S63" i="2"/>
  <c r="S65" i="2"/>
  <c r="R63" i="2"/>
  <c r="R65" i="2"/>
  <c r="Q39" i="2"/>
  <c r="Q50" i="2"/>
  <c r="R39" i="2"/>
  <c r="R50" i="2"/>
  <c r="S39" i="2"/>
  <c r="S50" i="2"/>
  <c r="Q74" i="2"/>
  <c r="Q78" i="2"/>
  <c r="Q82" i="2"/>
  <c r="S74" i="2"/>
  <c r="R74" i="2"/>
  <c r="R78" i="2"/>
  <c r="R82" i="2"/>
  <c r="S78" i="2"/>
  <c r="S82" i="2"/>
</calcChain>
</file>

<file path=xl/sharedStrings.xml><?xml version="1.0" encoding="utf-8"?>
<sst xmlns="http://schemas.openxmlformats.org/spreadsheetml/2006/main" count="94" uniqueCount="91">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</sst>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2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NumberFormat="1" applyFont="1" applyFill="1" applyBorder="1"/>
    <xf numFmtId="44" fontId="4" fillId="0" borderId="0" xfId="0" applyNumberFormat="1" applyFont="1" applyAlignment="1"/>
    <xf numFmtId="1" fontId="4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Projections!$A$21</c:f>
              <c:strCache>
                <c:ptCount val="1"/>
                <c:pt idx="0">
                  <c:v>Total Revenue</c:v>
                </c:pt>
              </c:strCache>
            </c:strRef>
          </c:tx>
          <c:marker>
            <c:symbol val="none"/>
          </c:marker>
          <c:cat>
            <c:strRef>
              <c:f>Projections!$C$1:$N$1</c:f>
              <c:strCache>
                <c:ptCount val="12"/>
                <c:pt idx="0">
                  <c:v>Month 1 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Projections!$C$21:$N$21</c:f>
              <c:numCache>
                <c:formatCode>_("£"* #,##0.00_);_("£"* \(#,##0.00\);_("£"* "-"??_);_(@_)</c:formatCode>
                <c:ptCount val="12"/>
                <c:pt idx="0">
                  <c:v>0</c:v>
                </c:pt>
                <c:pt idx="1">
                  <c:v>2549.1499999999996</c:v>
                </c:pt>
                <c:pt idx="2">
                  <c:v>3598.8</c:v>
                </c:pt>
                <c:pt idx="3">
                  <c:v>1799.3999999999999</c:v>
                </c:pt>
                <c:pt idx="4">
                  <c:v>6747.75</c:v>
                </c:pt>
                <c:pt idx="5">
                  <c:v>3508.83</c:v>
                </c:pt>
                <c:pt idx="6">
                  <c:v>8787.07</c:v>
                </c:pt>
                <c:pt idx="7">
                  <c:v>4348.5499999999993</c:v>
                </c:pt>
                <c:pt idx="8">
                  <c:v>16344.55</c:v>
                </c:pt>
                <c:pt idx="9">
                  <c:v>11516.16</c:v>
                </c:pt>
                <c:pt idx="10">
                  <c:v>31639.45</c:v>
                </c:pt>
                <c:pt idx="11">
                  <c:v>11996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Projections!$A$47</c:f>
              <c:strCache>
                <c:ptCount val="1"/>
                <c:pt idx="0">
                  <c:v>Cash Flow before Tax</c:v>
                </c:pt>
              </c:strCache>
            </c:strRef>
          </c:tx>
          <c:marker>
            <c:symbol val="none"/>
          </c:marker>
          <c:val>
            <c:numRef>
              <c:f>Projections!$C$47:$N$47</c:f>
              <c:numCache>
                <c:formatCode>_("£"* #,##0.00_);_("£"* \(#,##0.00\);_("£"* "-"??_);_(@_)</c:formatCode>
                <c:ptCount val="12"/>
                <c:pt idx="0">
                  <c:v>-10334.411666666665</c:v>
                </c:pt>
                <c:pt idx="1">
                  <c:v>-4769.9616666666661</c:v>
                </c:pt>
                <c:pt idx="2">
                  <c:v>-6735.6116666666649</c:v>
                </c:pt>
                <c:pt idx="3">
                  <c:v>-5519.7116666666661</c:v>
                </c:pt>
                <c:pt idx="4">
                  <c:v>-3586.661666666665</c:v>
                </c:pt>
                <c:pt idx="5">
                  <c:v>-3810.2816666666658</c:v>
                </c:pt>
                <c:pt idx="6">
                  <c:v>-1547.3416666666653</c:v>
                </c:pt>
                <c:pt idx="7">
                  <c:v>-2970.5616666666665</c:v>
                </c:pt>
                <c:pt idx="8">
                  <c:v>6010.1383333333342</c:v>
                </c:pt>
                <c:pt idx="9">
                  <c:v>4197.0483333333341</c:v>
                </c:pt>
                <c:pt idx="10">
                  <c:v>21305.038333333338</c:v>
                </c:pt>
                <c:pt idx="11">
                  <c:v>4676.8883333333342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816"/>
        <c:axId val="86385792"/>
      </c:lineChart>
      <c:catAx>
        <c:axId val="836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85792"/>
        <c:crosses val="autoZero"/>
        <c:auto val="1"/>
        <c:lblAlgn val="ctr"/>
        <c:lblOffset val="100"/>
        <c:noMultiLvlLbl val="0"/>
      </c:catAx>
      <c:valAx>
        <c:axId val="86385792"/>
        <c:scaling>
          <c:orientation val="minMax"/>
        </c:scaling>
        <c:delete val="0"/>
        <c:axPos val="l"/>
        <c:majorGridlines/>
        <c:numFmt formatCode="_(&quot;£&quot;* #,##0.00_);_(&quot;£&quot;* \(#,##0.00\);_(&quot;£&quot;* &quot;-&quot;??_);_(@_)" sourceLinked="1"/>
        <c:majorTickMark val="out"/>
        <c:minorTickMark val="none"/>
        <c:tickLblPos val="nextTo"/>
        <c:crossAx val="836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913469107047391"/>
          <c:y val="9.3035651107874845E-2"/>
          <c:w val="0.72201806913337474"/>
          <c:h val="0.88376159092966045"/>
        </c:manualLayout>
      </c:layout>
      <c:lineChart>
        <c:grouping val="standard"/>
        <c:varyColors val="0"/>
        <c:ser>
          <c:idx val="0"/>
          <c:order val="0"/>
          <c:tx>
            <c:v>Net Profit 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(Projections!$B$63,Projections!$O$63:$S$63)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-12496.429999999993</c:v>
                </c:pt>
                <c:pt idx="2">
                  <c:v>29385.144000000018</c:v>
                </c:pt>
                <c:pt idx="3">
                  <c:v>51436.688000000009</c:v>
                </c:pt>
                <c:pt idx="4">
                  <c:v>64136.464000000014</c:v>
                </c:pt>
                <c:pt idx="5">
                  <c:v>68800.351999999999</c:v>
                </c:pt>
              </c:numCache>
            </c:numRef>
          </c:val>
          <c:smooth val="0"/>
        </c:ser>
        <c:ser>
          <c:idx val="1"/>
          <c:order val="1"/>
          <c:tx>
            <c:v>Sales Revenue</c:v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(Projections!$B$21,Projections!$O$21:$S$21)</c:f>
              <c:numCache>
                <c:formatCode>_("£"* #,##0.00_);_("£"* \(#,##0.00\);_("£"* "-"??_);_(@_)</c:formatCode>
                <c:ptCount val="6"/>
                <c:pt idx="0">
                  <c:v>6000</c:v>
                </c:pt>
                <c:pt idx="1">
                  <c:v>93424.709999999992</c:v>
                </c:pt>
                <c:pt idx="2">
                  <c:v>140123.57</c:v>
                </c:pt>
                <c:pt idx="3">
                  <c:v>163473</c:v>
                </c:pt>
                <c:pt idx="4">
                  <c:v>175132.72</c:v>
                </c:pt>
                <c:pt idx="5">
                  <c:v>180962.58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8944"/>
        <c:axId val="121220480"/>
      </c:lineChart>
      <c:catAx>
        <c:axId val="12121894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8575"/>
        </c:spPr>
        <c:txPr>
          <a:bodyPr/>
          <a:lstStyle/>
          <a:p>
            <a:pPr>
              <a:defRPr/>
            </a:pPr>
            <a:endParaRPr lang="en-US"/>
          </a:p>
        </c:txPr>
        <c:crossAx val="121220480"/>
        <c:crosses val="autoZero"/>
        <c:auto val="1"/>
        <c:lblAlgn val="ctr"/>
        <c:lblOffset val="100"/>
        <c:noMultiLvlLbl val="1"/>
      </c:catAx>
      <c:valAx>
        <c:axId val="12122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</a:t>
                </a:r>
                <a:r>
                  <a:rPr lang="en-GB" baseline="0"/>
                  <a:t> Profit / Revenue </a:t>
                </a:r>
              </a:p>
            </c:rich>
          </c:tx>
          <c:layout/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21218944"/>
        <c:crosses val="autoZero"/>
        <c:crossBetween val="midCat"/>
      </c:valAx>
      <c:spPr>
        <a:ln w="63500"/>
      </c:spPr>
    </c:plotArea>
    <c:legend>
      <c:legendPos val="r"/>
      <c:layout/>
      <c:overlay val="0"/>
    </c:legend>
    <c:plotVisOnly val="1"/>
    <c:dispBlanksAs val="zero"/>
    <c:showDLblsOverMax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(Projections!$B$13,Projections!$O$13:$S$13)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84667.62999999999</c:v>
                </c:pt>
                <c:pt idx="2">
                  <c:v>126987.95</c:v>
                </c:pt>
                <c:pt idx="3">
                  <c:v>148148.10999999999</c:v>
                </c:pt>
                <c:pt idx="4">
                  <c:v>158728.19</c:v>
                </c:pt>
                <c:pt idx="5">
                  <c:v>164018.22999999998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(Projections!$B$18,Projections!$O$18:$S$18)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8757.08</c:v>
                </c:pt>
                <c:pt idx="2">
                  <c:v>13135.619999999999</c:v>
                </c:pt>
                <c:pt idx="3">
                  <c:v>15324.89</c:v>
                </c:pt>
                <c:pt idx="4">
                  <c:v>16404.53</c:v>
                </c:pt>
                <c:pt idx="5">
                  <c:v>16944.349999999999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5424"/>
        <c:axId val="122776960"/>
      </c:lineChart>
      <c:catAx>
        <c:axId val="122775424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22776960"/>
        <c:crosses val="autoZero"/>
        <c:auto val="1"/>
        <c:lblAlgn val="ctr"/>
        <c:lblOffset val="100"/>
        <c:noMultiLvlLbl val="0"/>
      </c:catAx>
      <c:valAx>
        <c:axId val="12277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480853895716439E-2"/>
              <c:y val="0.4637618462899924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227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0.43296</cdr:x>
      <cdr:y>0.7163</cdr:y>
    </cdr:from>
    <cdr:to>
      <cdr:x>0.55783</cdr:x>
      <cdr:y>0.76176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5" y="4352925"/>
          <a:ext cx="1162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 b="1"/>
            <a:t>Financial</a:t>
          </a:r>
          <a:r>
            <a:rPr lang="en-GB" sz="1200" b="1" baseline="0"/>
            <a:t> Years </a:t>
          </a:r>
          <a:endParaRPr lang="en-GB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7"/>
  <sheetViews>
    <sheetView topLeftCell="B1" zoomScale="55" zoomScaleNormal="55" workbookViewId="0">
      <pane ySplit="1" topLeftCell="A2" activePane="bottomLeft" state="frozen"/>
      <selection pane="bottomLeft" activeCell="O10" sqref="O10"/>
    </sheetView>
  </sheetViews>
  <sheetFormatPr defaultColWidth="15.140625" defaultRowHeight="15" customHeight="1" x14ac:dyDescent="0.25"/>
  <cols>
    <col min="1" max="1" width="48.42578125" style="2" customWidth="1"/>
    <col min="2" max="2" width="17.28515625" style="2" bestFit="1" customWidth="1"/>
    <col min="3" max="3" width="16.42578125" style="2" bestFit="1" customWidth="1"/>
    <col min="4" max="4" width="15.7109375" style="2" bestFit="1" customWidth="1"/>
    <col min="5" max="5" width="16.42578125" style="2" bestFit="1" customWidth="1"/>
    <col min="6" max="6" width="14.42578125" style="2" bestFit="1" customWidth="1"/>
    <col min="7" max="7" width="16.42578125" style="2" bestFit="1" customWidth="1"/>
    <col min="8" max="8" width="15.7109375" style="2" customWidth="1"/>
    <col min="9" max="9" width="16.42578125" style="2" bestFit="1" customWidth="1"/>
    <col min="10" max="10" width="15.7109375" style="2" customWidth="1"/>
    <col min="11" max="11" width="16.42578125" style="2" bestFit="1" customWidth="1"/>
    <col min="12" max="12" width="15.7109375" style="2" customWidth="1"/>
    <col min="13" max="13" width="16.42578125" style="2" bestFit="1" customWidth="1"/>
    <col min="14" max="14" width="15.7109375" style="2" customWidth="1"/>
    <col min="15" max="15" width="16.7109375" style="2" bestFit="1" customWidth="1"/>
    <col min="16" max="17" width="17.140625" style="2" bestFit="1" customWidth="1"/>
    <col min="18" max="18" width="17.42578125" style="2" bestFit="1" customWidth="1"/>
    <col min="19" max="19" width="17.140625" style="2" bestFit="1" customWidth="1"/>
    <col min="20" max="20" width="2.7109375" style="2" customWidth="1"/>
    <col min="21" max="21" width="24.85546875" style="2" bestFit="1" customWidth="1"/>
    <col min="22" max="22" width="15.28515625" style="2" customWidth="1"/>
    <col min="23" max="23" width="12.5703125" style="2" bestFit="1" customWidth="1"/>
    <col min="24" max="38" width="7.42578125" style="2" customWidth="1"/>
    <col min="39" max="16384" width="15.140625" style="2"/>
  </cols>
  <sheetData>
    <row r="1" spans="1:38" ht="15" customHeight="1" thickBot="1" x14ac:dyDescent="0.3">
      <c r="A1" s="1"/>
      <c r="B1" s="44" t="s">
        <v>1</v>
      </c>
      <c r="C1" s="44" t="s">
        <v>79</v>
      </c>
      <c r="D1" s="44" t="s">
        <v>80</v>
      </c>
      <c r="E1" s="44" t="s">
        <v>81</v>
      </c>
      <c r="F1" s="44" t="s">
        <v>82</v>
      </c>
      <c r="G1" s="44" t="s">
        <v>83</v>
      </c>
      <c r="H1" s="44" t="s">
        <v>84</v>
      </c>
      <c r="I1" s="44" t="s">
        <v>85</v>
      </c>
      <c r="J1" s="44" t="s">
        <v>86</v>
      </c>
      <c r="K1" s="44" t="s">
        <v>87</v>
      </c>
      <c r="L1" s="44" t="s">
        <v>88</v>
      </c>
      <c r="M1" s="44" t="s">
        <v>89</v>
      </c>
      <c r="N1" s="44" t="s">
        <v>90</v>
      </c>
      <c r="O1" s="44" t="s">
        <v>2</v>
      </c>
      <c r="P1" s="44" t="s">
        <v>3</v>
      </c>
      <c r="Q1" s="44" t="s">
        <v>4</v>
      </c>
      <c r="R1" s="44" t="s">
        <v>5</v>
      </c>
      <c r="S1" s="44" t="s">
        <v>38</v>
      </c>
    </row>
    <row r="2" spans="1:38" ht="20.25" customHeight="1" thickTop="1" thickBot="1" x14ac:dyDescent="0.4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thickBot="1" x14ac:dyDescent="0.3">
      <c r="A3" s="27" t="s">
        <v>66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thickBot="1" x14ac:dyDescent="0.3">
      <c r="A5" s="9" t="s">
        <v>7</v>
      </c>
      <c r="B5" s="10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7"/>
      <c r="U5" s="8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4" t="s">
        <v>44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7"/>
      <c r="U6" s="59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6" t="s">
        <v>52</v>
      </c>
      <c r="B7" s="7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>
        <v>29.99</v>
      </c>
      <c r="I7" s="7">
        <v>29.99</v>
      </c>
      <c r="J7" s="7">
        <v>29.99</v>
      </c>
      <c r="K7" s="7">
        <v>29.99</v>
      </c>
      <c r="L7" s="7">
        <v>29.99</v>
      </c>
      <c r="M7" s="7">
        <v>29.99</v>
      </c>
      <c r="N7" s="7">
        <v>29.99</v>
      </c>
      <c r="O7" s="7">
        <v>29.99</v>
      </c>
      <c r="P7" s="7">
        <v>29.99</v>
      </c>
      <c r="Q7" s="7">
        <v>29.99</v>
      </c>
      <c r="R7" s="7">
        <v>29.99</v>
      </c>
      <c r="S7" s="7">
        <v>29.99</v>
      </c>
      <c r="T7" s="7"/>
      <c r="U7" s="60">
        <v>0.1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thickBot="1" x14ac:dyDescent="0.3">
      <c r="A8" s="9" t="s">
        <v>53</v>
      </c>
      <c r="B8" s="10"/>
      <c r="C8" s="10">
        <f t="shared" ref="C8:N8" si="0">ROUNDDOWN(C7-C7*$U$7,2)</f>
        <v>26.99</v>
      </c>
      <c r="D8" s="10">
        <f t="shared" si="0"/>
        <v>26.99</v>
      </c>
      <c r="E8" s="10">
        <f t="shared" si="0"/>
        <v>26.99</v>
      </c>
      <c r="F8" s="10">
        <f t="shared" si="0"/>
        <v>26.99</v>
      </c>
      <c r="G8" s="10">
        <f t="shared" si="0"/>
        <v>26.99</v>
      </c>
      <c r="H8" s="10">
        <f t="shared" si="0"/>
        <v>26.99</v>
      </c>
      <c r="I8" s="10">
        <f t="shared" si="0"/>
        <v>26.99</v>
      </c>
      <c r="J8" s="10">
        <f t="shared" si="0"/>
        <v>26.99</v>
      </c>
      <c r="K8" s="10">
        <f t="shared" si="0"/>
        <v>26.99</v>
      </c>
      <c r="L8" s="10">
        <f t="shared" si="0"/>
        <v>26.99</v>
      </c>
      <c r="M8" s="10">
        <f t="shared" si="0"/>
        <v>26.99</v>
      </c>
      <c r="N8" s="10">
        <f t="shared" si="0"/>
        <v>26.99</v>
      </c>
      <c r="O8" s="10">
        <f>ROUNDDOWN(O7-O7*$U$7,2)</f>
        <v>26.99</v>
      </c>
      <c r="P8" s="10">
        <f>ROUNDDOWN(P7-P7*$U$7,2)</f>
        <v>26.99</v>
      </c>
      <c r="Q8" s="10">
        <f>ROUNDDOWN(Q7-Q7*$U$7,2)</f>
        <v>26.99</v>
      </c>
      <c r="R8" s="10">
        <f>ROUNDDOWN(R7-R7*$U$7,2)</f>
        <v>26.99</v>
      </c>
      <c r="S8" s="10">
        <f>ROUNDDOWN(S7-S7*$U$7,2)</f>
        <v>26.99</v>
      </c>
      <c r="T8" s="7"/>
      <c r="U8" s="8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4" t="s">
        <v>47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"/>
      <c r="U9" s="59" t="s">
        <v>6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6" t="s">
        <v>41</v>
      </c>
      <c r="B10" s="12">
        <v>0</v>
      </c>
      <c r="C10" s="12">
        <v>0</v>
      </c>
      <c r="D10" s="12">
        <v>80</v>
      </c>
      <c r="E10" s="65">
        <v>100</v>
      </c>
      <c r="F10" s="65">
        <v>60</v>
      </c>
      <c r="G10" s="65">
        <v>200</v>
      </c>
      <c r="H10" s="65">
        <v>100</v>
      </c>
      <c r="I10" s="65">
        <v>250</v>
      </c>
      <c r="J10" s="65">
        <v>120</v>
      </c>
      <c r="K10" s="12">
        <v>500</v>
      </c>
      <c r="L10" s="12">
        <v>350</v>
      </c>
      <c r="M10" s="12">
        <v>1000</v>
      </c>
      <c r="N10" s="12">
        <v>377</v>
      </c>
      <c r="O10" s="12">
        <f t="shared" ref="O10:S10" si="1">ROUNDDOWN(378000*0.83*0.01,0)</f>
        <v>3137</v>
      </c>
      <c r="P10" s="12">
        <f t="shared" si="1"/>
        <v>3137</v>
      </c>
      <c r="Q10" s="12">
        <f t="shared" si="1"/>
        <v>3137</v>
      </c>
      <c r="R10" s="12">
        <f t="shared" si="1"/>
        <v>3137</v>
      </c>
      <c r="S10" s="12">
        <f t="shared" si="1"/>
        <v>3137</v>
      </c>
      <c r="T10" s="12"/>
      <c r="U10" s="60">
        <v>0.5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6" t="s">
        <v>40</v>
      </c>
      <c r="B11" s="12">
        <v>0</v>
      </c>
      <c r="C11" s="12">
        <v>0</v>
      </c>
      <c r="D11" s="12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12">
        <f>ROUNDDOWN((B10+B11)*$U$10,0)</f>
        <v>0</v>
      </c>
      <c r="P11" s="12">
        <f>ROUNDDOWN((O10+O11)*$U$10,0)</f>
        <v>1568</v>
      </c>
      <c r="Q11" s="12">
        <f>ROUNDDOWN((P10+P11)*$U$10,0)</f>
        <v>2352</v>
      </c>
      <c r="R11" s="12">
        <f>ROUNDDOWN((Q10+Q11)*$U$10,0)</f>
        <v>2744</v>
      </c>
      <c r="S11" s="12">
        <f>ROUNDDOWN((R10+R11)*$U$10,0)</f>
        <v>2940</v>
      </c>
      <c r="T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6" t="s">
        <v>46</v>
      </c>
      <c r="B12" s="14">
        <f t="shared" ref="B12:S12" si="2">B11+B10</f>
        <v>0</v>
      </c>
      <c r="C12" s="14">
        <f t="shared" si="2"/>
        <v>0</v>
      </c>
      <c r="D12" s="14">
        <f t="shared" si="2"/>
        <v>80</v>
      </c>
      <c r="E12" s="14">
        <f t="shared" si="2"/>
        <v>100</v>
      </c>
      <c r="F12" s="14">
        <f t="shared" si="2"/>
        <v>60</v>
      </c>
      <c r="G12" s="14">
        <f t="shared" si="2"/>
        <v>200</v>
      </c>
      <c r="H12" s="14">
        <f t="shared" si="2"/>
        <v>100</v>
      </c>
      <c r="I12" s="14">
        <f t="shared" si="2"/>
        <v>250</v>
      </c>
      <c r="J12" s="14">
        <f t="shared" si="2"/>
        <v>120</v>
      </c>
      <c r="K12" s="14">
        <f t="shared" si="2"/>
        <v>500</v>
      </c>
      <c r="L12" s="14">
        <f t="shared" si="2"/>
        <v>350</v>
      </c>
      <c r="M12" s="14">
        <f t="shared" si="2"/>
        <v>1000</v>
      </c>
      <c r="N12" s="14">
        <f t="shared" si="2"/>
        <v>377</v>
      </c>
      <c r="O12" s="14">
        <f>O11+O10</f>
        <v>3137</v>
      </c>
      <c r="P12" s="14">
        <f t="shared" si="2"/>
        <v>4705</v>
      </c>
      <c r="Q12" s="14">
        <f t="shared" si="2"/>
        <v>5489</v>
      </c>
      <c r="R12" s="14">
        <f t="shared" si="2"/>
        <v>5881</v>
      </c>
      <c r="S12" s="14">
        <f t="shared" si="2"/>
        <v>6077</v>
      </c>
      <c r="T12" s="13"/>
      <c r="U12" s="67">
        <f>SUM(D12:N12)</f>
        <v>3137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thickBot="1" x14ac:dyDescent="0.3">
      <c r="A13" s="9" t="s">
        <v>51</v>
      </c>
      <c r="B13" s="10">
        <f>B12*B7</f>
        <v>0</v>
      </c>
      <c r="C13" s="10">
        <f t="shared" ref="C13:N13" si="3">C12*C7</f>
        <v>0</v>
      </c>
      <c r="D13" s="10">
        <f t="shared" si="3"/>
        <v>2399.1999999999998</v>
      </c>
      <c r="E13" s="10">
        <f t="shared" si="3"/>
        <v>2999</v>
      </c>
      <c r="F13" s="10">
        <f t="shared" si="3"/>
        <v>1799.3999999999999</v>
      </c>
      <c r="G13" s="10">
        <f t="shared" si="3"/>
        <v>5998</v>
      </c>
      <c r="H13" s="10">
        <f t="shared" si="3"/>
        <v>2999</v>
      </c>
      <c r="I13" s="10">
        <f t="shared" si="3"/>
        <v>7497.5</v>
      </c>
      <c r="J13" s="10">
        <f t="shared" si="3"/>
        <v>3598.7999999999997</v>
      </c>
      <c r="K13" s="10">
        <f t="shared" si="3"/>
        <v>14995</v>
      </c>
      <c r="L13" s="10">
        <f t="shared" si="3"/>
        <v>10496.5</v>
      </c>
      <c r="M13" s="10">
        <f t="shared" si="3"/>
        <v>29990</v>
      </c>
      <c r="N13" s="10">
        <f t="shared" si="3"/>
        <v>11306.23</v>
      </c>
      <c r="O13" s="10">
        <f>O12*O8</f>
        <v>84667.62999999999</v>
      </c>
      <c r="P13" s="10">
        <f t="shared" ref="P13:S13" si="4">P12*P8</f>
        <v>126987.95</v>
      </c>
      <c r="Q13" s="10">
        <f t="shared" si="4"/>
        <v>148148.10999999999</v>
      </c>
      <c r="R13" s="10">
        <f t="shared" si="4"/>
        <v>158728.19</v>
      </c>
      <c r="S13" s="10">
        <f t="shared" si="4"/>
        <v>164018.22999999998</v>
      </c>
      <c r="T13" s="7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4" t="s">
        <v>48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6" t="s">
        <v>42</v>
      </c>
      <c r="B15" s="14">
        <v>0</v>
      </c>
      <c r="C15" s="14">
        <v>0</v>
      </c>
      <c r="D15" s="14">
        <v>5</v>
      </c>
      <c r="E15" s="14">
        <v>20</v>
      </c>
      <c r="F15" s="14">
        <v>0</v>
      </c>
      <c r="G15" s="14">
        <v>25</v>
      </c>
      <c r="H15" s="14">
        <v>17</v>
      </c>
      <c r="I15" s="14">
        <v>43</v>
      </c>
      <c r="J15" s="14">
        <v>25</v>
      </c>
      <c r="K15" s="14">
        <v>45</v>
      </c>
      <c r="L15" s="14">
        <v>34</v>
      </c>
      <c r="M15" s="14">
        <v>55</v>
      </c>
      <c r="N15" s="14">
        <v>23</v>
      </c>
      <c r="O15" s="14">
        <v>292</v>
      </c>
      <c r="P15" s="14">
        <v>292</v>
      </c>
      <c r="Q15" s="14">
        <v>292</v>
      </c>
      <c r="R15" s="14">
        <v>292</v>
      </c>
      <c r="S15" s="14">
        <v>292</v>
      </c>
      <c r="T15" s="1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f>ROUNDDOWN((O15+O16)*$U$10,0)</f>
        <v>146</v>
      </c>
      <c r="Q16" s="14">
        <f>ROUNDDOWN((P15+P16)*$U$10,0)</f>
        <v>219</v>
      </c>
      <c r="R16" s="14">
        <f>ROUNDDOWN((Q15+Q16)*$U$10,0)</f>
        <v>255</v>
      </c>
      <c r="S16" s="14">
        <f>ROUNDDOWN((R15+R16)*$U$10,0)</f>
        <v>273</v>
      </c>
      <c r="T16" s="1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6" t="s">
        <v>49</v>
      </c>
      <c r="B17" s="14">
        <v>0</v>
      </c>
      <c r="C17" s="14">
        <v>0</v>
      </c>
      <c r="D17" s="14">
        <f t="shared" ref="D17:N17" si="5">D15+D16</f>
        <v>5</v>
      </c>
      <c r="E17" s="14">
        <f t="shared" si="5"/>
        <v>20</v>
      </c>
      <c r="F17" s="14">
        <f t="shared" si="5"/>
        <v>0</v>
      </c>
      <c r="G17" s="14">
        <f t="shared" si="5"/>
        <v>25</v>
      </c>
      <c r="H17" s="14">
        <f t="shared" si="5"/>
        <v>17</v>
      </c>
      <c r="I17" s="14">
        <f t="shared" si="5"/>
        <v>43</v>
      </c>
      <c r="J17" s="14">
        <f t="shared" si="5"/>
        <v>25</v>
      </c>
      <c r="K17" s="14">
        <f t="shared" si="5"/>
        <v>45</v>
      </c>
      <c r="L17" s="14">
        <f t="shared" si="5"/>
        <v>34</v>
      </c>
      <c r="M17" s="14">
        <f t="shared" si="5"/>
        <v>55</v>
      </c>
      <c r="N17" s="14">
        <f t="shared" si="5"/>
        <v>23</v>
      </c>
      <c r="O17" s="14">
        <f>O15+O16</f>
        <v>292</v>
      </c>
      <c r="P17" s="14">
        <f t="shared" ref="P17:S17" si="6">P15+P16</f>
        <v>438</v>
      </c>
      <c r="Q17" s="14">
        <f t="shared" si="6"/>
        <v>511</v>
      </c>
      <c r="R17" s="14">
        <f t="shared" si="6"/>
        <v>547</v>
      </c>
      <c r="S17" s="14">
        <f t="shared" si="6"/>
        <v>565</v>
      </c>
      <c r="T17" s="13"/>
      <c r="U17" s="14">
        <f>SUM(G17:N17)</f>
        <v>267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6" t="s">
        <v>50</v>
      </c>
      <c r="B18" s="7">
        <v>0</v>
      </c>
      <c r="C18" s="7">
        <f t="shared" ref="C18:N18" si="7">C17*C7</f>
        <v>0</v>
      </c>
      <c r="D18" s="7">
        <f t="shared" si="7"/>
        <v>149.94999999999999</v>
      </c>
      <c r="E18" s="7">
        <f t="shared" si="7"/>
        <v>599.79999999999995</v>
      </c>
      <c r="F18" s="7">
        <f t="shared" si="7"/>
        <v>0</v>
      </c>
      <c r="G18" s="7">
        <f t="shared" si="7"/>
        <v>749.75</v>
      </c>
      <c r="H18" s="7">
        <f t="shared" si="7"/>
        <v>509.83</v>
      </c>
      <c r="I18" s="7">
        <f t="shared" si="7"/>
        <v>1289.57</v>
      </c>
      <c r="J18" s="7">
        <f t="shared" si="7"/>
        <v>749.75</v>
      </c>
      <c r="K18" s="7">
        <f t="shared" si="7"/>
        <v>1349.55</v>
      </c>
      <c r="L18" s="7">
        <f t="shared" si="7"/>
        <v>1019.66</v>
      </c>
      <c r="M18" s="7">
        <f t="shared" si="7"/>
        <v>1649.4499999999998</v>
      </c>
      <c r="N18" s="7">
        <f t="shared" si="7"/>
        <v>689.77</v>
      </c>
      <c r="O18" s="7">
        <f>O17*O7</f>
        <v>8757.08</v>
      </c>
      <c r="P18" s="7">
        <f t="shared" ref="P18:R18" si="8">P17*P7</f>
        <v>13135.619999999999</v>
      </c>
      <c r="Q18" s="7">
        <f t="shared" si="8"/>
        <v>15324.89</v>
      </c>
      <c r="R18" s="7">
        <f t="shared" si="8"/>
        <v>16404.53</v>
      </c>
      <c r="S18" s="7">
        <f>S17*S7</f>
        <v>16944.349999999999</v>
      </c>
      <c r="T18" s="7"/>
      <c r="U18" s="7">
        <f>O10-SUM(C10:N10)</f>
        <v>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6" t="s">
        <v>78</v>
      </c>
      <c r="B19" s="14">
        <f>B12+B17</f>
        <v>0</v>
      </c>
      <c r="C19" s="14">
        <f t="shared" ref="C19:N19" si="9">C12+C17</f>
        <v>0</v>
      </c>
      <c r="D19" s="14">
        <f t="shared" si="9"/>
        <v>85</v>
      </c>
      <c r="E19" s="14">
        <f t="shared" si="9"/>
        <v>120</v>
      </c>
      <c r="F19" s="14">
        <f t="shared" si="9"/>
        <v>60</v>
      </c>
      <c r="G19" s="14">
        <f t="shared" si="9"/>
        <v>225</v>
      </c>
      <c r="H19" s="14">
        <f t="shared" si="9"/>
        <v>117</v>
      </c>
      <c r="I19" s="14">
        <f t="shared" si="9"/>
        <v>293</v>
      </c>
      <c r="J19" s="14">
        <f t="shared" si="9"/>
        <v>145</v>
      </c>
      <c r="K19" s="14">
        <f t="shared" si="9"/>
        <v>545</v>
      </c>
      <c r="L19" s="14">
        <f t="shared" si="9"/>
        <v>384</v>
      </c>
      <c r="M19" s="14">
        <f t="shared" si="9"/>
        <v>1055</v>
      </c>
      <c r="N19" s="14">
        <f t="shared" si="9"/>
        <v>400</v>
      </c>
      <c r="O19" s="14">
        <f t="shared" ref="O19:S19" si="10">O12+O17</f>
        <v>3429</v>
      </c>
      <c r="P19" s="14">
        <f t="shared" si="10"/>
        <v>5143</v>
      </c>
      <c r="Q19" s="14">
        <f t="shared" si="10"/>
        <v>6000</v>
      </c>
      <c r="R19" s="14">
        <f t="shared" si="10"/>
        <v>6428</v>
      </c>
      <c r="S19" s="14">
        <f t="shared" si="10"/>
        <v>6642</v>
      </c>
      <c r="T19" s="7"/>
      <c r="U19" s="14">
        <f>O17-SUM(C15:N15)</f>
        <v>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thickBot="1" x14ac:dyDescent="0.3">
      <c r="A21" s="33" t="s">
        <v>57</v>
      </c>
      <c r="B21" s="34">
        <f>B5+B13+B18</f>
        <v>6000</v>
      </c>
      <c r="C21" s="34">
        <f t="shared" ref="C21:N21" si="11">C5+C13+C18</f>
        <v>0</v>
      </c>
      <c r="D21" s="34">
        <f t="shared" si="11"/>
        <v>2549.1499999999996</v>
      </c>
      <c r="E21" s="34">
        <f t="shared" si="11"/>
        <v>3598.8</v>
      </c>
      <c r="F21" s="34">
        <f t="shared" si="11"/>
        <v>1799.3999999999999</v>
      </c>
      <c r="G21" s="34">
        <f t="shared" si="11"/>
        <v>6747.75</v>
      </c>
      <c r="H21" s="34">
        <f t="shared" si="11"/>
        <v>3508.83</v>
      </c>
      <c r="I21" s="34">
        <f t="shared" si="11"/>
        <v>8787.07</v>
      </c>
      <c r="J21" s="34">
        <f t="shared" si="11"/>
        <v>4348.5499999999993</v>
      </c>
      <c r="K21" s="34">
        <f t="shared" si="11"/>
        <v>16344.55</v>
      </c>
      <c r="L21" s="34">
        <f t="shared" si="11"/>
        <v>11516.16</v>
      </c>
      <c r="M21" s="34">
        <f t="shared" si="11"/>
        <v>31639.45</v>
      </c>
      <c r="N21" s="34">
        <f t="shared" si="11"/>
        <v>11996</v>
      </c>
      <c r="O21" s="34">
        <f t="shared" ref="O21:S21" si="12">O5+O13+O18</f>
        <v>93424.709999999992</v>
      </c>
      <c r="P21" s="34">
        <f t="shared" si="12"/>
        <v>140123.57</v>
      </c>
      <c r="Q21" s="34">
        <f t="shared" si="12"/>
        <v>163473</v>
      </c>
      <c r="R21" s="34">
        <f t="shared" si="12"/>
        <v>175132.72</v>
      </c>
      <c r="S21" s="34">
        <f t="shared" si="12"/>
        <v>180962.58</v>
      </c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thickBot="1" x14ac:dyDescent="0.3">
      <c r="A22" s="27" t="s">
        <v>65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4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7" t="s">
        <v>18</v>
      </c>
      <c r="B24" s="7">
        <f>2300</f>
        <v>2300</v>
      </c>
      <c r="C24" s="7">
        <f>$O$24/12</f>
        <v>433.33333333333331</v>
      </c>
      <c r="D24" s="7">
        <f t="shared" ref="D24:N24" si="13">$O$24/12</f>
        <v>433.33333333333331</v>
      </c>
      <c r="E24" s="7">
        <f t="shared" si="13"/>
        <v>433.33333333333331</v>
      </c>
      <c r="F24" s="7">
        <f t="shared" si="13"/>
        <v>433.33333333333331</v>
      </c>
      <c r="G24" s="7">
        <f t="shared" si="13"/>
        <v>433.33333333333331</v>
      </c>
      <c r="H24" s="7">
        <f t="shared" si="13"/>
        <v>433.33333333333331</v>
      </c>
      <c r="I24" s="7">
        <f t="shared" si="13"/>
        <v>433.33333333333331</v>
      </c>
      <c r="J24" s="7">
        <f t="shared" si="13"/>
        <v>433.33333333333331</v>
      </c>
      <c r="K24" s="7">
        <f t="shared" si="13"/>
        <v>433.33333333333331</v>
      </c>
      <c r="L24" s="7">
        <f t="shared" si="13"/>
        <v>433.33333333333331</v>
      </c>
      <c r="M24" s="7">
        <f t="shared" si="13"/>
        <v>433.33333333333331</v>
      </c>
      <c r="N24" s="7">
        <f t="shared" si="13"/>
        <v>433.33333333333331</v>
      </c>
      <c r="O24" s="7">
        <f t="shared" ref="O24:S24" si="14">100*52</f>
        <v>5200</v>
      </c>
      <c r="P24" s="7">
        <f t="shared" si="14"/>
        <v>5200</v>
      </c>
      <c r="Q24" s="7">
        <f t="shared" si="14"/>
        <v>5200</v>
      </c>
      <c r="R24" s="7">
        <f t="shared" si="14"/>
        <v>5200</v>
      </c>
      <c r="S24" s="7">
        <f t="shared" si="14"/>
        <v>5200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7" t="s">
        <v>10</v>
      </c>
      <c r="B25" s="7">
        <f>1150</f>
        <v>1150</v>
      </c>
      <c r="C25" s="7">
        <f>$O$25/12</f>
        <v>216.66666666666666</v>
      </c>
      <c r="D25" s="7">
        <f t="shared" ref="D25:N25" si="15">$O$25/12</f>
        <v>216.66666666666666</v>
      </c>
      <c r="E25" s="7">
        <f t="shared" si="15"/>
        <v>216.66666666666666</v>
      </c>
      <c r="F25" s="7">
        <f t="shared" si="15"/>
        <v>216.66666666666666</v>
      </c>
      <c r="G25" s="7">
        <f t="shared" si="15"/>
        <v>216.66666666666666</v>
      </c>
      <c r="H25" s="7">
        <f t="shared" si="15"/>
        <v>216.66666666666666</v>
      </c>
      <c r="I25" s="7">
        <f t="shared" si="15"/>
        <v>216.66666666666666</v>
      </c>
      <c r="J25" s="7">
        <f t="shared" si="15"/>
        <v>216.66666666666666</v>
      </c>
      <c r="K25" s="7">
        <f t="shared" si="15"/>
        <v>216.66666666666666</v>
      </c>
      <c r="L25" s="7">
        <f t="shared" si="15"/>
        <v>216.66666666666666</v>
      </c>
      <c r="M25" s="7">
        <f t="shared" si="15"/>
        <v>216.66666666666666</v>
      </c>
      <c r="N25" s="7">
        <f t="shared" si="15"/>
        <v>216.66666666666666</v>
      </c>
      <c r="O25" s="7">
        <f t="shared" ref="O25:S25" si="16">50*52</f>
        <v>2600</v>
      </c>
      <c r="P25" s="7">
        <f t="shared" si="16"/>
        <v>2600</v>
      </c>
      <c r="Q25" s="7">
        <f t="shared" si="16"/>
        <v>2600</v>
      </c>
      <c r="R25" s="7">
        <f t="shared" si="16"/>
        <v>2600</v>
      </c>
      <c r="S25" s="7">
        <f t="shared" si="16"/>
        <v>2600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17" t="s">
        <v>9</v>
      </c>
      <c r="B26" s="7">
        <f>14551.89</f>
        <v>14551.89</v>
      </c>
      <c r="C26" s="7">
        <f>$O$26/12</f>
        <v>1370.8333333333333</v>
      </c>
      <c r="D26" s="7">
        <f t="shared" ref="D26:N26" si="17">$O$26/12</f>
        <v>1370.8333333333333</v>
      </c>
      <c r="E26" s="7">
        <f t="shared" si="17"/>
        <v>1370.8333333333333</v>
      </c>
      <c r="F26" s="7">
        <f t="shared" si="17"/>
        <v>1370.8333333333333</v>
      </c>
      <c r="G26" s="7">
        <f t="shared" si="17"/>
        <v>1370.8333333333333</v>
      </c>
      <c r="H26" s="7">
        <f t="shared" si="17"/>
        <v>1370.8333333333333</v>
      </c>
      <c r="I26" s="7">
        <f t="shared" si="17"/>
        <v>1370.8333333333333</v>
      </c>
      <c r="J26" s="7">
        <f t="shared" si="17"/>
        <v>1370.8333333333333</v>
      </c>
      <c r="K26" s="7">
        <f t="shared" si="17"/>
        <v>1370.8333333333333</v>
      </c>
      <c r="L26" s="7">
        <f t="shared" si="17"/>
        <v>1370.8333333333333</v>
      </c>
      <c r="M26" s="7">
        <f t="shared" si="17"/>
        <v>1370.8333333333333</v>
      </c>
      <c r="N26" s="7">
        <f t="shared" si="17"/>
        <v>1370.8333333333333</v>
      </c>
      <c r="O26" s="7">
        <f>(1400*23.5)/2</f>
        <v>16450</v>
      </c>
      <c r="P26" s="7">
        <f t="shared" ref="P26:S26" si="18">(1400*23.5)/2</f>
        <v>16450</v>
      </c>
      <c r="Q26" s="7">
        <f t="shared" si="18"/>
        <v>16450</v>
      </c>
      <c r="R26" s="7">
        <f t="shared" si="18"/>
        <v>16450</v>
      </c>
      <c r="S26" s="7">
        <f t="shared" si="18"/>
        <v>16450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6" t="s">
        <v>27</v>
      </c>
      <c r="B27" s="7">
        <v>0</v>
      </c>
      <c r="C27" s="7">
        <f t="shared" ref="C27:M27" si="19">$O$27/12</f>
        <v>19.383333333333333</v>
      </c>
      <c r="D27" s="7">
        <f t="shared" si="19"/>
        <v>19.383333333333333</v>
      </c>
      <c r="E27" s="7">
        <f t="shared" si="19"/>
        <v>19.383333333333333</v>
      </c>
      <c r="F27" s="7">
        <f t="shared" si="19"/>
        <v>19.383333333333333</v>
      </c>
      <c r="G27" s="7">
        <f t="shared" si="19"/>
        <v>19.383333333333333</v>
      </c>
      <c r="H27" s="7">
        <f t="shared" si="19"/>
        <v>19.383333333333333</v>
      </c>
      <c r="I27" s="7">
        <f t="shared" si="19"/>
        <v>19.383333333333333</v>
      </c>
      <c r="J27" s="7">
        <f t="shared" si="19"/>
        <v>19.383333333333333</v>
      </c>
      <c r="K27" s="7">
        <f t="shared" si="19"/>
        <v>19.383333333333333</v>
      </c>
      <c r="L27" s="7">
        <f t="shared" si="19"/>
        <v>19.383333333333333</v>
      </c>
      <c r="M27" s="7">
        <f t="shared" si="19"/>
        <v>19.383333333333333</v>
      </c>
      <c r="N27" s="7">
        <f>$O$27/12</f>
        <v>19.383333333333333</v>
      </c>
      <c r="O27" s="7">
        <v>232.6</v>
      </c>
      <c r="P27" s="7">
        <v>232.6</v>
      </c>
      <c r="Q27" s="7">
        <v>232.6</v>
      </c>
      <c r="R27" s="7">
        <v>232.6</v>
      </c>
      <c r="S27" s="7">
        <v>232.6</v>
      </c>
      <c r="T27" s="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thickBot="1" x14ac:dyDescent="0.3">
      <c r="A28" s="9" t="s">
        <v>26</v>
      </c>
      <c r="B28" s="10">
        <v>0</v>
      </c>
      <c r="C28" s="10">
        <f>($V$28/12)+($V$29/6)</f>
        <v>3319.4666666666662</v>
      </c>
      <c r="D28" s="10">
        <f>($V$28/12)</f>
        <v>304.16666666666669</v>
      </c>
      <c r="E28" s="10">
        <f t="shared" ref="E28" si="20">($V$28/12)+($V$29/6)</f>
        <v>3319.4666666666662</v>
      </c>
      <c r="F28" s="10">
        <f t="shared" ref="F28" si="21">($V$28/12)</f>
        <v>304.16666666666669</v>
      </c>
      <c r="G28" s="10">
        <f t="shared" ref="G28" si="22">($V$28/12)+($V$29/6)</f>
        <v>3319.4666666666662</v>
      </c>
      <c r="H28" s="10">
        <f t="shared" ref="H28" si="23">($V$28/12)</f>
        <v>304.16666666666669</v>
      </c>
      <c r="I28" s="10">
        <f t="shared" ref="I28" si="24">($V$28/12)+($V$29/6)</f>
        <v>3319.4666666666662</v>
      </c>
      <c r="J28" s="10">
        <f t="shared" ref="J28" si="25">($V$28/12)</f>
        <v>304.16666666666669</v>
      </c>
      <c r="K28" s="10">
        <f t="shared" ref="K28" si="26">($V$28/12)+($V$29/6)</f>
        <v>3319.4666666666662</v>
      </c>
      <c r="L28" s="10">
        <f t="shared" ref="L28" si="27">($V$28/12)</f>
        <v>304.16666666666669</v>
      </c>
      <c r="M28" s="10">
        <f t="shared" ref="M28" si="28">($V$28/12)+($V$29/6)</f>
        <v>3319.4666666666662</v>
      </c>
      <c r="N28" s="10">
        <f t="shared" ref="N28" si="29">($V$28/12)</f>
        <v>304.16666666666669</v>
      </c>
      <c r="O28" s="10">
        <f>((2645*6)*0.95*1.2)+(10*365)</f>
        <v>21741.8</v>
      </c>
      <c r="P28" s="10">
        <f t="shared" ref="P28:S28" si="30">((2645*6)*0.95*1.2)+(10*365)</f>
        <v>21741.8</v>
      </c>
      <c r="Q28" s="10">
        <f t="shared" si="30"/>
        <v>21741.8</v>
      </c>
      <c r="R28" s="10">
        <f t="shared" si="30"/>
        <v>21741.8</v>
      </c>
      <c r="S28" s="10">
        <f t="shared" si="30"/>
        <v>21741.8</v>
      </c>
      <c r="T28" s="7"/>
      <c r="V28" s="2">
        <v>3650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customHeight="1" x14ac:dyDescent="0.25">
      <c r="A29" s="39" t="s">
        <v>55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V29" s="66">
        <f>O28-3650</f>
        <v>18091.8</v>
      </c>
    </row>
    <row r="30" spans="1:38" x14ac:dyDescent="0.25">
      <c r="A30" s="17" t="s">
        <v>20</v>
      </c>
      <c r="B30" s="7">
        <v>24368.87</v>
      </c>
      <c r="C30" s="7">
        <f t="shared" ref="C30:M30" si="31">$O$30/12</f>
        <v>4061.478333333333</v>
      </c>
      <c r="D30" s="7">
        <f t="shared" si="31"/>
        <v>4061.478333333333</v>
      </c>
      <c r="E30" s="7">
        <f t="shared" si="31"/>
        <v>4061.478333333333</v>
      </c>
      <c r="F30" s="7">
        <f t="shared" si="31"/>
        <v>4061.478333333333</v>
      </c>
      <c r="G30" s="7">
        <f t="shared" si="31"/>
        <v>4061.478333333333</v>
      </c>
      <c r="H30" s="7">
        <f t="shared" si="31"/>
        <v>4061.478333333333</v>
      </c>
      <c r="I30" s="7">
        <f t="shared" si="31"/>
        <v>4061.478333333333</v>
      </c>
      <c r="J30" s="7">
        <f t="shared" si="31"/>
        <v>4061.478333333333</v>
      </c>
      <c r="K30" s="7">
        <f t="shared" si="31"/>
        <v>4061.478333333333</v>
      </c>
      <c r="L30" s="7">
        <f t="shared" si="31"/>
        <v>4061.478333333333</v>
      </c>
      <c r="M30" s="7">
        <f t="shared" si="31"/>
        <v>4061.478333333333</v>
      </c>
      <c r="N30" s="7">
        <f>$O$30/12</f>
        <v>4061.478333333333</v>
      </c>
      <c r="O30" s="7">
        <f>$B$30 * 2</f>
        <v>48737.74</v>
      </c>
      <c r="P30" s="7">
        <f>$B$30 * 2</f>
        <v>48737.74</v>
      </c>
      <c r="Q30" s="7">
        <f>$B$30 * 2</f>
        <v>48737.74</v>
      </c>
      <c r="R30" s="7">
        <f>$B$30 * 2</f>
        <v>48737.74</v>
      </c>
      <c r="S30" s="7">
        <f>$B$30 * 2</f>
        <v>48737.74</v>
      </c>
      <c r="T30" s="7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7" t="s">
        <v>24</v>
      </c>
      <c r="B31" s="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thickBot="1" x14ac:dyDescent="0.3">
      <c r="A32" s="9" t="s">
        <v>28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customHeight="1" x14ac:dyDescent="0.25">
      <c r="A33" s="39" t="s">
        <v>56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38" x14ac:dyDescent="0.25">
      <c r="A34" s="17" t="s">
        <v>25</v>
      </c>
      <c r="B34" s="7">
        <v>5265</v>
      </c>
      <c r="C34" s="7">
        <f t="shared" ref="C34:M34" si="32">$O$34/12</f>
        <v>913.25</v>
      </c>
      <c r="D34" s="7">
        <f t="shared" si="32"/>
        <v>913.25</v>
      </c>
      <c r="E34" s="7">
        <f t="shared" si="32"/>
        <v>913.25</v>
      </c>
      <c r="F34" s="7">
        <f t="shared" si="32"/>
        <v>913.25</v>
      </c>
      <c r="G34" s="7">
        <f t="shared" si="32"/>
        <v>913.25</v>
      </c>
      <c r="H34" s="7">
        <f t="shared" si="32"/>
        <v>913.25</v>
      </c>
      <c r="I34" s="7">
        <f t="shared" si="32"/>
        <v>913.25</v>
      </c>
      <c r="J34" s="7">
        <f t="shared" si="32"/>
        <v>913.25</v>
      </c>
      <c r="K34" s="7">
        <f t="shared" si="32"/>
        <v>913.25</v>
      </c>
      <c r="L34" s="7">
        <f t="shared" si="32"/>
        <v>913.25</v>
      </c>
      <c r="M34" s="7">
        <f t="shared" si="32"/>
        <v>913.25</v>
      </c>
      <c r="N34" s="7">
        <f>$O$34/12</f>
        <v>913.25</v>
      </c>
      <c r="O34" s="7">
        <f>B80*0.1686</f>
        <v>10959</v>
      </c>
      <c r="P34" s="7">
        <f>O80*0.1686</f>
        <v>8430</v>
      </c>
      <c r="Q34" s="7">
        <f t="shared" ref="Q34:S34" si="33">P80*0.1686</f>
        <v>4215</v>
      </c>
      <c r="R34" s="7">
        <f t="shared" si="33"/>
        <v>0</v>
      </c>
      <c r="S34" s="7">
        <f t="shared" si="33"/>
        <v>0</v>
      </c>
      <c r="T34" s="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customHeight="1" x14ac:dyDescent="0.25">
      <c r="A35" s="40"/>
    </row>
    <row r="36" spans="1:38" ht="15" customHeight="1" thickBot="1" x14ac:dyDescent="0.3">
      <c r="A36" s="41" t="s">
        <v>67</v>
      </c>
      <c r="B36" s="55">
        <f t="shared" ref="B36:S36" si="34">SUM(B24:B34)</f>
        <v>53635.759999999995</v>
      </c>
      <c r="C36" s="55">
        <f t="shared" si="34"/>
        <v>10334.411666666665</v>
      </c>
      <c r="D36" s="55">
        <f t="shared" si="34"/>
        <v>7319.1116666666658</v>
      </c>
      <c r="E36" s="55">
        <f t="shared" si="34"/>
        <v>10334.411666666665</v>
      </c>
      <c r="F36" s="55">
        <f t="shared" si="34"/>
        <v>7319.1116666666658</v>
      </c>
      <c r="G36" s="55">
        <f t="shared" si="34"/>
        <v>10334.411666666665</v>
      </c>
      <c r="H36" s="55">
        <f t="shared" si="34"/>
        <v>7319.1116666666658</v>
      </c>
      <c r="I36" s="55">
        <f t="shared" si="34"/>
        <v>10334.411666666665</v>
      </c>
      <c r="J36" s="55">
        <f t="shared" si="34"/>
        <v>7319.1116666666658</v>
      </c>
      <c r="K36" s="55">
        <f t="shared" si="34"/>
        <v>10334.411666666665</v>
      </c>
      <c r="L36" s="55">
        <f t="shared" si="34"/>
        <v>7319.1116666666658</v>
      </c>
      <c r="M36" s="55">
        <f t="shared" si="34"/>
        <v>10334.411666666665</v>
      </c>
      <c r="N36" s="55">
        <f t="shared" si="34"/>
        <v>7319.1116666666658</v>
      </c>
      <c r="O36" s="55">
        <f t="shared" si="34"/>
        <v>105921.13999999998</v>
      </c>
      <c r="P36" s="55">
        <f t="shared" si="34"/>
        <v>103392.13999999998</v>
      </c>
      <c r="Q36" s="55">
        <f t="shared" si="34"/>
        <v>99177.139999999985</v>
      </c>
      <c r="R36" s="55">
        <f t="shared" si="34"/>
        <v>94962.139999999985</v>
      </c>
      <c r="S36" s="55">
        <f t="shared" si="34"/>
        <v>94962.139999999985</v>
      </c>
    </row>
    <row r="37" spans="1:38" ht="15.75" thickBot="1" x14ac:dyDescent="0.3">
      <c r="A37" s="27" t="s">
        <v>68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4" t="s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15" t="s">
        <v>29</v>
      </c>
      <c r="B39" s="16">
        <v>0</v>
      </c>
      <c r="C39" s="16">
        <f>B50</f>
        <v>17364.240000000005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>
        <f>B50</f>
        <v>17364.240000000005</v>
      </c>
      <c r="P39" s="16">
        <f>O50</f>
        <v>4867.8100000000122</v>
      </c>
      <c r="Q39" s="16">
        <f>P50</f>
        <v>19252.954000000031</v>
      </c>
      <c r="R39" s="16">
        <f>Q50</f>
        <v>45689.642000000036</v>
      </c>
      <c r="S39" s="16">
        <f>R50</f>
        <v>84826.106000000043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5">
      <c r="A41" s="36" t="s">
        <v>69</v>
      </c>
      <c r="B41" s="37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5">
      <c r="A42" s="36" t="s">
        <v>70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15000</v>
      </c>
      <c r="Q42" s="37">
        <v>25000</v>
      </c>
      <c r="R42" s="37">
        <v>25000</v>
      </c>
      <c r="S42" s="37">
        <v>0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5">
      <c r="A44" s="6" t="s">
        <v>30</v>
      </c>
      <c r="B44" s="7">
        <f t="shared" ref="B44:S44" si="35">B21+B41</f>
        <v>71000</v>
      </c>
      <c r="C44" s="7">
        <f t="shared" si="35"/>
        <v>0</v>
      </c>
      <c r="D44" s="7">
        <f t="shared" si="35"/>
        <v>2549.1499999999996</v>
      </c>
      <c r="E44" s="7">
        <f t="shared" si="35"/>
        <v>3598.8</v>
      </c>
      <c r="F44" s="7">
        <f t="shared" si="35"/>
        <v>1799.3999999999999</v>
      </c>
      <c r="G44" s="7">
        <f t="shared" si="35"/>
        <v>6747.75</v>
      </c>
      <c r="H44" s="7">
        <f t="shared" si="35"/>
        <v>3508.83</v>
      </c>
      <c r="I44" s="7">
        <f t="shared" si="35"/>
        <v>8787.07</v>
      </c>
      <c r="J44" s="7">
        <f t="shared" si="35"/>
        <v>4348.5499999999993</v>
      </c>
      <c r="K44" s="7">
        <f t="shared" si="35"/>
        <v>16344.55</v>
      </c>
      <c r="L44" s="7">
        <f t="shared" si="35"/>
        <v>11516.16</v>
      </c>
      <c r="M44" s="7">
        <f t="shared" si="35"/>
        <v>31639.45</v>
      </c>
      <c r="N44" s="7">
        <f t="shared" si="35"/>
        <v>11996</v>
      </c>
      <c r="O44" s="7">
        <f t="shared" si="35"/>
        <v>93424.709999999992</v>
      </c>
      <c r="P44" s="7">
        <f t="shared" si="35"/>
        <v>140123.57</v>
      </c>
      <c r="Q44" s="7">
        <f t="shared" si="35"/>
        <v>163473</v>
      </c>
      <c r="R44" s="7">
        <f t="shared" si="35"/>
        <v>175132.72</v>
      </c>
      <c r="S44" s="7">
        <f t="shared" si="35"/>
        <v>180962.58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5">
      <c r="A45" s="6" t="s">
        <v>31</v>
      </c>
      <c r="B45" s="7">
        <f>B36+B42</f>
        <v>53635.759999999995</v>
      </c>
      <c r="C45" s="7">
        <f t="shared" ref="C45:N45" si="36">C36+C42</f>
        <v>10334.411666666665</v>
      </c>
      <c r="D45" s="7">
        <f t="shared" si="36"/>
        <v>7319.1116666666658</v>
      </c>
      <c r="E45" s="7">
        <f t="shared" si="36"/>
        <v>10334.411666666665</v>
      </c>
      <c r="F45" s="7">
        <f t="shared" si="36"/>
        <v>7319.1116666666658</v>
      </c>
      <c r="G45" s="7">
        <f t="shared" si="36"/>
        <v>10334.411666666665</v>
      </c>
      <c r="H45" s="7">
        <f t="shared" si="36"/>
        <v>7319.1116666666658</v>
      </c>
      <c r="I45" s="7">
        <f t="shared" si="36"/>
        <v>10334.411666666665</v>
      </c>
      <c r="J45" s="7">
        <f t="shared" si="36"/>
        <v>7319.1116666666658</v>
      </c>
      <c r="K45" s="7">
        <f t="shared" si="36"/>
        <v>10334.411666666665</v>
      </c>
      <c r="L45" s="7">
        <f t="shared" si="36"/>
        <v>7319.1116666666658</v>
      </c>
      <c r="M45" s="7">
        <f t="shared" si="36"/>
        <v>10334.411666666665</v>
      </c>
      <c r="N45" s="7">
        <f t="shared" si="36"/>
        <v>7319.1116666666658</v>
      </c>
      <c r="O45" s="7">
        <f t="shared" ref="O45:S45" si="37">O36+O42</f>
        <v>105921.13999999998</v>
      </c>
      <c r="P45" s="7">
        <f t="shared" si="37"/>
        <v>118392.13999999998</v>
      </c>
      <c r="Q45" s="7">
        <f t="shared" si="37"/>
        <v>124177.13999999998</v>
      </c>
      <c r="R45" s="7">
        <f t="shared" si="37"/>
        <v>119962.13999999998</v>
      </c>
      <c r="S45" s="7">
        <f t="shared" si="37"/>
        <v>94962.139999999985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5" t="s">
        <v>58</v>
      </c>
      <c r="B47" s="16">
        <f t="shared" ref="B47:S47" si="38">B44-B45</f>
        <v>17364.240000000005</v>
      </c>
      <c r="C47" s="16">
        <f t="shared" si="38"/>
        <v>-10334.411666666665</v>
      </c>
      <c r="D47" s="16">
        <f t="shared" si="38"/>
        <v>-4769.9616666666661</v>
      </c>
      <c r="E47" s="16">
        <f t="shared" si="38"/>
        <v>-6735.6116666666649</v>
      </c>
      <c r="F47" s="16">
        <f t="shared" si="38"/>
        <v>-5519.7116666666661</v>
      </c>
      <c r="G47" s="16">
        <f t="shared" si="38"/>
        <v>-3586.661666666665</v>
      </c>
      <c r="H47" s="16">
        <f t="shared" si="38"/>
        <v>-3810.2816666666658</v>
      </c>
      <c r="I47" s="16">
        <f t="shared" si="38"/>
        <v>-1547.3416666666653</v>
      </c>
      <c r="J47" s="16">
        <f t="shared" si="38"/>
        <v>-2970.5616666666665</v>
      </c>
      <c r="K47" s="16">
        <f t="shared" si="38"/>
        <v>6010.1383333333342</v>
      </c>
      <c r="L47" s="16">
        <f t="shared" si="38"/>
        <v>4197.0483333333341</v>
      </c>
      <c r="M47" s="16">
        <f t="shared" si="38"/>
        <v>21305.038333333338</v>
      </c>
      <c r="N47" s="16">
        <f t="shared" si="38"/>
        <v>4676.8883333333342</v>
      </c>
      <c r="O47" s="16">
        <f t="shared" si="38"/>
        <v>-12496.429999999993</v>
      </c>
      <c r="P47" s="16">
        <f t="shared" si="38"/>
        <v>21731.430000000022</v>
      </c>
      <c r="Q47" s="16">
        <f t="shared" si="38"/>
        <v>39295.860000000015</v>
      </c>
      <c r="R47" s="16">
        <f t="shared" si="38"/>
        <v>55170.580000000016</v>
      </c>
      <c r="S47" s="16">
        <f t="shared" si="38"/>
        <v>86000.44</v>
      </c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6" t="s">
        <v>37</v>
      </c>
      <c r="B49" s="7">
        <f t="shared" ref="B49:S49" si="39">B62</f>
        <v>0</v>
      </c>
      <c r="C49" s="7">
        <f t="shared" si="39"/>
        <v>0</v>
      </c>
      <c r="D49" s="7">
        <f t="shared" si="39"/>
        <v>0</v>
      </c>
      <c r="E49" s="7">
        <f t="shared" si="39"/>
        <v>0</v>
      </c>
      <c r="F49" s="7">
        <f t="shared" si="39"/>
        <v>0</v>
      </c>
      <c r="G49" s="7">
        <f t="shared" si="39"/>
        <v>0</v>
      </c>
      <c r="H49" s="7">
        <f t="shared" si="39"/>
        <v>0</v>
      </c>
      <c r="I49" s="7">
        <f t="shared" si="39"/>
        <v>0</v>
      </c>
      <c r="J49" s="7">
        <f t="shared" si="39"/>
        <v>0</v>
      </c>
      <c r="K49" s="7">
        <f t="shared" si="39"/>
        <v>0</v>
      </c>
      <c r="L49" s="7">
        <f t="shared" si="39"/>
        <v>0</v>
      </c>
      <c r="M49" s="7">
        <f t="shared" si="39"/>
        <v>0</v>
      </c>
      <c r="N49" s="7">
        <f t="shared" si="39"/>
        <v>0</v>
      </c>
      <c r="O49" s="7">
        <f t="shared" si="39"/>
        <v>0</v>
      </c>
      <c r="P49" s="7">
        <f t="shared" si="39"/>
        <v>7346.2860000000046</v>
      </c>
      <c r="Q49" s="7">
        <f t="shared" si="39"/>
        <v>12859.172000000004</v>
      </c>
      <c r="R49" s="7">
        <f t="shared" si="39"/>
        <v>16034.116000000004</v>
      </c>
      <c r="S49" s="7">
        <f t="shared" si="39"/>
        <v>17200.088</v>
      </c>
      <c r="T49" s="7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5" t="s">
        <v>32</v>
      </c>
      <c r="B50" s="16">
        <f>B39+B47-B49</f>
        <v>17364.240000000005</v>
      </c>
      <c r="C50" s="16">
        <f t="shared" ref="C50:N50" si="40">C39+C47-C49</f>
        <v>7029.8283333333402</v>
      </c>
      <c r="D50" s="16">
        <f t="shared" si="40"/>
        <v>-4769.9616666666661</v>
      </c>
      <c r="E50" s="16">
        <f t="shared" si="40"/>
        <v>-6735.6116666666649</v>
      </c>
      <c r="F50" s="16">
        <f t="shared" si="40"/>
        <v>-5519.7116666666661</v>
      </c>
      <c r="G50" s="16">
        <f t="shared" si="40"/>
        <v>-3586.661666666665</v>
      </c>
      <c r="H50" s="16">
        <f t="shared" si="40"/>
        <v>-3810.2816666666658</v>
      </c>
      <c r="I50" s="16">
        <f t="shared" si="40"/>
        <v>-1547.3416666666653</v>
      </c>
      <c r="J50" s="16">
        <f t="shared" si="40"/>
        <v>-2970.5616666666665</v>
      </c>
      <c r="K50" s="16">
        <f t="shared" si="40"/>
        <v>6010.1383333333342</v>
      </c>
      <c r="L50" s="16">
        <f t="shared" si="40"/>
        <v>4197.0483333333341</v>
      </c>
      <c r="M50" s="16">
        <f t="shared" si="40"/>
        <v>21305.038333333338</v>
      </c>
      <c r="N50" s="16">
        <f t="shared" si="40"/>
        <v>4676.8883333333342</v>
      </c>
      <c r="O50" s="16">
        <f>O47+O39-O49</f>
        <v>4867.8100000000122</v>
      </c>
      <c r="P50" s="16">
        <f>P47+P39-P49</f>
        <v>19252.954000000031</v>
      </c>
      <c r="Q50" s="16">
        <f>Q47+Q39-Q49</f>
        <v>45689.642000000036</v>
      </c>
      <c r="R50" s="16">
        <f>R47+R39-R49</f>
        <v>84826.106000000043</v>
      </c>
      <c r="S50" s="16">
        <f>S47+S39-S49</f>
        <v>153626.45800000004</v>
      </c>
      <c r="T50" s="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4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5.75" thickBot="1" x14ac:dyDescent="0.3">
      <c r="A52" s="4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20.25" customHeight="1" thickTop="1" thickBot="1" x14ac:dyDescent="0.4">
      <c r="A53" s="29" t="s">
        <v>39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46" t="s">
        <v>33</v>
      </c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6" t="s">
        <v>64</v>
      </c>
      <c r="B55" s="7">
        <f>B21</f>
        <v>6000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>
        <f t="shared" ref="O55:S55" si="41">O21</f>
        <v>93424.709999999992</v>
      </c>
      <c r="P55" s="7">
        <f t="shared" si="41"/>
        <v>140123.57</v>
      </c>
      <c r="Q55" s="7">
        <f t="shared" si="41"/>
        <v>163473</v>
      </c>
      <c r="R55" s="7">
        <f t="shared" si="41"/>
        <v>175132.72</v>
      </c>
      <c r="S55" s="7">
        <f t="shared" si="41"/>
        <v>180962.58</v>
      </c>
      <c r="T55" s="7"/>
      <c r="U55" s="62" t="s">
        <v>72</v>
      </c>
      <c r="V55" s="19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5">
      <c r="A56" s="6" t="s">
        <v>63</v>
      </c>
      <c r="B56" s="7">
        <f>B36</f>
        <v>53635.759999999995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>
        <f t="shared" ref="O56:S56" si="42">O36</f>
        <v>105921.13999999998</v>
      </c>
      <c r="P56" s="7">
        <f t="shared" si="42"/>
        <v>103392.13999999998</v>
      </c>
      <c r="Q56" s="7">
        <f t="shared" si="42"/>
        <v>99177.139999999985</v>
      </c>
      <c r="R56" s="7">
        <f t="shared" si="42"/>
        <v>94962.139999999985</v>
      </c>
      <c r="S56" s="7">
        <f t="shared" si="42"/>
        <v>94962.139999999985</v>
      </c>
      <c r="T56" s="7"/>
      <c r="U56" s="61" t="s">
        <v>73</v>
      </c>
      <c r="V56" s="61">
        <v>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customHeight="1" x14ac:dyDescent="0.25">
      <c r="A57" s="40"/>
      <c r="U57" s="61" t="s">
        <v>74</v>
      </c>
      <c r="V57" s="63">
        <f>O36</f>
        <v>105921.13999999998</v>
      </c>
      <c r="W57" s="63"/>
    </row>
    <row r="58" spans="1:38" s="43" customFormat="1" x14ac:dyDescent="0.25">
      <c r="A58" s="15" t="s">
        <v>59</v>
      </c>
      <c r="B58" s="16">
        <f t="shared" ref="B58:S58" si="43">B55-B56+B34</f>
        <v>-42370.759999999995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>
        <f t="shared" si="43"/>
        <v>-1537.429999999993</v>
      </c>
      <c r="P58" s="16">
        <f t="shared" si="43"/>
        <v>45161.430000000022</v>
      </c>
      <c r="Q58" s="16">
        <f t="shared" si="43"/>
        <v>68510.860000000015</v>
      </c>
      <c r="R58" s="16">
        <f t="shared" si="43"/>
        <v>80170.580000000016</v>
      </c>
      <c r="S58" s="16">
        <f t="shared" si="43"/>
        <v>86000.44</v>
      </c>
      <c r="T58" s="16"/>
      <c r="U58" s="61" t="s">
        <v>75</v>
      </c>
      <c r="V58" s="18">
        <f>O7</f>
        <v>29.99</v>
      </c>
      <c r="W58" s="18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</row>
    <row r="59" spans="1:38" x14ac:dyDescent="0.25">
      <c r="A59" s="17" t="s">
        <v>25</v>
      </c>
      <c r="B59" s="7">
        <f>B34</f>
        <v>5265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>
        <f t="shared" ref="O59:S59" si="44">O34</f>
        <v>10959</v>
      </c>
      <c r="P59" s="7">
        <f t="shared" si="44"/>
        <v>8430</v>
      </c>
      <c r="Q59" s="7">
        <f t="shared" si="44"/>
        <v>4215</v>
      </c>
      <c r="R59" s="7">
        <f t="shared" si="44"/>
        <v>0</v>
      </c>
      <c r="S59" s="7">
        <f t="shared" si="44"/>
        <v>0</v>
      </c>
      <c r="T59" s="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43" customFormat="1" x14ac:dyDescent="0.25">
      <c r="A60" s="15" t="s">
        <v>60</v>
      </c>
      <c r="B60" s="16">
        <f t="shared" ref="B60:S60" si="45">B58-B34</f>
        <v>-47635.759999999995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f t="shared" si="45"/>
        <v>-12496.429999999993</v>
      </c>
      <c r="P60" s="16">
        <f t="shared" si="45"/>
        <v>36731.430000000022</v>
      </c>
      <c r="Q60" s="16">
        <f t="shared" si="45"/>
        <v>64295.860000000015</v>
      </c>
      <c r="R60" s="16">
        <f t="shared" si="45"/>
        <v>80170.580000000016</v>
      </c>
      <c r="S60" s="16">
        <f t="shared" si="45"/>
        <v>86000.44</v>
      </c>
      <c r="T60" s="16"/>
      <c r="U60" s="61" t="s">
        <v>76</v>
      </c>
      <c r="V60" s="64">
        <f>V57/(V58+0)</f>
        <v>3531.8819606535508</v>
      </c>
      <c r="W60" s="64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</row>
    <row r="61" spans="1:38" s="43" customFormat="1" x14ac:dyDescent="0.2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</row>
    <row r="62" spans="1:38" x14ac:dyDescent="0.25">
      <c r="A62" s="22" t="s">
        <v>8</v>
      </c>
      <c r="B62" s="7">
        <f>IF((B60)&gt;0,(B60)*0.2,0)</f>
        <v>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f t="shared" ref="O62:S62" si="46">IF((O60)&gt;0,(O60)*0.2,0)</f>
        <v>0</v>
      </c>
      <c r="P62" s="7">
        <f t="shared" si="46"/>
        <v>7346.2860000000046</v>
      </c>
      <c r="Q62" s="7">
        <f t="shared" si="46"/>
        <v>12859.172000000004</v>
      </c>
      <c r="R62" s="7">
        <f t="shared" si="46"/>
        <v>16034.116000000004</v>
      </c>
      <c r="S62" s="7">
        <f t="shared" si="46"/>
        <v>17200.088</v>
      </c>
      <c r="T62" s="7"/>
      <c r="U62" s="61" t="s">
        <v>77</v>
      </c>
      <c r="V62" s="3">
        <f>O36/(O12+O17)</f>
        <v>30.889804607757359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25">
      <c r="A63" s="22" t="s">
        <v>34</v>
      </c>
      <c r="B63" s="7">
        <f>B60-B62</f>
        <v>-47635.759999999995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f>O60-O62</f>
        <v>-12496.429999999993</v>
      </c>
      <c r="P63" s="7">
        <f>P60-P62</f>
        <v>29385.144000000018</v>
      </c>
      <c r="Q63" s="7">
        <f t="shared" ref="Q63:R63" si="47">Q60-Q62</f>
        <v>51436.688000000009</v>
      </c>
      <c r="R63" s="7">
        <f t="shared" si="47"/>
        <v>64136.464000000014</v>
      </c>
      <c r="S63" s="7">
        <f>S60-S62</f>
        <v>68800.351999999999</v>
      </c>
      <c r="T63" s="7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25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25">
      <c r="A65" s="23" t="s">
        <v>35</v>
      </c>
      <c r="B65" s="16">
        <f>B63</f>
        <v>-47635.759999999995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f>O63</f>
        <v>-12496.429999999993</v>
      </c>
      <c r="P65" s="16">
        <f>P63</f>
        <v>29385.144000000018</v>
      </c>
      <c r="Q65" s="16">
        <f t="shared" ref="Q65:R65" si="48">Q63</f>
        <v>51436.688000000009</v>
      </c>
      <c r="R65" s="16">
        <f t="shared" si="48"/>
        <v>64136.464000000014</v>
      </c>
      <c r="S65" s="16">
        <f>S63</f>
        <v>68800.351999999999</v>
      </c>
      <c r="T65" s="7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25">
      <c r="A66" s="5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7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5.75" thickBot="1" x14ac:dyDescent="0.3">
      <c r="A67" s="45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2.5" thickTop="1" thickBot="1" x14ac:dyDescent="0.4">
      <c r="A68" s="56" t="s">
        <v>61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25">
      <c r="A69" s="30" t="s">
        <v>11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25">
      <c r="A70" s="6" t="s">
        <v>36</v>
      </c>
      <c r="B70" s="18">
        <v>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25">
      <c r="A71" s="6" t="s">
        <v>12</v>
      </c>
      <c r="B71" s="18">
        <v>0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thickBot="1" x14ac:dyDescent="0.3">
      <c r="A72" s="33" t="s">
        <v>13</v>
      </c>
      <c r="B72" s="51">
        <v>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25">
      <c r="A73" s="30" t="s">
        <v>14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25">
      <c r="A74" s="6" t="s">
        <v>62</v>
      </c>
      <c r="B74" s="18">
        <f t="shared" ref="B74:S74" si="49">B50</f>
        <v>17364.240000000005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>
        <f t="shared" si="49"/>
        <v>4867.8100000000122</v>
      </c>
      <c r="P74" s="18">
        <f t="shared" si="49"/>
        <v>19252.954000000031</v>
      </c>
      <c r="Q74" s="18">
        <f t="shared" si="49"/>
        <v>45689.642000000036</v>
      </c>
      <c r="R74" s="18">
        <f t="shared" si="49"/>
        <v>84826.106000000043</v>
      </c>
      <c r="S74" s="18">
        <f t="shared" si="49"/>
        <v>153626.45800000004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.75" thickBot="1" x14ac:dyDescent="0.3">
      <c r="A75" s="9" t="s">
        <v>15</v>
      </c>
      <c r="B75" s="24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25">
      <c r="A76" s="30" t="s">
        <v>16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25">
      <c r="A77" s="6" t="s">
        <v>17</v>
      </c>
      <c r="B77" s="18">
        <v>0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>
        <f>P42</f>
        <v>15000</v>
      </c>
      <c r="P77" s="18">
        <f t="shared" ref="P77:S77" si="50">Q42</f>
        <v>25000</v>
      </c>
      <c r="Q77" s="18">
        <f t="shared" si="50"/>
        <v>25000</v>
      </c>
      <c r="R77" s="18">
        <f t="shared" si="50"/>
        <v>0</v>
      </c>
      <c r="S77" s="18">
        <f t="shared" si="50"/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5.75" thickBot="1" x14ac:dyDescent="0.3">
      <c r="A78" s="33" t="s">
        <v>19</v>
      </c>
      <c r="B78" s="51">
        <f>SUM(B74:B75)-B77</f>
        <v>17364.240000000005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>
        <f>SUM(O74:O75)-O77</f>
        <v>-10132.189999999988</v>
      </c>
      <c r="P78" s="51">
        <f>SUM(P74:P75)-P77</f>
        <v>-5747.0459999999694</v>
      </c>
      <c r="Q78" s="51">
        <f t="shared" ref="Q78:S78" si="51">SUM(Q74:Q75)-Q77</f>
        <v>20689.642000000036</v>
      </c>
      <c r="R78" s="51">
        <f t="shared" si="51"/>
        <v>84826.106000000043</v>
      </c>
      <c r="S78" s="51">
        <f t="shared" si="51"/>
        <v>153626.45800000004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25">
      <c r="A79" s="30" t="s">
        <v>21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thickBot="1" x14ac:dyDescent="0.3">
      <c r="A80" s="9" t="s">
        <v>22</v>
      </c>
      <c r="B80" s="24">
        <f>B41</f>
        <v>65000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>
        <f>B80-O77</f>
        <v>50000</v>
      </c>
      <c r="P80" s="24">
        <f>O80-P77</f>
        <v>25000</v>
      </c>
      <c r="Q80" s="24">
        <f t="shared" ref="Q80:S80" si="52">P80-Q77</f>
        <v>0</v>
      </c>
      <c r="R80" s="24">
        <f t="shared" si="52"/>
        <v>0</v>
      </c>
      <c r="S80" s="24">
        <f t="shared" si="52"/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25">
      <c r="A81" s="30" t="s">
        <v>23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25">
      <c r="A82" s="52" t="s">
        <v>23</v>
      </c>
      <c r="B82" s="32">
        <f t="shared" ref="B82:S82" si="53">(B72+B78)-B80</f>
        <v>-47635.759999999995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>
        <f t="shared" si="53"/>
        <v>-60132.189999999988</v>
      </c>
      <c r="P82" s="32">
        <f t="shared" si="53"/>
        <v>-30747.045999999969</v>
      </c>
      <c r="Q82" s="32">
        <f t="shared" si="53"/>
        <v>20689.642000000036</v>
      </c>
      <c r="R82" s="32">
        <f t="shared" si="53"/>
        <v>84826.106000000043</v>
      </c>
      <c r="S82" s="32">
        <f t="shared" si="53"/>
        <v>153626.45800000004</v>
      </c>
      <c r="T82" s="7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A83" s="25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A84" s="25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25">
      <c r="A86" s="25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25">
      <c r="O87" s="19"/>
      <c r="P87" s="19"/>
      <c r="Q87" s="19"/>
      <c r="R87" s="19"/>
      <c r="S87" s="19"/>
      <c r="T87" s="2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25">
      <c r="O88" s="25"/>
      <c r="P88" s="25"/>
      <c r="Q88" s="25"/>
      <c r="R88" s="25"/>
      <c r="S88" s="2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25">
      <c r="O89" s="26"/>
      <c r="P89" s="26"/>
      <c r="Q89" s="26"/>
      <c r="R89" s="26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25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25"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25">
      <c r="A92" s="6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25">
      <c r="A93" s="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25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25">
      <c r="A95" s="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Projections</vt:lpstr>
      <vt:lpstr>Revenue vs net profit - Year 1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Sam Hall</cp:lastModifiedBy>
  <dcterms:created xsi:type="dcterms:W3CDTF">2015-05-28T13:53:01Z</dcterms:created>
  <dcterms:modified xsi:type="dcterms:W3CDTF">2015-05-31T00:37:41Z</dcterms:modified>
</cp:coreProperties>
</file>