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-460" windowWidth="25600" windowHeight="16000" activeTab="1"/>
  </bookViews>
  <sheets>
    <sheet name="P&amp;L for duration of project " sheetId="1" r:id="rId1"/>
    <sheet name="Projections with 50% Renewal" sheetId="2" r:id="rId2"/>
    <sheet name="50% Customer Renewal P&amp;L Graph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14" i="2"/>
  <c r="C15" i="2"/>
  <c r="C9" i="2"/>
  <c r="C10" i="2"/>
  <c r="C11" i="2"/>
  <c r="C16" i="2"/>
  <c r="C34" i="2"/>
  <c r="C36" i="2"/>
  <c r="C37" i="2"/>
  <c r="B34" i="2"/>
  <c r="B36" i="2"/>
  <c r="B37" i="2"/>
  <c r="B38" i="2"/>
  <c r="C32" i="2"/>
  <c r="C38" i="2"/>
  <c r="D32" i="2"/>
  <c r="D13" i="2"/>
  <c r="D14" i="2"/>
  <c r="D15" i="2"/>
  <c r="D7" i="2"/>
  <c r="D9" i="2"/>
  <c r="D10" i="2"/>
  <c r="D11" i="2"/>
  <c r="D16" i="2"/>
  <c r="D34" i="2"/>
  <c r="D35" i="2"/>
  <c r="D36" i="2"/>
  <c r="D37" i="2"/>
  <c r="D38" i="2"/>
  <c r="E32" i="2"/>
  <c r="E13" i="2"/>
  <c r="E14" i="2"/>
  <c r="E15" i="2"/>
  <c r="E7" i="2"/>
  <c r="E9" i="2"/>
  <c r="E10" i="2"/>
  <c r="E11" i="2"/>
  <c r="E16" i="2"/>
  <c r="E34" i="2"/>
  <c r="D33" i="2"/>
  <c r="E24" i="2"/>
  <c r="E25" i="2"/>
  <c r="E35" i="2"/>
  <c r="E36" i="2"/>
  <c r="E37" i="2"/>
  <c r="E38" i="2"/>
  <c r="F32" i="2"/>
  <c r="F13" i="2"/>
  <c r="F14" i="2"/>
  <c r="F15" i="2"/>
  <c r="F7" i="2"/>
  <c r="F9" i="2"/>
  <c r="F10" i="2"/>
  <c r="F11" i="2"/>
  <c r="F16" i="2"/>
  <c r="F34" i="2"/>
  <c r="E33" i="2"/>
  <c r="F24" i="2"/>
  <c r="F25" i="2"/>
  <c r="F35" i="2"/>
  <c r="F36" i="2"/>
  <c r="F37" i="2"/>
  <c r="F38" i="2"/>
  <c r="G32" i="2"/>
  <c r="G13" i="2"/>
  <c r="G14" i="2"/>
  <c r="G15" i="2"/>
  <c r="G7" i="2"/>
  <c r="G9" i="2"/>
  <c r="G10" i="2"/>
  <c r="G11" i="2"/>
  <c r="G16" i="2"/>
  <c r="G34" i="2"/>
  <c r="F33" i="2"/>
  <c r="G24" i="2"/>
  <c r="G25" i="2"/>
  <c r="G35" i="2"/>
  <c r="G36" i="2"/>
  <c r="G37" i="2"/>
  <c r="G38" i="2"/>
  <c r="B20" i="2"/>
  <c r="D20" i="2"/>
  <c r="D25" i="2"/>
  <c r="E20" i="2"/>
  <c r="F20" i="2"/>
  <c r="G20" i="2"/>
  <c r="C20" i="2"/>
  <c r="C25" i="2"/>
  <c r="D44" i="2"/>
  <c r="D43" i="2"/>
  <c r="D45" i="2"/>
  <c r="D46" i="2"/>
  <c r="D47" i="2"/>
  <c r="C35" i="2"/>
  <c r="B24" i="2"/>
  <c r="B25" i="2"/>
  <c r="B35" i="2"/>
  <c r="C59" i="2"/>
  <c r="C63" i="2"/>
  <c r="C66" i="2"/>
  <c r="D59" i="2"/>
  <c r="D63" i="2"/>
  <c r="D65" i="2"/>
  <c r="D66" i="2"/>
  <c r="E59" i="2"/>
  <c r="E63" i="2"/>
  <c r="E65" i="2"/>
  <c r="E66" i="2"/>
  <c r="F59" i="2"/>
  <c r="F63" i="2"/>
  <c r="F65" i="2"/>
  <c r="F66" i="2"/>
  <c r="G59" i="2"/>
  <c r="G63" i="2"/>
  <c r="G33" i="2"/>
  <c r="G65" i="2"/>
  <c r="G66" i="2"/>
  <c r="B59" i="2"/>
  <c r="B63" i="2"/>
  <c r="B66" i="2"/>
  <c r="C33" i="2"/>
  <c r="C65" i="2"/>
  <c r="B65" i="2"/>
  <c r="H6" i="1"/>
  <c r="H7" i="1"/>
  <c r="H8" i="1"/>
  <c r="H9" i="1"/>
  <c r="H10" i="1"/>
  <c r="H11" i="1"/>
  <c r="H12" i="1"/>
  <c r="H14" i="1"/>
  <c r="H16" i="1"/>
  <c r="H21" i="1"/>
  <c r="H22" i="1"/>
  <c r="H23" i="1"/>
  <c r="H24" i="1"/>
  <c r="H27" i="1"/>
  <c r="H28" i="1"/>
  <c r="H29" i="1"/>
  <c r="H49" i="1"/>
  <c r="H5" i="1"/>
  <c r="C42" i="1"/>
  <c r="B42" i="1"/>
  <c r="E11" i="1"/>
  <c r="B11" i="1"/>
  <c r="C11" i="1"/>
  <c r="D11" i="1"/>
  <c r="B22" i="2"/>
  <c r="D22" i="2"/>
  <c r="E22" i="2"/>
  <c r="F22" i="2"/>
  <c r="G22" i="2"/>
  <c r="C22" i="2"/>
  <c r="B21" i="1"/>
  <c r="C21" i="1"/>
  <c r="D21" i="1"/>
  <c r="E21" i="1"/>
  <c r="F21" i="1"/>
  <c r="G21" i="1"/>
  <c r="J29" i="2"/>
  <c r="J31" i="2"/>
  <c r="D26" i="2"/>
  <c r="E26" i="2"/>
  <c r="F26" i="2"/>
  <c r="G26" i="2"/>
  <c r="C26" i="2"/>
  <c r="C23" i="2"/>
  <c r="B33" i="2"/>
  <c r="C24" i="2"/>
  <c r="C46" i="2"/>
  <c r="B19" i="2"/>
  <c r="B23" i="2"/>
  <c r="B32" i="2"/>
  <c r="B43" i="2"/>
  <c r="G23" i="2"/>
  <c r="F23" i="2"/>
  <c r="E23" i="2"/>
  <c r="D23" i="2"/>
  <c r="B46" i="2"/>
  <c r="G19" i="2"/>
  <c r="F19" i="2"/>
  <c r="E19" i="2"/>
  <c r="D19" i="2"/>
  <c r="C19" i="2"/>
  <c r="B44" i="2"/>
  <c r="J14" i="2"/>
  <c r="B10" i="2"/>
  <c r="B11" i="2"/>
  <c r="B7" i="2"/>
  <c r="F11" i="1"/>
  <c r="F42" i="1"/>
  <c r="E42" i="1"/>
  <c r="D42" i="1"/>
  <c r="B39" i="1"/>
  <c r="G37" i="1"/>
  <c r="F37" i="1"/>
  <c r="E37" i="1"/>
  <c r="D37" i="1"/>
  <c r="C37" i="1"/>
  <c r="B37" i="1"/>
  <c r="G29" i="1"/>
  <c r="G9" i="1"/>
  <c r="F29" i="1"/>
  <c r="F9" i="1"/>
  <c r="E29" i="1"/>
  <c r="E9" i="1"/>
  <c r="D29" i="1"/>
  <c r="D9" i="1"/>
  <c r="C29" i="1"/>
  <c r="B29" i="1"/>
  <c r="F24" i="1"/>
  <c r="E24" i="1"/>
  <c r="D24" i="1"/>
  <c r="D7" i="1"/>
  <c r="D8" i="1"/>
  <c r="D10" i="1"/>
  <c r="D12" i="1"/>
  <c r="D14" i="1"/>
  <c r="D16" i="1"/>
  <c r="D49" i="1"/>
  <c r="C24" i="1"/>
  <c r="C7" i="1"/>
  <c r="C8" i="1"/>
  <c r="C9" i="1"/>
  <c r="C10" i="1"/>
  <c r="C12" i="1"/>
  <c r="C14" i="1"/>
  <c r="C16" i="1"/>
  <c r="C49" i="1"/>
  <c r="B24" i="1"/>
  <c r="B7" i="1"/>
  <c r="B8" i="1"/>
  <c r="B9" i="1"/>
  <c r="B10" i="1"/>
  <c r="B12" i="1"/>
  <c r="B14" i="1"/>
  <c r="B16" i="1"/>
  <c r="B49" i="1"/>
  <c r="B51" i="1"/>
  <c r="C51" i="1"/>
  <c r="D51" i="1"/>
  <c r="E7" i="1"/>
  <c r="E8" i="1"/>
  <c r="E10" i="1"/>
  <c r="E12" i="1"/>
  <c r="E14" i="1"/>
  <c r="E16" i="1"/>
  <c r="E49" i="1"/>
  <c r="E51" i="1"/>
  <c r="G11" i="1"/>
  <c r="G42" i="1"/>
  <c r="F7" i="1"/>
  <c r="F8" i="1"/>
  <c r="F10" i="1"/>
  <c r="F12" i="1"/>
  <c r="F14" i="1"/>
  <c r="F16" i="1"/>
  <c r="F49" i="1"/>
  <c r="C44" i="2"/>
  <c r="F51" i="1"/>
  <c r="C39" i="1"/>
  <c r="D39" i="1"/>
  <c r="E44" i="2"/>
  <c r="B43" i="1"/>
  <c r="B46" i="1"/>
  <c r="B45" i="2"/>
  <c r="B47" i="2"/>
  <c r="G24" i="1"/>
  <c r="G7" i="1"/>
  <c r="G8" i="1"/>
  <c r="G10" i="1"/>
  <c r="G12" i="1"/>
  <c r="G14" i="1"/>
  <c r="G16" i="1"/>
  <c r="G49" i="1"/>
  <c r="F44" i="2"/>
  <c r="G44" i="2"/>
  <c r="C43" i="2"/>
  <c r="C45" i="2"/>
  <c r="C47" i="2"/>
  <c r="B48" i="2"/>
  <c r="B49" i="2"/>
  <c r="B51" i="2"/>
  <c r="C43" i="1"/>
  <c r="C46" i="1"/>
  <c r="E39" i="1"/>
  <c r="D43" i="1"/>
  <c r="D46" i="1"/>
  <c r="D24" i="2"/>
  <c r="G51" i="1"/>
  <c r="C48" i="2"/>
  <c r="C49" i="2"/>
  <c r="C51" i="2"/>
  <c r="E46" i="2"/>
  <c r="F39" i="1"/>
  <c r="E43" i="1"/>
  <c r="E46" i="1"/>
  <c r="F43" i="2"/>
  <c r="F45" i="2"/>
  <c r="G43" i="2"/>
  <c r="G45" i="2"/>
  <c r="E43" i="2"/>
  <c r="E45" i="2"/>
  <c r="E47" i="2"/>
  <c r="G39" i="1"/>
  <c r="G43" i="1"/>
  <c r="G46" i="1"/>
  <c r="F43" i="1"/>
  <c r="F46" i="1"/>
  <c r="D48" i="2"/>
  <c r="D49" i="2"/>
  <c r="D51" i="2"/>
  <c r="F46" i="2"/>
  <c r="G46" i="2"/>
  <c r="G47" i="2"/>
  <c r="G48" i="2"/>
  <c r="G49" i="2"/>
  <c r="G51" i="2"/>
  <c r="E48" i="2"/>
  <c r="E49" i="2"/>
  <c r="E51" i="2"/>
  <c r="F47" i="2"/>
  <c r="F48" i="2"/>
  <c r="F49" i="2"/>
  <c r="F51" i="2"/>
</calcChain>
</file>

<file path=xl/sharedStrings.xml><?xml version="1.0" encoding="utf-8"?>
<sst xmlns="http://schemas.openxmlformats.org/spreadsheetml/2006/main" count="115" uniqueCount="94">
  <si>
    <t xml:space="preserve">Cash Flow </t>
  </si>
  <si>
    <t>P&amp;L Account for Sofia from Janurary to June 2015</t>
  </si>
  <si>
    <t>Year 0</t>
  </si>
  <si>
    <t>Year 1</t>
  </si>
  <si>
    <t>Year 2</t>
  </si>
  <si>
    <t>Year 3</t>
  </si>
  <si>
    <t>Year 4</t>
  </si>
  <si>
    <t>year 5</t>
  </si>
  <si>
    <t>% Customers renew</t>
  </si>
  <si>
    <t xml:space="preserve">Income </t>
  </si>
  <si>
    <t xml:space="preserve">Janurary </t>
  </si>
  <si>
    <t xml:space="preserve">Feburary </t>
  </si>
  <si>
    <t xml:space="preserve">March </t>
  </si>
  <si>
    <t xml:space="preserve">April </t>
  </si>
  <si>
    <t xml:space="preserve">May </t>
  </si>
  <si>
    <t xml:space="preserve">June </t>
  </si>
  <si>
    <t xml:space="preserve">Sales </t>
  </si>
  <si>
    <t xml:space="preserve">Cost of sales </t>
  </si>
  <si>
    <t xml:space="preserve">Loan </t>
  </si>
  <si>
    <t xml:space="preserve">Revenue on Media Sold Media Handlers </t>
  </si>
  <si>
    <t>Inflation price product</t>
  </si>
  <si>
    <t xml:space="preserve">Selling price of software per teacher </t>
  </si>
  <si>
    <t xml:space="preserve">Gross Profit </t>
  </si>
  <si>
    <t xml:space="preserve">Overheads </t>
  </si>
  <si>
    <t xml:space="preserve">Profit Before Interest and tax </t>
  </si>
  <si>
    <t xml:space="preserve">interest </t>
  </si>
  <si>
    <t xml:space="preserve">Profit After interest </t>
  </si>
  <si>
    <t xml:space="preserve">Tax </t>
  </si>
  <si>
    <t xml:space="preserve">Profit after tax </t>
  </si>
  <si>
    <t xml:space="preserve">Net profit </t>
  </si>
  <si>
    <t xml:space="preserve">Cost Of sales </t>
  </si>
  <si>
    <t xml:space="preserve">Labour </t>
  </si>
  <si>
    <t xml:space="preserve">Selling price of software per 20 plus teachers </t>
  </si>
  <si>
    <t>Volume of New schools / teacher</t>
  </si>
  <si>
    <t xml:space="preserve">Infrastructure used </t>
  </si>
  <si>
    <t xml:space="preserve">Discount rate </t>
  </si>
  <si>
    <t xml:space="preserve">Media Handler purchased </t>
  </si>
  <si>
    <t>Volume of Renewing schools</t>
  </si>
  <si>
    <t xml:space="preserve">Total </t>
  </si>
  <si>
    <t xml:space="preserve">Rent </t>
  </si>
  <si>
    <t xml:space="preserve">Predicted Volume of sales </t>
  </si>
  <si>
    <t>Sales forecast for schools</t>
  </si>
  <si>
    <t xml:space="preserve">Utilities </t>
  </si>
  <si>
    <t>Volume of new individuals</t>
  </si>
  <si>
    <t xml:space="preserve">Balance sheet </t>
  </si>
  <si>
    <t>Volume of Renewing individuals</t>
  </si>
  <si>
    <t xml:space="preserve">Fixed Assets </t>
  </si>
  <si>
    <t xml:space="preserve">Tangible </t>
  </si>
  <si>
    <t>Total Market:</t>
  </si>
  <si>
    <t xml:space="preserve">Total Fixed Assets </t>
  </si>
  <si>
    <t xml:space="preserve">Volume of sales </t>
  </si>
  <si>
    <t xml:space="preserve">Current assest </t>
  </si>
  <si>
    <t xml:space="preserve">Debtors </t>
  </si>
  <si>
    <t>Sales forcast for Individuals</t>
  </si>
  <si>
    <t xml:space="preserve">Current liabalities </t>
  </si>
  <si>
    <t xml:space="preserve">Creditors </t>
  </si>
  <si>
    <t>Total Product sales</t>
  </si>
  <si>
    <t xml:space="preserve">Expenditure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</si>
  <si>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</si>
  <si>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</si>
  <si>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</si>
  <si>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</si>
  <si>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</si>
  <si>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</si>
  <si>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</si>
  <si>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Profit &amp; loss Account </t>
  </si>
  <si>
    <t xml:space="preserve">Closing Bank Balance </t>
  </si>
  <si>
    <t xml:space="preserve">Interest </t>
  </si>
  <si>
    <t>Cost of development / maintanance</t>
  </si>
  <si>
    <t>Advertising Cost</t>
  </si>
  <si>
    <t>Server costs</t>
  </si>
  <si>
    <t xml:space="preserve">Misc expenses </t>
  </si>
  <si>
    <t xml:space="preserve">Advertising cost </t>
  </si>
  <si>
    <t>Loan Payback</t>
  </si>
  <si>
    <t xml:space="preserve">Tes per 2 months </t>
  </si>
  <si>
    <t xml:space="preserve">Google ads </t>
  </si>
  <si>
    <t xml:space="preserve">Total Advertisement costs </t>
  </si>
  <si>
    <t xml:space="preserve">Opening Balance </t>
  </si>
  <si>
    <t>Loan Remaining</t>
  </si>
  <si>
    <t xml:space="preserve">Cash in </t>
  </si>
  <si>
    <t>Cash out</t>
  </si>
  <si>
    <t xml:space="preserve">Net cash flow </t>
  </si>
  <si>
    <t xml:space="preserve">Closing Balance </t>
  </si>
  <si>
    <t xml:space="preserve">Profit and Loss </t>
  </si>
  <si>
    <t xml:space="preserve">Sales Revenue </t>
  </si>
  <si>
    <t>Cost of Sales</t>
  </si>
  <si>
    <t xml:space="preserve">Profit after interest </t>
  </si>
  <si>
    <t xml:space="preserve">Profit after Tax </t>
  </si>
  <si>
    <t xml:space="preserve">Net Profit </t>
  </si>
  <si>
    <t>Cash</t>
  </si>
  <si>
    <t>Total</t>
  </si>
  <si>
    <t>Balance Sheet</t>
  </si>
  <si>
    <t xml:space="preserve">Financial 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</si>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</sst>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</numFmts>
  <fonts count="14" x14ac:knownFonts="1">
    <font>
      <sz val="11"/>
      <color rgb="FF000000"/>
      <name val="Calibri"/>
    </font>
    <font>
      <b/>
      <sz val="16"/>
      <color rgb="FF000000"/>
      <name val="Arial"/>
    </font>
    <font>
      <b/>
      <sz val="11"/>
      <color rgb="FF000000"/>
      <name val="Cambria"/>
    </font>
    <font>
      <b/>
      <sz val="12"/>
      <color rgb="FF000000"/>
      <name val="Cambria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FF0000"/>
      <name val="Calibri"/>
    </font>
    <font>
      <sz val="11"/>
      <name val="Calibri"/>
    </font>
    <font>
      <sz val="11"/>
      <name val="Arial"/>
    </font>
    <font>
      <sz val="8"/>
      <name val="Arial"/>
    </font>
    <font>
      <b/>
      <sz val="11"/>
      <name val="Arial"/>
    </font>
    <font>
      <sz val="8"/>
      <color rgb="FFFF0000"/>
      <name val="Arial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9" fontId="0" fillId="0" borderId="0" xfId="0" applyNumberFormat="1" applyFont="1"/>
    <xf numFmtId="165" fontId="0" fillId="0" borderId="0" xfId="0" applyNumberFormat="1" applyFont="1"/>
    <xf numFmtId="0" fontId="3" fillId="0" borderId="0" xfId="0" applyFont="1"/>
    <xf numFmtId="3" fontId="0" fillId="0" borderId="0" xfId="0" applyNumberFormat="1" applyFont="1"/>
    <xf numFmtId="0" fontId="0" fillId="0" borderId="1" xfId="0" applyFont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165" fontId="5" fillId="0" borderId="0" xfId="0" applyNumberFormat="1" applyFont="1"/>
    <xf numFmtId="165" fontId="6" fillId="0" borderId="0" xfId="0" applyNumberFormat="1" applyFont="1"/>
    <xf numFmtId="10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164" fontId="6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165" fontId="7" fillId="0" borderId="0" xfId="0" applyNumberFormat="1" applyFont="1"/>
    <xf numFmtId="44" fontId="7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GB"/>
              <a:t>    Net Profit With 50% Customer Renewal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337000351926"/>
          <c:y val="0.109009947424284"/>
          <c:w val="0.801581250654825"/>
          <c:h val="0.813089954664758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'Projections with 50% Renewal'!$B$2:$G$2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'Projections with 50% Renewal'!$B$51:$G$51</c:f>
              <c:numCache>
                <c:formatCode>_("£"* #,##0.00_);_("£"* \(#,##0.00\);_("£"* "-"??_);_(@_)</c:formatCode>
                <c:ptCount val="6"/>
                <c:pt idx="0">
                  <c:v>-47635.76</c:v>
                </c:pt>
                <c:pt idx="1">
                  <c:v>-17348.73999999999</c:v>
                </c:pt>
                <c:pt idx="2">
                  <c:v>2759.912</c:v>
                </c:pt>
                <c:pt idx="3">
                  <c:v>12709.676</c:v>
                </c:pt>
                <c:pt idx="4">
                  <c:v>24044.958</c:v>
                </c:pt>
                <c:pt idx="5">
                  <c:v>51398.599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54184"/>
        <c:axId val="2130557320"/>
      </c:lineChart>
      <c:catAx>
        <c:axId val="21305541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30557320"/>
        <c:crosses val="autoZero"/>
        <c:auto val="1"/>
        <c:lblAlgn val="ctr"/>
        <c:lblOffset val="100"/>
        <c:noMultiLvlLbl val="1"/>
      </c:catAx>
      <c:valAx>
        <c:axId val="2130557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_(&quot;£&quot;* #,##0.00_);_(&quot;£&quot;* \(#,##0.00\);_(&quot;£&quot;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0554184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6" workbookViewId="0">
      <selection activeCell="A36" sqref="A36"/>
    </sheetView>
  </sheetViews>
  <sheetFormatPr baseColWidth="10" defaultColWidth="15.1640625" defaultRowHeight="15" customHeight="1" x14ac:dyDescent="0"/>
  <cols>
    <col min="1" max="1" width="24.33203125" customWidth="1"/>
    <col min="2" max="3" width="11.5" customWidth="1"/>
    <col min="4" max="5" width="11.5" bestFit="1" customWidth="1"/>
    <col min="6" max="6" width="15.33203125" customWidth="1"/>
    <col min="7" max="7" width="12.5" customWidth="1"/>
    <col min="8" max="8" width="14.33203125" customWidth="1"/>
    <col min="9" max="9" width="11" customWidth="1"/>
    <col min="10" max="26" width="7.5" customWidth="1"/>
  </cols>
  <sheetData>
    <row r="1" spans="1:26" ht="14">
      <c r="A1" s="1"/>
      <c r="B1" s="1"/>
      <c r="C1" s="25" t="s">
        <v>1</v>
      </c>
      <c r="D1" s="26"/>
      <c r="E1" s="26"/>
      <c r="F1" s="26"/>
      <c r="G1" s="26"/>
      <c r="H1" s="1"/>
      <c r="I1" s="1"/>
    </row>
    <row r="2" spans="1:26" ht="14">
      <c r="A2" s="1"/>
      <c r="B2" s="1"/>
      <c r="C2" s="1"/>
      <c r="D2" s="1"/>
      <c r="E2" s="1"/>
      <c r="F2" s="1"/>
      <c r="G2" s="1"/>
      <c r="H2" s="1"/>
      <c r="I2" s="1"/>
    </row>
    <row r="3" spans="1:26" ht="14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2" t="s">
        <v>90</v>
      </c>
      <c r="I3" s="1"/>
    </row>
    <row r="4" spans="1:26" ht="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>
      <c r="A5" s="1" t="s">
        <v>16</v>
      </c>
      <c r="B5" s="5">
        <v>0</v>
      </c>
      <c r="C5" s="5">
        <v>1500</v>
      </c>
      <c r="D5" s="5">
        <v>0</v>
      </c>
      <c r="E5" s="5">
        <v>4500</v>
      </c>
      <c r="F5" s="5">
        <v>0</v>
      </c>
      <c r="G5" s="5">
        <v>0</v>
      </c>
      <c r="H5" s="5">
        <f>SUM(B5:G5)</f>
        <v>6000</v>
      </c>
      <c r="I5" s="1"/>
    </row>
    <row r="6" spans="1:26" ht="14" hidden="1">
      <c r="A6" s="3"/>
      <c r="B6" s="5"/>
      <c r="C6" s="5"/>
      <c r="D6" s="5"/>
      <c r="E6" s="5"/>
      <c r="F6" s="5"/>
      <c r="G6" s="5"/>
      <c r="H6" s="5">
        <f t="shared" ref="H6:H51" si="0">SUM(B6:G6)</f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>
      <c r="A7" s="1" t="s">
        <v>17</v>
      </c>
      <c r="B7" s="5">
        <f t="shared" ref="B7:G7" si="1">B24</f>
        <v>2315.63</v>
      </c>
      <c r="C7" s="5">
        <f t="shared" si="1"/>
        <v>9365.630000000001</v>
      </c>
      <c r="D7" s="5">
        <f t="shared" si="1"/>
        <v>3703.33</v>
      </c>
      <c r="E7" s="5">
        <f t="shared" si="1"/>
        <v>6659.28</v>
      </c>
      <c r="F7" s="5">
        <f t="shared" si="1"/>
        <v>7293.75</v>
      </c>
      <c r="G7" s="5">
        <f t="shared" si="1"/>
        <v>3331.25</v>
      </c>
      <c r="H7" s="5">
        <f t="shared" si="0"/>
        <v>32668.870000000003</v>
      </c>
      <c r="I7" s="1"/>
    </row>
    <row r="8" spans="1:26" ht="14">
      <c r="A8" s="1" t="s">
        <v>22</v>
      </c>
      <c r="B8" s="5">
        <f t="shared" ref="B8:G8" si="2">B5+B6-B7</f>
        <v>-2315.63</v>
      </c>
      <c r="C8" s="5">
        <f t="shared" si="2"/>
        <v>-7865.630000000001</v>
      </c>
      <c r="D8" s="5">
        <f t="shared" si="2"/>
        <v>-3703.33</v>
      </c>
      <c r="E8" s="5">
        <f t="shared" si="2"/>
        <v>-2159.2799999999997</v>
      </c>
      <c r="F8" s="5">
        <f t="shared" si="2"/>
        <v>-7293.75</v>
      </c>
      <c r="G8" s="5">
        <f t="shared" si="2"/>
        <v>-3331.25</v>
      </c>
      <c r="H8" s="5">
        <f t="shared" si="0"/>
        <v>-26668.870000000003</v>
      </c>
      <c r="I8" s="1"/>
    </row>
    <row r="9" spans="1:26" ht="14">
      <c r="A9" s="1" t="s">
        <v>23</v>
      </c>
      <c r="B9" s="5">
        <f t="shared" ref="B9:G9" si="3">B29</f>
        <v>1898.0700000000002</v>
      </c>
      <c r="C9" s="5">
        <f t="shared" si="3"/>
        <v>2148.0700000000002</v>
      </c>
      <c r="D9" s="5">
        <f t="shared" si="3"/>
        <v>2098.0700000000002</v>
      </c>
      <c r="E9" s="5">
        <f t="shared" si="3"/>
        <v>0</v>
      </c>
      <c r="F9" s="5">
        <f t="shared" si="3"/>
        <v>7459.6100000000006</v>
      </c>
      <c r="G9" s="5">
        <f t="shared" si="3"/>
        <v>2098.0700000000002</v>
      </c>
      <c r="H9" s="5">
        <f t="shared" si="0"/>
        <v>15701.890000000001</v>
      </c>
      <c r="I9" s="1"/>
    </row>
    <row r="10" spans="1:26" ht="14">
      <c r="A10" s="1" t="s">
        <v>24</v>
      </c>
      <c r="B10" s="5">
        <f t="shared" ref="B10:G10" si="4">B8-B9</f>
        <v>-4213.7000000000007</v>
      </c>
      <c r="C10" s="5">
        <f t="shared" si="4"/>
        <v>-10013.700000000001</v>
      </c>
      <c r="D10" s="5">
        <f t="shared" si="4"/>
        <v>-5801.4</v>
      </c>
      <c r="E10" s="5">
        <f t="shared" si="4"/>
        <v>-2159.2799999999997</v>
      </c>
      <c r="F10" s="5">
        <f t="shared" si="4"/>
        <v>-14753.36</v>
      </c>
      <c r="G10" s="5">
        <f t="shared" si="4"/>
        <v>-5429.32</v>
      </c>
      <c r="H10" s="5">
        <f t="shared" si="0"/>
        <v>-42370.76</v>
      </c>
      <c r="I10" s="1"/>
    </row>
    <row r="11" spans="1:26" ht="14">
      <c r="A11" s="1" t="s">
        <v>25</v>
      </c>
      <c r="B11" s="5">
        <f>195*5</f>
        <v>975</v>
      </c>
      <c r="C11" s="5">
        <f t="shared" ref="B11:E11" si="5">195*4</f>
        <v>780</v>
      </c>
      <c r="D11" s="5">
        <f t="shared" si="5"/>
        <v>780</v>
      </c>
      <c r="E11" s="5">
        <f>195*5</f>
        <v>975</v>
      </c>
      <c r="F11" s="5">
        <f>195*4</f>
        <v>780</v>
      </c>
      <c r="G11" s="5">
        <f>5*195</f>
        <v>975</v>
      </c>
      <c r="H11" s="5">
        <f t="shared" si="0"/>
        <v>5265</v>
      </c>
      <c r="I11" s="1"/>
    </row>
    <row r="12" spans="1:26" ht="14">
      <c r="A12" s="1" t="s">
        <v>26</v>
      </c>
      <c r="B12" s="5">
        <f t="shared" ref="B12:G12" si="6">B10-B11</f>
        <v>-5188.7000000000007</v>
      </c>
      <c r="C12" s="5">
        <f t="shared" si="6"/>
        <v>-10793.7</v>
      </c>
      <c r="D12" s="5">
        <f t="shared" si="6"/>
        <v>-6581.4</v>
      </c>
      <c r="E12" s="5">
        <f t="shared" si="6"/>
        <v>-3134.2799999999997</v>
      </c>
      <c r="F12" s="5">
        <f t="shared" si="6"/>
        <v>-15533.36</v>
      </c>
      <c r="G12" s="5">
        <f t="shared" si="6"/>
        <v>-6404.32</v>
      </c>
      <c r="H12" s="5">
        <f t="shared" si="0"/>
        <v>-47635.76</v>
      </c>
      <c r="I12" s="1"/>
    </row>
    <row r="13" spans="1:26" ht="14">
      <c r="A13" s="1" t="s">
        <v>27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/>
      <c r="I13" s="1"/>
    </row>
    <row r="14" spans="1:26" ht="14">
      <c r="A14" s="1" t="s">
        <v>28</v>
      </c>
      <c r="B14" s="5">
        <f t="shared" ref="B14:G14" si="7">B12-B13</f>
        <v>-5188.7000000000007</v>
      </c>
      <c r="C14" s="5">
        <f t="shared" si="7"/>
        <v>-10793.7</v>
      </c>
      <c r="D14" s="5">
        <f t="shared" si="7"/>
        <v>-6581.4</v>
      </c>
      <c r="E14" s="5">
        <f t="shared" si="7"/>
        <v>-3134.2799999999997</v>
      </c>
      <c r="F14" s="5">
        <f t="shared" si="7"/>
        <v>-15533.36</v>
      </c>
      <c r="G14" s="5">
        <f t="shared" si="7"/>
        <v>-6404.32</v>
      </c>
      <c r="H14" s="5">
        <f t="shared" si="0"/>
        <v>-47635.76</v>
      </c>
      <c r="I14" s="1"/>
    </row>
    <row r="15" spans="1:26" ht="14">
      <c r="A15" s="1"/>
      <c r="B15" s="5"/>
      <c r="C15" s="5"/>
      <c r="D15" s="5"/>
      <c r="E15" s="5"/>
      <c r="F15" s="5"/>
      <c r="G15" s="5"/>
      <c r="H15" s="5"/>
      <c r="I15" s="1"/>
    </row>
    <row r="16" spans="1:26" ht="14">
      <c r="A16" s="1" t="s">
        <v>29</v>
      </c>
      <c r="B16" s="5">
        <f t="shared" ref="B16:G16" si="8">B14</f>
        <v>-5188.7000000000007</v>
      </c>
      <c r="C16" s="5">
        <f t="shared" si="8"/>
        <v>-10793.7</v>
      </c>
      <c r="D16" s="5">
        <f t="shared" si="8"/>
        <v>-6581.4</v>
      </c>
      <c r="E16" s="5">
        <f t="shared" si="8"/>
        <v>-3134.2799999999997</v>
      </c>
      <c r="F16" s="5">
        <f t="shared" si="8"/>
        <v>-15533.36</v>
      </c>
      <c r="G16" s="5">
        <f t="shared" si="8"/>
        <v>-6404.32</v>
      </c>
      <c r="H16" s="5">
        <f t="shared" si="0"/>
        <v>-47635.76</v>
      </c>
      <c r="I16" s="1"/>
    </row>
    <row r="17" spans="1:9" ht="14">
      <c r="A17" s="1"/>
      <c r="B17" s="1"/>
      <c r="C17" s="1"/>
      <c r="D17" s="1"/>
      <c r="E17" s="1"/>
      <c r="F17" s="1"/>
      <c r="G17" s="1"/>
      <c r="H17" s="5"/>
      <c r="I17" s="1"/>
    </row>
    <row r="18" spans="1:9" ht="14">
      <c r="A18" s="1"/>
      <c r="B18" s="1"/>
      <c r="C18" s="1"/>
      <c r="D18" s="1"/>
      <c r="E18" s="1"/>
      <c r="F18" s="1"/>
      <c r="G18" s="1"/>
      <c r="H18" s="5"/>
      <c r="I18" s="1"/>
    </row>
    <row r="19" spans="1:9" ht="14">
      <c r="A19" s="1"/>
      <c r="B19" s="1"/>
      <c r="C19" s="1"/>
      <c r="D19" s="1"/>
      <c r="E19" s="1"/>
      <c r="F19" s="1"/>
      <c r="G19" s="1"/>
      <c r="H19" s="5"/>
      <c r="I19" s="1"/>
    </row>
    <row r="20" spans="1:9" ht="15.75" customHeight="1">
      <c r="A20" s="8" t="s">
        <v>30</v>
      </c>
      <c r="B20" s="1"/>
      <c r="C20" s="1"/>
      <c r="D20" s="1"/>
      <c r="E20" s="1"/>
      <c r="F20" s="1"/>
      <c r="G20" s="1"/>
      <c r="H20" s="5"/>
      <c r="I20" s="1"/>
    </row>
    <row r="21" spans="1:9" ht="14">
      <c r="A21" s="1" t="s">
        <v>31</v>
      </c>
      <c r="B21" s="5">
        <f>859.38+1456.25</f>
        <v>2315.63</v>
      </c>
      <c r="C21" s="5">
        <f>1537.5+2421.88+1831.25+1575</f>
        <v>7365.63</v>
      </c>
      <c r="D21" s="5">
        <f>1503.33+1106.25+362.5+81.25+250</f>
        <v>3303.33</v>
      </c>
      <c r="E21" s="5">
        <f>537.5+459.28+450+712.5</f>
        <v>2159.2799999999997</v>
      </c>
      <c r="F21" s="5">
        <f>268.75+325+2568.75+3131.25</f>
        <v>6293.75</v>
      </c>
      <c r="G21" s="5">
        <f>2931.25</f>
        <v>2931.25</v>
      </c>
      <c r="H21" s="5">
        <f t="shared" si="0"/>
        <v>24368.87</v>
      </c>
      <c r="I21" s="1"/>
    </row>
    <row r="22" spans="1:9" ht="14">
      <c r="A22" s="1" t="s">
        <v>34</v>
      </c>
      <c r="B22" s="5">
        <v>0</v>
      </c>
      <c r="C22" s="5">
        <v>500</v>
      </c>
      <c r="D22" s="5">
        <v>400</v>
      </c>
      <c r="E22" s="5">
        <v>0</v>
      </c>
      <c r="F22" s="5">
        <v>1000</v>
      </c>
      <c r="G22" s="5">
        <v>400</v>
      </c>
      <c r="H22" s="5">
        <f t="shared" si="0"/>
        <v>2300</v>
      </c>
      <c r="I22" s="1"/>
    </row>
    <row r="23" spans="1:9" ht="14">
      <c r="A23" s="3" t="s">
        <v>36</v>
      </c>
      <c r="B23" s="5">
        <v>0</v>
      </c>
      <c r="C23" s="5">
        <v>1500</v>
      </c>
      <c r="D23" s="5">
        <v>0</v>
      </c>
      <c r="E23" s="5">
        <v>4500</v>
      </c>
      <c r="F23" s="5">
        <v>0</v>
      </c>
      <c r="G23" s="5">
        <v>0</v>
      </c>
      <c r="H23" s="5">
        <f t="shared" si="0"/>
        <v>6000</v>
      </c>
      <c r="I23" s="1"/>
    </row>
    <row r="24" spans="1:9" ht="14">
      <c r="A24" s="1" t="s">
        <v>38</v>
      </c>
      <c r="B24" s="5">
        <f t="shared" ref="B24:G24" si="9">SUM(B21:B23)</f>
        <v>2315.63</v>
      </c>
      <c r="C24" s="5">
        <f t="shared" si="9"/>
        <v>9365.630000000001</v>
      </c>
      <c r="D24" s="5">
        <f t="shared" si="9"/>
        <v>3703.33</v>
      </c>
      <c r="E24" s="5">
        <f t="shared" si="9"/>
        <v>6659.28</v>
      </c>
      <c r="F24" s="5">
        <f t="shared" si="9"/>
        <v>7293.75</v>
      </c>
      <c r="G24" s="5">
        <f t="shared" si="9"/>
        <v>3331.25</v>
      </c>
      <c r="H24" s="5">
        <f t="shared" si="0"/>
        <v>32668.870000000003</v>
      </c>
      <c r="I24" s="1"/>
    </row>
    <row r="25" spans="1:9" ht="14">
      <c r="A25" s="1"/>
      <c r="B25" s="1"/>
      <c r="C25" s="1"/>
      <c r="D25" s="1"/>
      <c r="E25" s="1"/>
      <c r="F25" s="1"/>
      <c r="G25" s="1"/>
      <c r="H25" s="5"/>
      <c r="I25" s="1"/>
    </row>
    <row r="26" spans="1:9" ht="15.75" customHeight="1">
      <c r="A26" s="8" t="s">
        <v>23</v>
      </c>
      <c r="B26" s="1"/>
      <c r="C26" s="1"/>
      <c r="D26" s="1"/>
      <c r="E26" s="1"/>
      <c r="F26" s="1"/>
      <c r="G26" s="1"/>
      <c r="H26" s="5"/>
      <c r="I26" s="1"/>
    </row>
    <row r="27" spans="1:9" ht="14">
      <c r="A27" s="10" t="s">
        <v>39</v>
      </c>
      <c r="B27" s="5">
        <v>1898.0700000000002</v>
      </c>
      <c r="C27" s="5">
        <v>1898.0700000000002</v>
      </c>
      <c r="D27" s="5">
        <v>1898.0700000000002</v>
      </c>
      <c r="E27" s="5">
        <v>0</v>
      </c>
      <c r="F27" s="5">
        <v>6959.6100000000006</v>
      </c>
      <c r="G27" s="5">
        <v>1898.0700000000002</v>
      </c>
      <c r="H27" s="5">
        <f t="shared" si="0"/>
        <v>14551.890000000001</v>
      </c>
      <c r="I27" s="1"/>
    </row>
    <row r="28" spans="1:9" ht="14">
      <c r="A28" s="10" t="s">
        <v>42</v>
      </c>
      <c r="B28" s="5">
        <v>0</v>
      </c>
      <c r="C28" s="5">
        <v>250</v>
      </c>
      <c r="D28" s="5">
        <v>200</v>
      </c>
      <c r="E28" s="5">
        <v>0</v>
      </c>
      <c r="F28" s="5">
        <v>500</v>
      </c>
      <c r="G28" s="5">
        <v>200</v>
      </c>
      <c r="H28" s="5">
        <f t="shared" si="0"/>
        <v>1150</v>
      </c>
      <c r="I28" s="1"/>
    </row>
    <row r="29" spans="1:9" ht="14">
      <c r="A29" s="10" t="s">
        <v>38</v>
      </c>
      <c r="B29" s="5">
        <f t="shared" ref="B29:G29" si="10">SUM(B27:B28)</f>
        <v>1898.0700000000002</v>
      </c>
      <c r="C29" s="5">
        <f t="shared" si="10"/>
        <v>2148.0700000000002</v>
      </c>
      <c r="D29" s="5">
        <f t="shared" si="10"/>
        <v>2098.0700000000002</v>
      </c>
      <c r="E29" s="5">
        <f t="shared" si="10"/>
        <v>0</v>
      </c>
      <c r="F29" s="5">
        <f t="shared" si="10"/>
        <v>7459.6100000000006</v>
      </c>
      <c r="G29" s="5">
        <f t="shared" si="10"/>
        <v>2098.0700000000002</v>
      </c>
      <c r="H29" s="5">
        <f t="shared" si="0"/>
        <v>15701.890000000001</v>
      </c>
      <c r="I29" s="1"/>
    </row>
    <row r="30" spans="1:9" ht="14">
      <c r="A30" s="1"/>
      <c r="B30" s="1"/>
      <c r="C30" s="1"/>
      <c r="D30" s="1"/>
      <c r="E30" s="1"/>
      <c r="F30" s="1"/>
      <c r="G30" s="1"/>
      <c r="H30" s="5"/>
      <c r="I30" s="1"/>
    </row>
    <row r="31" spans="1:9" ht="14">
      <c r="A31" s="1"/>
      <c r="B31" s="1"/>
      <c r="C31" s="1"/>
      <c r="D31" s="1"/>
      <c r="E31" s="1"/>
      <c r="F31" s="1"/>
      <c r="G31" s="1"/>
      <c r="H31" s="5"/>
      <c r="I31" s="1"/>
    </row>
    <row r="32" spans="1:9" ht="14">
      <c r="A32" s="1"/>
      <c r="B32" s="1"/>
      <c r="C32" s="1"/>
      <c r="D32" s="1"/>
      <c r="E32" s="1"/>
      <c r="F32" s="1"/>
      <c r="G32" s="1"/>
      <c r="H32" s="5"/>
      <c r="I32" s="1"/>
    </row>
    <row r="33" spans="1:26" ht="15.75" customHeight="1">
      <c r="A33" s="11" t="s">
        <v>44</v>
      </c>
      <c r="B33" s="1"/>
      <c r="C33" s="1"/>
      <c r="D33" s="1"/>
      <c r="E33" s="1"/>
      <c r="F33" s="1"/>
      <c r="G33" s="1"/>
      <c r="H33" s="5"/>
      <c r="I33" s="1"/>
    </row>
    <row r="34" spans="1:26" ht="14">
      <c r="A34" s="4" t="s">
        <v>46</v>
      </c>
      <c r="B34" s="1"/>
      <c r="C34" s="1"/>
      <c r="D34" s="1"/>
      <c r="E34" s="1"/>
      <c r="F34" s="1"/>
      <c r="G34" s="1"/>
      <c r="H34" s="5"/>
      <c r="I34" s="1"/>
    </row>
    <row r="35" spans="1:26" ht="14">
      <c r="A35" s="1" t="s">
        <v>92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5"/>
      <c r="I35" s="1"/>
    </row>
    <row r="36" spans="1:26" ht="14">
      <c r="A36" s="1" t="s">
        <v>47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5"/>
      <c r="I36" s="1"/>
    </row>
    <row r="37" spans="1:26" ht="14">
      <c r="A37" s="3" t="s">
        <v>49</v>
      </c>
      <c r="B37" s="1">
        <f t="shared" ref="B37:G37" si="11">B35+B36</f>
        <v>0</v>
      </c>
      <c r="C37" s="3">
        <f t="shared" si="11"/>
        <v>0</v>
      </c>
      <c r="D37" s="3">
        <f t="shared" si="11"/>
        <v>0</v>
      </c>
      <c r="E37" s="3">
        <f t="shared" si="11"/>
        <v>0</v>
      </c>
      <c r="F37" s="3">
        <f t="shared" si="11"/>
        <v>0</v>
      </c>
      <c r="G37" s="3">
        <f t="shared" si="11"/>
        <v>0</v>
      </c>
      <c r="H37" s="5"/>
      <c r="I37" s="1"/>
    </row>
    <row r="38" spans="1:26" ht="14">
      <c r="A38" s="4" t="s">
        <v>51</v>
      </c>
      <c r="B38" s="1"/>
      <c r="C38" s="1"/>
      <c r="D38" s="1"/>
      <c r="E38" s="1"/>
      <c r="F38" s="1"/>
      <c r="G38" s="1"/>
      <c r="H38" s="5"/>
      <c r="I38" s="1"/>
    </row>
    <row r="39" spans="1:26" ht="14">
      <c r="A39" s="1" t="s">
        <v>89</v>
      </c>
      <c r="B39" s="5">
        <f>B48</f>
        <v>65000</v>
      </c>
      <c r="C39" s="5">
        <f t="shared" ref="C39:G39" si="12">B39+B16</f>
        <v>59811.3</v>
      </c>
      <c r="D39" s="5">
        <f t="shared" si="12"/>
        <v>49017.600000000006</v>
      </c>
      <c r="E39" s="5">
        <f t="shared" si="12"/>
        <v>42436.200000000004</v>
      </c>
      <c r="F39" s="5">
        <f t="shared" si="12"/>
        <v>39301.920000000006</v>
      </c>
      <c r="G39" s="5">
        <f t="shared" si="12"/>
        <v>23768.560000000005</v>
      </c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">
      <c r="A40" s="1" t="s">
        <v>52</v>
      </c>
      <c r="B40" s="1">
        <v>0</v>
      </c>
      <c r="C40" s="1">
        <v>6000</v>
      </c>
      <c r="D40" s="1">
        <v>4500</v>
      </c>
      <c r="E40" s="1">
        <v>4500</v>
      </c>
      <c r="F40" s="1">
        <v>0</v>
      </c>
      <c r="G40" s="1">
        <v>0</v>
      </c>
      <c r="H40" s="5"/>
      <c r="I40" s="1"/>
    </row>
    <row r="41" spans="1:26" ht="14">
      <c r="A41" s="4" t="s">
        <v>54</v>
      </c>
      <c r="B41" s="1"/>
      <c r="C41" s="1"/>
      <c r="D41" s="1"/>
      <c r="E41" s="1"/>
      <c r="F41" s="1"/>
      <c r="G41" s="1"/>
      <c r="H41" s="5"/>
      <c r="I41" s="1"/>
    </row>
    <row r="42" spans="1:26" ht="14">
      <c r="A42" s="1" t="s">
        <v>55</v>
      </c>
      <c r="B42" s="5">
        <f>B21+B22+B27+B28+B40+B11</f>
        <v>5188.7000000000007</v>
      </c>
      <c r="C42" s="5">
        <f>C21+C22+C27+C28+C40+C11</f>
        <v>16793.7</v>
      </c>
      <c r="D42" s="5">
        <f t="shared" ref="B42:E42" si="13">D21+D22+D27+D28+D40+D11</f>
        <v>11081.4</v>
      </c>
      <c r="E42" s="5">
        <f t="shared" si="13"/>
        <v>7634.28</v>
      </c>
      <c r="F42" s="5">
        <f t="shared" ref="F42:G42" si="14">F21+F22+F27+F28+F11</f>
        <v>15533.36</v>
      </c>
      <c r="G42" s="5">
        <f t="shared" si="14"/>
        <v>6404.32</v>
      </c>
      <c r="H42" s="5"/>
      <c r="I42" s="1"/>
    </row>
    <row r="43" spans="1:26" ht="14">
      <c r="A43" s="1" t="s">
        <v>59</v>
      </c>
      <c r="B43" s="5">
        <f t="shared" ref="B43:G43" si="15">SUM(B39:B40)-B42</f>
        <v>59811.3</v>
      </c>
      <c r="C43" s="5">
        <f t="shared" si="15"/>
        <v>49017.600000000006</v>
      </c>
      <c r="D43" s="5">
        <f t="shared" si="15"/>
        <v>42436.200000000004</v>
      </c>
      <c r="E43" s="5">
        <f t="shared" si="15"/>
        <v>39301.920000000006</v>
      </c>
      <c r="F43" s="5">
        <f t="shared" si="15"/>
        <v>23768.560000000005</v>
      </c>
      <c r="G43" s="5">
        <f t="shared" si="15"/>
        <v>17364.240000000005</v>
      </c>
      <c r="H43" s="5"/>
      <c r="I43" s="1"/>
    </row>
    <row r="44" spans="1:26" ht="14">
      <c r="A44" s="4" t="s">
        <v>61</v>
      </c>
      <c r="B44" s="1"/>
      <c r="C44" s="1"/>
      <c r="D44" s="1"/>
      <c r="E44" s="1"/>
      <c r="F44" s="1"/>
      <c r="G44" s="1"/>
      <c r="H44" s="5"/>
      <c r="I44" s="1"/>
    </row>
    <row r="45" spans="1:26" ht="14">
      <c r="A45" s="1" t="s">
        <v>62</v>
      </c>
      <c r="B45" s="3">
        <v>65000</v>
      </c>
      <c r="C45" s="3">
        <v>65000</v>
      </c>
      <c r="D45" s="12">
        <v>65000</v>
      </c>
      <c r="E45" s="3">
        <v>65000</v>
      </c>
      <c r="F45" s="1">
        <v>65000</v>
      </c>
      <c r="G45" s="3">
        <v>65000</v>
      </c>
      <c r="H45" s="5"/>
      <c r="I45" s="1"/>
    </row>
    <row r="46" spans="1:26" ht="14">
      <c r="A46" s="5" t="s">
        <v>63</v>
      </c>
      <c r="B46" s="5">
        <f t="shared" ref="B46:G46" si="16">B43+B37-B45</f>
        <v>-5188.6999999999971</v>
      </c>
      <c r="C46" s="5">
        <f t="shared" si="16"/>
        <v>-15982.399999999994</v>
      </c>
      <c r="D46" s="5">
        <f t="shared" si="16"/>
        <v>-22563.799999999996</v>
      </c>
      <c r="E46" s="5">
        <f t="shared" si="16"/>
        <v>-25698.079999999994</v>
      </c>
      <c r="F46" s="5">
        <f t="shared" si="16"/>
        <v>-41231.439999999995</v>
      </c>
      <c r="G46" s="5">
        <f t="shared" si="16"/>
        <v>-47635.759999999995</v>
      </c>
      <c r="H46" s="5"/>
      <c r="I46" s="1"/>
    </row>
    <row r="47" spans="1:26" ht="14">
      <c r="A47" s="1"/>
      <c r="B47" s="1"/>
      <c r="C47" s="1"/>
      <c r="D47" s="1"/>
      <c r="E47" s="1"/>
      <c r="F47" s="1"/>
      <c r="G47" s="1"/>
      <c r="H47" s="5"/>
      <c r="I47" s="1"/>
    </row>
    <row r="48" spans="1:26" ht="14">
      <c r="A48" s="1" t="s">
        <v>18</v>
      </c>
      <c r="B48" s="3">
        <v>65000</v>
      </c>
      <c r="C48" s="3">
        <v>65000</v>
      </c>
      <c r="D48" s="3">
        <v>65000</v>
      </c>
      <c r="E48" s="3">
        <v>65000</v>
      </c>
      <c r="F48" s="1">
        <v>65000</v>
      </c>
      <c r="G48" s="3">
        <v>65000</v>
      </c>
      <c r="H48" s="5"/>
      <c r="I48" s="1"/>
    </row>
    <row r="49" spans="1:9" ht="14">
      <c r="A49" s="1" t="s">
        <v>65</v>
      </c>
      <c r="B49" s="5">
        <f t="shared" ref="B49:G49" si="17">B16</f>
        <v>-5188.7000000000007</v>
      </c>
      <c r="C49" s="5">
        <f t="shared" si="17"/>
        <v>-10793.7</v>
      </c>
      <c r="D49" s="5">
        <f t="shared" si="17"/>
        <v>-6581.4</v>
      </c>
      <c r="E49" s="5">
        <f t="shared" si="17"/>
        <v>-3134.2799999999997</v>
      </c>
      <c r="F49" s="5">
        <f t="shared" si="17"/>
        <v>-15533.36</v>
      </c>
      <c r="G49" s="5">
        <f t="shared" si="17"/>
        <v>-6404.32</v>
      </c>
      <c r="H49" s="5">
        <f t="shared" si="0"/>
        <v>-47635.76</v>
      </c>
      <c r="I49" s="1"/>
    </row>
    <row r="50" spans="1:9" ht="14">
      <c r="A50" s="1"/>
      <c r="B50" s="1"/>
      <c r="C50" s="1"/>
      <c r="D50" s="1"/>
      <c r="E50" s="1"/>
      <c r="F50" s="1"/>
      <c r="G50" s="1"/>
      <c r="H50" s="5"/>
      <c r="I50" s="1"/>
    </row>
    <row r="51" spans="1:9" ht="14">
      <c r="A51" s="1" t="s">
        <v>66</v>
      </c>
      <c r="B51" s="5">
        <f>B49+B48</f>
        <v>59811.3</v>
      </c>
      <c r="C51" s="5">
        <f t="shared" ref="C51:G51" si="18">B51+C49</f>
        <v>49017.600000000006</v>
      </c>
      <c r="D51" s="5">
        <f t="shared" si="18"/>
        <v>42436.200000000004</v>
      </c>
      <c r="E51" s="5">
        <f t="shared" si="18"/>
        <v>39301.920000000006</v>
      </c>
      <c r="F51" s="5">
        <f t="shared" si="18"/>
        <v>23768.560000000005</v>
      </c>
      <c r="G51" s="5">
        <f t="shared" si="18"/>
        <v>17364.240000000005</v>
      </c>
      <c r="H51" s="5"/>
      <c r="I51" s="1"/>
    </row>
    <row r="52" spans="1:9" ht="14">
      <c r="A52" s="1"/>
      <c r="B52" s="1"/>
      <c r="C52" s="1"/>
      <c r="D52" s="1"/>
      <c r="E52" s="1"/>
      <c r="F52" s="5"/>
      <c r="G52" s="5"/>
      <c r="H52" s="1"/>
      <c r="I52" s="1"/>
    </row>
    <row r="53" spans="1:9" ht="14">
      <c r="A53" s="1"/>
      <c r="B53" s="5"/>
      <c r="C53" s="5"/>
      <c r="D53" s="5"/>
      <c r="E53" s="5"/>
      <c r="F53" s="5"/>
      <c r="G53" s="5"/>
      <c r="H53" s="1"/>
      <c r="I53" s="1"/>
    </row>
    <row r="54" spans="1:9" ht="14">
      <c r="A54" s="1"/>
      <c r="B54" s="1"/>
      <c r="C54" s="1"/>
      <c r="D54" s="1"/>
      <c r="E54" s="1"/>
      <c r="F54" s="5"/>
      <c r="G54" s="5"/>
      <c r="H54" s="1"/>
      <c r="I54" s="1"/>
    </row>
    <row r="55" spans="1:9" ht="14">
      <c r="A55" s="1"/>
      <c r="B55" s="1"/>
      <c r="C55" s="1"/>
      <c r="D55" s="1"/>
      <c r="E55" s="1"/>
      <c r="F55" s="1"/>
      <c r="G55" s="1"/>
      <c r="H55" s="1"/>
      <c r="I55" s="1"/>
    </row>
    <row r="56" spans="1:9" ht="14">
      <c r="A56" s="1"/>
      <c r="B56" s="1"/>
      <c r="C56" s="1"/>
      <c r="D56" s="1"/>
      <c r="E56" s="1"/>
      <c r="F56" s="5"/>
      <c r="G56" s="5"/>
      <c r="H56" s="1"/>
      <c r="I56" s="1"/>
    </row>
    <row r="57" spans="1:9" ht="14">
      <c r="A57" s="1"/>
      <c r="B57" s="1"/>
      <c r="C57" s="1"/>
      <c r="D57" s="1"/>
      <c r="E57" s="1"/>
      <c r="F57" s="5"/>
      <c r="G57" s="1"/>
      <c r="H57" s="1"/>
      <c r="I57" s="1"/>
    </row>
    <row r="58" spans="1:9" ht="14">
      <c r="A58" s="1"/>
      <c r="B58" s="1"/>
      <c r="C58" s="1"/>
      <c r="D58" s="1"/>
      <c r="E58" s="1"/>
      <c r="F58" s="1"/>
      <c r="G58" s="1"/>
      <c r="H58" s="1"/>
      <c r="I58" s="1"/>
    </row>
    <row r="59" spans="1:9" ht="14">
      <c r="A59" s="1"/>
      <c r="B59" s="1"/>
      <c r="C59" s="1"/>
      <c r="D59" s="1"/>
      <c r="E59" s="1"/>
      <c r="F59" s="1"/>
      <c r="G59" s="1"/>
      <c r="H59" s="1"/>
      <c r="I59" s="1"/>
    </row>
    <row r="60" spans="1:9" ht="14">
      <c r="A60" s="1"/>
      <c r="B60" s="1"/>
      <c r="C60" s="1"/>
      <c r="D60" s="1"/>
      <c r="E60" s="1"/>
      <c r="F60" s="1"/>
      <c r="G60" s="1"/>
      <c r="H60" s="1"/>
      <c r="I60" s="1"/>
    </row>
    <row r="61" spans="1:9" ht="14">
      <c r="A61" s="1"/>
      <c r="B61" s="1"/>
      <c r="C61" s="1"/>
      <c r="D61" s="1"/>
      <c r="E61" s="1"/>
      <c r="F61" s="1"/>
      <c r="G61" s="1"/>
      <c r="H61" s="1"/>
      <c r="I61" s="1"/>
    </row>
    <row r="62" spans="1:9" ht="14">
      <c r="A62" s="1"/>
      <c r="B62" s="1"/>
      <c r="C62" s="1"/>
      <c r="D62" s="1"/>
      <c r="E62" s="1"/>
      <c r="F62" s="1"/>
      <c r="G62" s="1"/>
      <c r="H62" s="1"/>
      <c r="I62" s="1"/>
    </row>
    <row r="63" spans="1:9" ht="14">
      <c r="A63" s="1"/>
      <c r="B63" s="1"/>
      <c r="C63" s="1"/>
      <c r="D63" s="1"/>
      <c r="E63" s="1"/>
      <c r="F63" s="1"/>
      <c r="G63" s="1"/>
      <c r="H63" s="1"/>
      <c r="I63" s="1"/>
    </row>
    <row r="64" spans="1:9" ht="14">
      <c r="A64" s="1"/>
      <c r="B64" s="1"/>
      <c r="C64" s="1"/>
      <c r="D64" s="1"/>
      <c r="E64" s="1"/>
      <c r="F64" s="1"/>
      <c r="G64" s="1"/>
      <c r="H64" s="1"/>
      <c r="I64" s="1"/>
    </row>
    <row r="65" spans="1:9" ht="14">
      <c r="A65" s="1"/>
      <c r="B65" s="1"/>
      <c r="C65" s="1"/>
      <c r="D65" s="1"/>
      <c r="E65" s="1"/>
      <c r="F65" s="1"/>
      <c r="G65" s="1"/>
      <c r="H65" s="1"/>
      <c r="I65" s="1"/>
    </row>
    <row r="66" spans="1:9" ht="14">
      <c r="A66" s="1"/>
      <c r="B66" s="1"/>
      <c r="C66" s="1"/>
      <c r="D66" s="1"/>
      <c r="E66" s="1"/>
      <c r="F66" s="1"/>
      <c r="G66" s="1"/>
      <c r="H66" s="1"/>
      <c r="I66" s="1"/>
    </row>
    <row r="67" spans="1:9" ht="14">
      <c r="A67" s="1"/>
      <c r="B67" s="1"/>
      <c r="C67" s="1"/>
      <c r="D67" s="1"/>
      <c r="E67" s="1"/>
      <c r="F67" s="1"/>
      <c r="G67" s="1"/>
      <c r="H67" s="1"/>
      <c r="I67" s="1"/>
    </row>
    <row r="68" spans="1:9" ht="14">
      <c r="A68" s="1"/>
      <c r="B68" s="1"/>
      <c r="C68" s="1"/>
      <c r="D68" s="1"/>
      <c r="E68" s="1"/>
      <c r="F68" s="1"/>
      <c r="G68" s="1"/>
      <c r="H68" s="1"/>
      <c r="I68" s="1"/>
    </row>
    <row r="69" spans="1:9" ht="14">
      <c r="A69" s="1"/>
      <c r="B69" s="1"/>
      <c r="C69" s="1"/>
      <c r="D69" s="1"/>
      <c r="E69" s="1"/>
      <c r="F69" s="1"/>
      <c r="G69" s="1"/>
      <c r="H69" s="1"/>
      <c r="I69" s="1"/>
    </row>
    <row r="70" spans="1:9" ht="14">
      <c r="A70" s="1"/>
      <c r="B70" s="1"/>
      <c r="C70" s="1"/>
      <c r="D70" s="1"/>
      <c r="E70" s="1"/>
      <c r="F70" s="1"/>
      <c r="G70" s="1"/>
      <c r="H70" s="1"/>
      <c r="I70" s="1"/>
    </row>
    <row r="71" spans="1:9" ht="14">
      <c r="A71" s="1"/>
      <c r="B71" s="1"/>
      <c r="C71" s="1"/>
      <c r="D71" s="1"/>
      <c r="E71" s="1"/>
      <c r="F71" s="1"/>
      <c r="G71" s="1"/>
      <c r="H71" s="1"/>
      <c r="I71" s="1"/>
    </row>
    <row r="72" spans="1:9" ht="14">
      <c r="A72" s="1"/>
      <c r="B72" s="1"/>
      <c r="C72" s="1"/>
      <c r="D72" s="1"/>
      <c r="E72" s="1"/>
      <c r="F72" s="1"/>
      <c r="G72" s="1"/>
      <c r="H72" s="1"/>
      <c r="I72" s="1"/>
    </row>
    <row r="73" spans="1:9" ht="14">
      <c r="A73" s="1"/>
      <c r="B73" s="1"/>
      <c r="C73" s="1"/>
      <c r="D73" s="1"/>
      <c r="E73" s="1"/>
      <c r="F73" s="1"/>
      <c r="G73" s="1"/>
      <c r="H73" s="1"/>
      <c r="I73" s="1"/>
    </row>
    <row r="74" spans="1:9" ht="14">
      <c r="A74" s="1"/>
      <c r="B74" s="1"/>
      <c r="C74" s="1"/>
      <c r="D74" s="1"/>
      <c r="E74" s="1"/>
      <c r="F74" s="1"/>
      <c r="G74" s="1"/>
      <c r="H74" s="1"/>
      <c r="I74" s="1"/>
    </row>
    <row r="75" spans="1:9" ht="14">
      <c r="A75" s="1"/>
      <c r="B75" s="1"/>
      <c r="C75" s="1"/>
      <c r="D75" s="1"/>
      <c r="E75" s="1"/>
      <c r="F75" s="1"/>
      <c r="G75" s="1"/>
      <c r="H75" s="1"/>
      <c r="I75" s="1"/>
    </row>
    <row r="76" spans="1:9" ht="14">
      <c r="A76" s="1"/>
      <c r="B76" s="1"/>
      <c r="C76" s="1"/>
      <c r="D76" s="1"/>
      <c r="E76" s="1"/>
      <c r="F76" s="1"/>
      <c r="G76" s="1"/>
      <c r="H76" s="1"/>
      <c r="I76" s="1"/>
    </row>
    <row r="77" spans="1:9" ht="14">
      <c r="A77" s="1"/>
      <c r="B77" s="1"/>
      <c r="C77" s="1"/>
      <c r="D77" s="1"/>
      <c r="E77" s="1"/>
      <c r="F77" s="1"/>
      <c r="G77" s="1"/>
      <c r="H77" s="1"/>
      <c r="I77" s="1"/>
    </row>
    <row r="78" spans="1:9" ht="14">
      <c r="A78" s="1"/>
      <c r="B78" s="1"/>
      <c r="C78" s="1"/>
      <c r="D78" s="1"/>
      <c r="E78" s="1"/>
      <c r="F78" s="1"/>
      <c r="G78" s="1"/>
      <c r="H78" s="1"/>
      <c r="I78" s="1"/>
    </row>
    <row r="79" spans="1:9" ht="14">
      <c r="A79" s="1"/>
      <c r="B79" s="1"/>
      <c r="C79" s="1"/>
      <c r="D79" s="1"/>
      <c r="E79" s="1"/>
      <c r="F79" s="1"/>
      <c r="G79" s="1"/>
      <c r="H79" s="1"/>
      <c r="I79" s="1"/>
    </row>
    <row r="80" spans="1:9" ht="14">
      <c r="A80" s="1"/>
      <c r="B80" s="1"/>
      <c r="C80" s="1"/>
      <c r="D80" s="1"/>
      <c r="E80" s="1"/>
      <c r="F80" s="1"/>
      <c r="G80" s="1"/>
      <c r="H80" s="1"/>
      <c r="I80" s="1"/>
    </row>
    <row r="81" spans="1:9" ht="14">
      <c r="A81" s="1"/>
      <c r="B81" s="1"/>
      <c r="C81" s="1"/>
      <c r="D81" s="1"/>
      <c r="E81" s="1"/>
      <c r="F81" s="1"/>
      <c r="G81" s="1"/>
      <c r="H81" s="1"/>
      <c r="I81" s="1"/>
    </row>
    <row r="82" spans="1:9" ht="14">
      <c r="A82" s="1"/>
      <c r="B82" s="1"/>
      <c r="C82" s="1"/>
      <c r="D82" s="1"/>
      <c r="E82" s="1"/>
      <c r="F82" s="1"/>
      <c r="G82" s="1"/>
      <c r="H82" s="1"/>
      <c r="I82" s="1"/>
    </row>
    <row r="83" spans="1:9" ht="14">
      <c r="A83" s="1"/>
      <c r="B83" s="1"/>
      <c r="C83" s="1"/>
      <c r="D83" s="1"/>
      <c r="E83" s="1"/>
      <c r="F83" s="1"/>
      <c r="G83" s="1"/>
      <c r="H83" s="1"/>
      <c r="I83" s="1"/>
    </row>
    <row r="84" spans="1:9" ht="14">
      <c r="A84" s="1"/>
      <c r="B84" s="1"/>
      <c r="C84" s="1"/>
      <c r="D84" s="1"/>
      <c r="E84" s="1"/>
      <c r="F84" s="1"/>
      <c r="G84" s="1"/>
      <c r="H84" s="1"/>
      <c r="I84" s="1"/>
    </row>
    <row r="85" spans="1:9" ht="14">
      <c r="A85" s="1"/>
      <c r="B85" s="1"/>
      <c r="C85" s="1"/>
      <c r="D85" s="1"/>
      <c r="E85" s="1"/>
      <c r="F85" s="1"/>
      <c r="G85" s="1"/>
      <c r="H85" s="1"/>
      <c r="I85" s="1"/>
    </row>
    <row r="86" spans="1:9" ht="14">
      <c r="A86" s="1"/>
      <c r="B86" s="1"/>
      <c r="C86" s="1"/>
      <c r="D86" s="1"/>
      <c r="E86" s="1"/>
      <c r="F86" s="1"/>
      <c r="G86" s="1"/>
      <c r="H86" s="1"/>
      <c r="I86" s="1"/>
    </row>
    <row r="87" spans="1:9" ht="14">
      <c r="A87" s="1"/>
      <c r="B87" s="1"/>
      <c r="C87" s="1"/>
      <c r="D87" s="1"/>
      <c r="E87" s="1"/>
      <c r="F87" s="1"/>
      <c r="G87" s="1"/>
      <c r="H87" s="1"/>
      <c r="I87" s="1"/>
    </row>
    <row r="88" spans="1:9" ht="14">
      <c r="A88" s="1"/>
      <c r="B88" s="1"/>
      <c r="C88" s="1"/>
      <c r="D88" s="1"/>
      <c r="E88" s="1"/>
      <c r="F88" s="1"/>
      <c r="G88" s="1"/>
      <c r="H88" s="1"/>
      <c r="I88" s="1"/>
    </row>
    <row r="89" spans="1:9" ht="14">
      <c r="A89" s="1"/>
      <c r="B89" s="1"/>
      <c r="C89" s="1"/>
      <c r="D89" s="1"/>
      <c r="E89" s="1"/>
      <c r="F89" s="1"/>
      <c r="G89" s="1"/>
      <c r="H89" s="1"/>
      <c r="I89" s="1"/>
    </row>
    <row r="90" spans="1:9" ht="14">
      <c r="A90" s="1"/>
      <c r="B90" s="1"/>
      <c r="C90" s="1"/>
      <c r="D90" s="1"/>
      <c r="E90" s="1"/>
      <c r="F90" s="1"/>
      <c r="G90" s="1"/>
      <c r="H90" s="1"/>
      <c r="I90" s="1"/>
    </row>
    <row r="91" spans="1:9" ht="14">
      <c r="A91" s="1"/>
      <c r="B91" s="1"/>
      <c r="C91" s="1"/>
      <c r="D91" s="1"/>
      <c r="E91" s="1"/>
      <c r="F91" s="1"/>
      <c r="G91" s="1"/>
      <c r="H91" s="1"/>
      <c r="I91" s="1"/>
    </row>
    <row r="92" spans="1:9" ht="14">
      <c r="A92" s="1"/>
      <c r="B92" s="1"/>
      <c r="C92" s="1"/>
      <c r="D92" s="1"/>
      <c r="E92" s="1"/>
      <c r="F92" s="1"/>
      <c r="G92" s="1"/>
      <c r="H92" s="1"/>
      <c r="I92" s="1"/>
    </row>
    <row r="93" spans="1:9" ht="14">
      <c r="A93" s="1"/>
      <c r="B93" s="1"/>
      <c r="C93" s="1"/>
      <c r="D93" s="1"/>
      <c r="E93" s="1"/>
      <c r="F93" s="1"/>
      <c r="G93" s="1"/>
      <c r="H93" s="1"/>
      <c r="I93" s="1"/>
    </row>
    <row r="94" spans="1:9" ht="14">
      <c r="A94" s="1"/>
      <c r="B94" s="1"/>
      <c r="C94" s="1"/>
      <c r="D94" s="1"/>
      <c r="E94" s="1"/>
      <c r="F94" s="1"/>
      <c r="G94" s="1"/>
      <c r="H94" s="1"/>
      <c r="I94" s="1"/>
    </row>
    <row r="95" spans="1:9" ht="14">
      <c r="A95" s="1"/>
      <c r="B95" s="1"/>
      <c r="C95" s="1"/>
      <c r="D95" s="1"/>
      <c r="E95" s="1"/>
      <c r="F95" s="1"/>
      <c r="G95" s="1"/>
      <c r="H95" s="1"/>
      <c r="I95" s="1"/>
    </row>
    <row r="96" spans="1:9" ht="14">
      <c r="A96" s="1"/>
      <c r="B96" s="1"/>
      <c r="C96" s="1"/>
      <c r="D96" s="1"/>
      <c r="E96" s="1"/>
      <c r="F96" s="1"/>
      <c r="G96" s="1"/>
      <c r="H96" s="1"/>
      <c r="I96" s="1"/>
    </row>
    <row r="97" spans="1:9" ht="14">
      <c r="A97" s="1"/>
      <c r="B97" s="1"/>
      <c r="C97" s="1"/>
      <c r="D97" s="1"/>
      <c r="E97" s="1"/>
      <c r="F97" s="1"/>
      <c r="G97" s="1"/>
      <c r="H97" s="1"/>
      <c r="I97" s="1"/>
    </row>
    <row r="98" spans="1:9" ht="14">
      <c r="A98" s="1"/>
      <c r="B98" s="1"/>
      <c r="C98" s="1"/>
      <c r="D98" s="1"/>
      <c r="E98" s="1"/>
      <c r="F98" s="1"/>
      <c r="G98" s="1"/>
      <c r="H98" s="1"/>
      <c r="I98" s="1"/>
    </row>
    <row r="99" spans="1:9" ht="14">
      <c r="A99" s="1"/>
      <c r="B99" s="1"/>
      <c r="C99" s="1"/>
      <c r="D99" s="1"/>
      <c r="E99" s="1"/>
      <c r="F99" s="1"/>
      <c r="G99" s="1"/>
      <c r="H99" s="1"/>
      <c r="I99" s="1"/>
    </row>
    <row r="100" spans="1:9" ht="14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4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4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4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4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4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4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4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4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4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4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4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4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4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4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4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4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4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4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4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4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4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4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4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4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4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4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4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4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4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4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4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4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4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4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4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4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4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4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4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4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4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4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4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4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4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4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4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4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4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4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4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4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4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4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4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4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4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4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4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4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4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4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4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4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4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4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4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4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4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4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4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4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4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4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4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4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4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4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4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4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4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4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4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4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4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4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4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4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4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4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4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4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4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4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4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4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4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4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4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4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4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4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4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4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4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4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4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4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4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4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4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4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4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4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4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4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4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4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4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4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4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4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4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4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4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4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4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4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4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4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4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4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4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4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4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4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4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4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4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4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4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4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4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4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4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4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4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4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4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4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4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4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4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4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4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4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4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4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4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4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4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4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4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4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4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4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4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4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4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4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4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4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4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4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4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4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4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4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4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4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4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4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4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4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4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4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4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4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4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4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4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4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4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4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4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4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4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4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4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4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4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4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4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4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4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4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4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4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4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4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4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4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4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4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4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4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4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4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4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4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4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4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4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4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4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4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4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4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4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4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4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4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4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4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4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4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4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4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4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4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4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4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4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4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4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4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4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4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4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4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4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4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4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4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4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4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4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4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4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4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4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4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4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4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4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4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4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4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4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4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4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4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4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4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4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4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4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4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4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4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4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4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4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4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4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4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4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4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4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4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4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4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4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4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4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4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4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4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4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4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4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4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4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4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4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4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4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4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4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4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4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4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4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4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4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4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4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4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4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4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4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4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4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4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4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4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4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4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4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4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4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4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4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4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4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4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4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4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4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4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4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4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4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4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4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4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4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4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4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4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4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4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4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4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4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4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4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4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4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4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4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4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4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4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4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4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4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4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4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4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4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4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4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4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4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4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4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4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4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4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4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4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4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4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4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4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4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4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4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4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4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4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4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4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4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4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4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4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4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4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4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4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4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4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4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4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4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4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4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4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4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4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4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4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4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4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4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4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4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4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4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4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4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4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4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4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4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4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4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4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4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4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4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4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4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4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4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4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4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4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4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4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4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4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4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4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4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4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4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4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4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4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4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4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4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4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4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4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4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4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4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4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4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4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4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4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4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4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4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4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4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4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4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4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4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4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4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4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4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4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4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4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4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4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4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4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4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4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4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4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4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4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4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4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4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4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4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4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4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4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4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4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4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4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4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4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4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4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4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4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4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4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4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4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4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4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4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4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4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4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4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4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4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4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4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4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4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4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4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4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4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4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4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4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4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4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4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4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4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4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4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4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4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4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4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4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4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4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4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4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4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4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4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4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4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4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4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4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4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4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4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4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4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4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4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4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4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4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4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4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4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4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4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4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4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4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4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4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4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4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4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4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4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4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4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4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4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4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4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4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4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4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4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4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4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4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4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4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4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4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4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4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4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4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4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4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4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4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4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4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4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4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4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4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4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4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4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4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4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4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4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4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4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4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4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4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4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4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4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4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4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4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4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4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4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4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4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4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4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4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4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4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4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4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4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4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4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4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4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4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4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4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4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4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4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4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4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4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4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4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4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4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4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4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4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4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4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4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4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4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4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4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4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4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4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4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4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4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4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4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4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4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4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4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4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4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4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4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4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4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4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4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4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4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4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4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4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4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4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4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4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4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4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4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4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4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4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4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4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4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4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4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4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4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4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4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4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4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4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4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4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4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4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4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4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4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4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4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4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4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4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4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4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4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4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4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4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4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4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4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4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4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4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4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4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4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4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4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4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4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4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4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4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4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4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4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4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4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4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4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4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4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4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4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4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4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4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4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4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4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4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4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4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4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4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4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4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4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4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4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4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4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4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4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4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4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4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4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4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4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4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4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4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4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4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4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4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4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4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4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4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4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4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4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4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4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4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4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4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4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4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4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4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4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4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4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4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4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4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4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4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4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4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4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4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4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4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4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4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4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4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4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4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4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4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4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4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4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4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4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4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4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4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4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4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4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4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4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4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4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4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4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4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4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4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4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4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4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4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4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4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4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4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4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4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4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4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4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4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4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4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4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4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4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4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4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4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4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4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4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4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4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4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4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4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4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4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4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4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4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4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4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4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4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4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4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4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4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4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4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">
    <mergeCell ref="C1:G1"/>
  </mergeCells>
  <conditionalFormatting sqref="B7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C38" sqref="C38"/>
    </sheetView>
  </sheetViews>
  <sheetFormatPr baseColWidth="10" defaultColWidth="15.1640625" defaultRowHeight="15" customHeight="1" x14ac:dyDescent="0"/>
  <cols>
    <col min="1" max="1" width="39.33203125" customWidth="1"/>
    <col min="2" max="3" width="12.5" customWidth="1"/>
    <col min="4" max="5" width="13.5" customWidth="1"/>
    <col min="6" max="6" width="17.33203125" customWidth="1"/>
    <col min="7" max="7" width="23" customWidth="1"/>
    <col min="8" max="8" width="13.5" customWidth="1"/>
    <col min="9" max="9" width="24.83203125" bestFit="1" customWidth="1"/>
    <col min="10" max="10" width="8" customWidth="1"/>
    <col min="11" max="26" width="7.5" customWidth="1"/>
  </cols>
  <sheetData>
    <row r="1" spans="1:26" ht="20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 t="s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">
      <c r="A3" s="4" t="s">
        <v>9</v>
      </c>
      <c r="B3" s="3"/>
      <c r="C3" s="3"/>
      <c r="D3" s="3"/>
      <c r="E3" s="3"/>
      <c r="F3" s="3"/>
      <c r="G3" s="3"/>
      <c r="H3" s="3"/>
      <c r="I3" s="6">
        <v>0.5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">
      <c r="A4" s="3" t="s">
        <v>18</v>
      </c>
      <c r="B4" s="7">
        <v>65000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>
      <c r="A5" s="3" t="s">
        <v>19</v>
      </c>
      <c r="B5" s="7">
        <v>6000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/>
      <c r="I5" s="3" t="s">
        <v>20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">
      <c r="A6" s="3" t="s">
        <v>21</v>
      </c>
      <c r="B6" s="7">
        <v>29.99</v>
      </c>
      <c r="C6" s="7">
        <v>29.99</v>
      </c>
      <c r="D6" s="7">
        <v>29.99</v>
      </c>
      <c r="E6" s="7">
        <v>29.99</v>
      </c>
      <c r="F6" s="7">
        <v>29.99</v>
      </c>
      <c r="G6" s="7">
        <v>29.99</v>
      </c>
      <c r="H6" s="7"/>
      <c r="I6" s="6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>
      <c r="A7" s="3" t="s">
        <v>32</v>
      </c>
      <c r="B7" s="7">
        <f t="shared" ref="B7:G7" si="0">ROUNDDOWN(B6-B6*$I$9,2)</f>
        <v>26.99</v>
      </c>
      <c r="C7" s="7">
        <f>ROUNDDOWN(C6-C6*($I$9-0.051),2)</f>
        <v>28.52</v>
      </c>
      <c r="D7" s="7">
        <f t="shared" si="0"/>
        <v>26.99</v>
      </c>
      <c r="E7" s="7">
        <f t="shared" si="0"/>
        <v>26.99</v>
      </c>
      <c r="F7" s="7">
        <f t="shared" si="0"/>
        <v>26.99</v>
      </c>
      <c r="G7" s="7">
        <f t="shared" si="0"/>
        <v>26.99</v>
      </c>
      <c r="H7" s="7"/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">
      <c r="A8" s="3" t="s">
        <v>33</v>
      </c>
      <c r="B8" s="9">
        <v>0</v>
      </c>
      <c r="C8" s="9">
        <v>2626</v>
      </c>
      <c r="D8" s="9">
        <v>2626</v>
      </c>
      <c r="E8" s="9">
        <v>2626</v>
      </c>
      <c r="F8" s="9">
        <v>2626</v>
      </c>
      <c r="G8" s="9">
        <v>2626</v>
      </c>
      <c r="H8" s="9"/>
      <c r="I8" s="3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">
      <c r="A9" s="3" t="s">
        <v>37</v>
      </c>
      <c r="B9" s="9">
        <v>0</v>
      </c>
      <c r="C9" s="9">
        <f>B8*I3</f>
        <v>0</v>
      </c>
      <c r="D9" s="9">
        <f t="shared" ref="D9:F9" si="1">(C8+C9)*$I$3</f>
        <v>1313</v>
      </c>
      <c r="E9" s="9">
        <f t="shared" si="1"/>
        <v>1969.5</v>
      </c>
      <c r="F9" s="9">
        <f t="shared" si="1"/>
        <v>2297.75</v>
      </c>
      <c r="G9" s="9">
        <f>(F8+F9)*$I$3</f>
        <v>2461.875</v>
      </c>
      <c r="H9" s="9"/>
      <c r="I9" s="6">
        <v>0.1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">
      <c r="A10" s="3" t="s">
        <v>40</v>
      </c>
      <c r="B10" s="9">
        <f t="shared" ref="B10:G10" si="2">B9+B8</f>
        <v>0</v>
      </c>
      <c r="C10" s="9">
        <f>C9+C8</f>
        <v>2626</v>
      </c>
      <c r="D10" s="9">
        <f t="shared" si="2"/>
        <v>3939</v>
      </c>
      <c r="E10" s="9">
        <f t="shared" si="2"/>
        <v>4595.5</v>
      </c>
      <c r="F10" s="9">
        <f t="shared" si="2"/>
        <v>4923.75</v>
      </c>
      <c r="G10" s="9">
        <f t="shared" si="2"/>
        <v>5087.875</v>
      </c>
      <c r="H10" s="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">
      <c r="A11" s="3" t="s">
        <v>41</v>
      </c>
      <c r="B11" s="7">
        <f>B10*B6</f>
        <v>0</v>
      </c>
      <c r="C11" s="7">
        <f>C10*C7</f>
        <v>74893.52</v>
      </c>
      <c r="D11" s="7">
        <f t="shared" ref="D11:G11" si="3">D10*D7</f>
        <v>106313.61</v>
      </c>
      <c r="E11" s="7">
        <f t="shared" si="3"/>
        <v>124032.545</v>
      </c>
      <c r="F11" s="7">
        <f t="shared" si="3"/>
        <v>132892.01249999998</v>
      </c>
      <c r="G11" s="7">
        <f t="shared" si="3"/>
        <v>137321.74625</v>
      </c>
      <c r="H11" s="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">
      <c r="A12" s="3" t="s">
        <v>43</v>
      </c>
      <c r="B12" s="9">
        <v>0</v>
      </c>
      <c r="C12" s="9">
        <v>292</v>
      </c>
      <c r="D12" s="9">
        <v>292</v>
      </c>
      <c r="E12" s="9">
        <v>292</v>
      </c>
      <c r="F12" s="9">
        <v>292</v>
      </c>
      <c r="G12" s="9">
        <v>292</v>
      </c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">
      <c r="A13" s="3" t="s">
        <v>45</v>
      </c>
      <c r="B13" s="9">
        <v>0</v>
      </c>
      <c r="C13" s="9">
        <v>0</v>
      </c>
      <c r="D13" s="9">
        <f t="shared" ref="D13:G13" si="4">(C12+C13)*$I$3</f>
        <v>146</v>
      </c>
      <c r="E13" s="9">
        <f t="shared" si="4"/>
        <v>219</v>
      </c>
      <c r="F13" s="9">
        <f t="shared" si="4"/>
        <v>255.5</v>
      </c>
      <c r="G13" s="9">
        <f t="shared" si="4"/>
        <v>273.75</v>
      </c>
      <c r="H13" s="9"/>
      <c r="I13" s="3" t="s">
        <v>48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">
      <c r="A14" s="3" t="s">
        <v>50</v>
      </c>
      <c r="B14" s="9">
        <v>0</v>
      </c>
      <c r="C14" s="9">
        <f>C12+C13</f>
        <v>292</v>
      </c>
      <c r="D14" s="9">
        <f t="shared" ref="D14:G14" si="5">D12+D13</f>
        <v>438</v>
      </c>
      <c r="E14" s="9">
        <f t="shared" si="5"/>
        <v>511</v>
      </c>
      <c r="F14" s="9">
        <f t="shared" si="5"/>
        <v>547.5</v>
      </c>
      <c r="G14" s="9">
        <f t="shared" si="5"/>
        <v>565.75</v>
      </c>
      <c r="H14" s="9"/>
      <c r="I14" s="3">
        <v>358030</v>
      </c>
      <c r="J14" s="12">
        <f>I14*0.1</f>
        <v>35803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">
      <c r="A15" s="3" t="s">
        <v>53</v>
      </c>
      <c r="B15" s="7">
        <v>0</v>
      </c>
      <c r="C15" s="7">
        <f>C14*C6</f>
        <v>8757.08</v>
      </c>
      <c r="D15" s="7">
        <f t="shared" ref="D15:F15" si="6">D14*D6</f>
        <v>13135.619999999999</v>
      </c>
      <c r="E15" s="7">
        <f t="shared" si="6"/>
        <v>15324.89</v>
      </c>
      <c r="F15" s="7">
        <f t="shared" si="6"/>
        <v>16419.524999999998</v>
      </c>
      <c r="G15" s="7">
        <f>G14*G6</f>
        <v>16966.842499999999</v>
      </c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">
      <c r="A16" s="3" t="s">
        <v>56</v>
      </c>
      <c r="B16" s="7">
        <v>0</v>
      </c>
      <c r="C16" s="7">
        <f>C15+C11</f>
        <v>83650.600000000006</v>
      </c>
      <c r="D16" s="7">
        <f t="shared" ref="D16:G16" si="7">D15+D11</f>
        <v>119449.23</v>
      </c>
      <c r="E16" s="7">
        <f t="shared" si="7"/>
        <v>139357.435</v>
      </c>
      <c r="F16" s="7">
        <f t="shared" si="7"/>
        <v>149311.53749999998</v>
      </c>
      <c r="G16" s="7">
        <f t="shared" si="7"/>
        <v>154288.58875</v>
      </c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">
      <c r="A17" s="3"/>
      <c r="B17" s="7"/>
      <c r="C17" s="7"/>
      <c r="D17" s="7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">
      <c r="A18" s="4" t="s">
        <v>57</v>
      </c>
      <c r="B18" s="7"/>
      <c r="C18" s="7"/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">
      <c r="A19" s="10" t="s">
        <v>58</v>
      </c>
      <c r="B19" s="7">
        <f>2300</f>
        <v>2300</v>
      </c>
      <c r="C19" s="7">
        <f t="shared" ref="C19:G19" si="8">100*52</f>
        <v>5200</v>
      </c>
      <c r="D19" s="7">
        <f t="shared" si="8"/>
        <v>5200</v>
      </c>
      <c r="E19" s="7">
        <f t="shared" si="8"/>
        <v>5200</v>
      </c>
      <c r="F19" s="7">
        <f t="shared" si="8"/>
        <v>5200</v>
      </c>
      <c r="G19" s="7">
        <f t="shared" si="8"/>
        <v>5200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">
      <c r="A20" s="10" t="s">
        <v>60</v>
      </c>
      <c r="B20" s="7">
        <f>SUM('P&amp;L for duration of project '!B21:G21)</f>
        <v>24368.87</v>
      </c>
      <c r="C20" s="7">
        <f>$B$20 * 2</f>
        <v>48737.74</v>
      </c>
      <c r="D20" s="7">
        <f t="shared" ref="D20:G20" si="9">$B$20 * 2</f>
        <v>48737.74</v>
      </c>
      <c r="E20" s="7">
        <f t="shared" si="9"/>
        <v>48737.74</v>
      </c>
      <c r="F20" s="7">
        <f t="shared" si="9"/>
        <v>48737.74</v>
      </c>
      <c r="G20" s="7">
        <f t="shared" si="9"/>
        <v>48737.74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">
      <c r="A21" s="10" t="s">
        <v>64</v>
      </c>
      <c r="B21" s="7">
        <v>6000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0" t="s">
        <v>39</v>
      </c>
      <c r="B22" s="7">
        <f>14551.89</f>
        <v>14551.89</v>
      </c>
      <c r="C22" s="7">
        <f>(1400*23.5)/2</f>
        <v>16450</v>
      </c>
      <c r="D22" s="7">
        <f t="shared" ref="D22:G22" si="10">(1400*23.5)/2</f>
        <v>16450</v>
      </c>
      <c r="E22" s="7">
        <f t="shared" si="10"/>
        <v>16450</v>
      </c>
      <c r="F22" s="7">
        <f t="shared" si="10"/>
        <v>16450</v>
      </c>
      <c r="G22" s="7">
        <f t="shared" si="10"/>
        <v>16450</v>
      </c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">
      <c r="A23" s="10" t="s">
        <v>42</v>
      </c>
      <c r="B23" s="7">
        <f>1150</f>
        <v>1150</v>
      </c>
      <c r="C23" s="7">
        <f t="shared" ref="C23:G23" si="11">50*52</f>
        <v>2600</v>
      </c>
      <c r="D23" s="7">
        <f t="shared" si="11"/>
        <v>2600</v>
      </c>
      <c r="E23" s="7">
        <f t="shared" si="11"/>
        <v>2600</v>
      </c>
      <c r="F23" s="7">
        <f t="shared" si="11"/>
        <v>2600</v>
      </c>
      <c r="G23" s="7">
        <f t="shared" si="11"/>
        <v>2600</v>
      </c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">
      <c r="A24" s="10" t="s">
        <v>67</v>
      </c>
      <c r="B24" s="7">
        <f>'P&amp;L for duration of project '!H11</f>
        <v>5265</v>
      </c>
      <c r="C24" s="7">
        <f t="shared" ref="C24:G24" si="12">B33*0.1686</f>
        <v>10959</v>
      </c>
      <c r="D24" s="7">
        <f t="shared" si="12"/>
        <v>10959</v>
      </c>
      <c r="E24" s="7">
        <f t="shared" si="12"/>
        <v>8430</v>
      </c>
      <c r="F24" s="7">
        <f t="shared" si="12"/>
        <v>4215</v>
      </c>
      <c r="G24" s="7">
        <f t="shared" si="12"/>
        <v>0</v>
      </c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">
      <c r="A25" s="13" t="s">
        <v>68</v>
      </c>
      <c r="B25" s="14">
        <f>SUM(B19:B24)</f>
        <v>53635.759999999995</v>
      </c>
      <c r="C25" s="14">
        <f>SUM(C19:C21)+SUM(C22:C24)</f>
        <v>83946.739999999991</v>
      </c>
      <c r="D25" s="14">
        <f t="shared" ref="D25:G25" si="13">SUM(D19:D21)+SUM(D22:D24)</f>
        <v>83946.739999999991</v>
      </c>
      <c r="E25" s="14">
        <f t="shared" si="13"/>
        <v>81417.739999999991</v>
      </c>
      <c r="F25" s="14">
        <f t="shared" si="13"/>
        <v>77202.739999999991</v>
      </c>
      <c r="G25" s="14">
        <f t="shared" si="13"/>
        <v>72987.739999999991</v>
      </c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">
      <c r="A26" s="3" t="s">
        <v>69</v>
      </c>
      <c r="B26" s="7">
        <v>0</v>
      </c>
      <c r="C26" s="7">
        <f>$J$31</f>
        <v>16820</v>
      </c>
      <c r="D26" s="7">
        <f t="shared" ref="D26:G26" si="14">$J$31</f>
        <v>16820</v>
      </c>
      <c r="E26" s="7">
        <f t="shared" si="14"/>
        <v>16820</v>
      </c>
      <c r="F26" s="7">
        <f t="shared" si="14"/>
        <v>16820</v>
      </c>
      <c r="G26" s="7">
        <f t="shared" si="14"/>
        <v>16820</v>
      </c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">
      <c r="A27" s="3" t="s">
        <v>70</v>
      </c>
      <c r="B27" s="7">
        <v>0</v>
      </c>
      <c r="C27" s="7">
        <v>232.6</v>
      </c>
      <c r="D27" s="7">
        <v>232.6</v>
      </c>
      <c r="E27" s="7">
        <v>232.6</v>
      </c>
      <c r="F27" s="7">
        <v>232.6</v>
      </c>
      <c r="G27" s="7">
        <v>232.6</v>
      </c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">
      <c r="A28" s="3" t="s">
        <v>71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/>
      <c r="I28" s="3" t="s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">
      <c r="A29" s="3" t="s">
        <v>73</v>
      </c>
      <c r="B29" s="7">
        <v>0</v>
      </c>
      <c r="C29" s="7">
        <v>0</v>
      </c>
      <c r="D29" s="7">
        <v>15000</v>
      </c>
      <c r="E29" s="7">
        <v>25000</v>
      </c>
      <c r="F29" s="7">
        <v>25000</v>
      </c>
      <c r="G29" s="7">
        <v>0</v>
      </c>
      <c r="H29" s="7"/>
      <c r="I29" s="3" t="s">
        <v>74</v>
      </c>
      <c r="J29" s="12">
        <f>26340/2</f>
        <v>13170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">
      <c r="A30" s="3"/>
      <c r="B30" s="15"/>
      <c r="C30" s="15"/>
      <c r="D30" s="15"/>
      <c r="E30" s="15"/>
      <c r="F30" s="15"/>
      <c r="G30" s="15"/>
      <c r="H30" s="15"/>
      <c r="I30" s="3" t="s">
        <v>75</v>
      </c>
      <c r="J30" s="3">
        <v>3650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">
      <c r="A31" s="3"/>
      <c r="B31" s="7"/>
      <c r="C31" s="7"/>
      <c r="D31" s="7"/>
      <c r="E31" s="7"/>
      <c r="F31" s="7"/>
      <c r="G31" s="7"/>
      <c r="H31" s="7"/>
      <c r="I31" s="3" t="s">
        <v>76</v>
      </c>
      <c r="J31" s="12">
        <f>J29+J30</f>
        <v>16820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">
      <c r="A32" s="3" t="s">
        <v>77</v>
      </c>
      <c r="B32" s="7">
        <f>B4</f>
        <v>65000</v>
      </c>
      <c r="C32" s="7">
        <f t="shared" ref="C32:G32" si="15">B38</f>
        <v>17364.240000000005</v>
      </c>
      <c r="D32" s="7">
        <f t="shared" si="15"/>
        <v>15.500000000014552</v>
      </c>
      <c r="E32" s="7">
        <f t="shared" si="15"/>
        <v>2775.4120000000139</v>
      </c>
      <c r="F32" s="7">
        <f t="shared" si="15"/>
        <v>15485.088000000016</v>
      </c>
      <c r="G32" s="7">
        <f t="shared" si="15"/>
        <v>39530.046000000002</v>
      </c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">
      <c r="A33" s="3" t="s">
        <v>78</v>
      </c>
      <c r="B33" s="7">
        <f>B4-B29</f>
        <v>65000</v>
      </c>
      <c r="C33" s="7">
        <f>B33-C29</f>
        <v>65000</v>
      </c>
      <c r="D33" s="7">
        <f t="shared" ref="D33:G33" si="16">C33-D29</f>
        <v>50000</v>
      </c>
      <c r="E33" s="7">
        <f t="shared" si="16"/>
        <v>25000</v>
      </c>
      <c r="F33" s="7">
        <f t="shared" si="16"/>
        <v>0</v>
      </c>
      <c r="G33" s="7">
        <f t="shared" si="16"/>
        <v>0</v>
      </c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">
      <c r="A34" s="3" t="s">
        <v>79</v>
      </c>
      <c r="B34" s="7">
        <f>B16+B5</f>
        <v>6000</v>
      </c>
      <c r="C34" s="7">
        <f>C16+C5</f>
        <v>83650.600000000006</v>
      </c>
      <c r="D34" s="7">
        <f>D16+D5</f>
        <v>119449.23</v>
      </c>
      <c r="E34" s="7">
        <f t="shared" ref="E34:G34" si="17">E16+E5</f>
        <v>139357.435</v>
      </c>
      <c r="F34" s="7">
        <f t="shared" si="17"/>
        <v>149311.53749999998</v>
      </c>
      <c r="G34" s="7">
        <f t="shared" si="17"/>
        <v>154288.58875</v>
      </c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">
      <c r="A35" s="3" t="s">
        <v>80</v>
      </c>
      <c r="B35" s="7">
        <f>SUM(B25:B30)</f>
        <v>53635.759999999995</v>
      </c>
      <c r="C35" s="7">
        <f t="shared" ref="C35" si="18">SUM(C25:C30)</f>
        <v>100999.34</v>
      </c>
      <c r="D35" s="7">
        <f>SUM(D25:D30)</f>
        <v>115999.34</v>
      </c>
      <c r="E35" s="7">
        <f>SUM(E25:E30)</f>
        <v>123470.34</v>
      </c>
      <c r="F35" s="7">
        <f>SUM(F25:F30)</f>
        <v>119255.34</v>
      </c>
      <c r="G35" s="7">
        <f>SUM(G25:G30)</f>
        <v>90040.34</v>
      </c>
      <c r="H35" s="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">
      <c r="A36" s="3" t="s">
        <v>81</v>
      </c>
      <c r="B36" s="7">
        <f>B34-B35</f>
        <v>-47635.759999999995</v>
      </c>
      <c r="C36" s="7">
        <f>C34-C35</f>
        <v>-17348.739999999991</v>
      </c>
      <c r="D36" s="7">
        <f>D34-D35</f>
        <v>3449.8899999999994</v>
      </c>
      <c r="E36" s="7">
        <f t="shared" ref="E36:F36" si="19">E34-E35</f>
        <v>15887.095000000001</v>
      </c>
      <c r="F36" s="7">
        <f t="shared" si="19"/>
        <v>30056.19749999998</v>
      </c>
      <c r="G36" s="7">
        <f>G34-G35</f>
        <v>64248.248749999999</v>
      </c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24" customFormat="1" ht="14">
      <c r="A37" s="12" t="s">
        <v>93</v>
      </c>
      <c r="B37" s="7">
        <f t="shared" ref="B37:F37" si="20">IF(B36&gt;0,B36*0.2,0)</f>
        <v>0</v>
      </c>
      <c r="C37" s="7">
        <f>IF(C36&gt;0,C36*0.2,0)</f>
        <v>0</v>
      </c>
      <c r="D37" s="7">
        <f t="shared" si="20"/>
        <v>689.97799999999995</v>
      </c>
      <c r="E37" s="7">
        <f t="shared" si="20"/>
        <v>3177.4190000000003</v>
      </c>
      <c r="F37" s="7">
        <f t="shared" si="20"/>
        <v>6011.239499999996</v>
      </c>
      <c r="G37" s="7">
        <f>IF(G36&gt;0,G36*0.2,0)</f>
        <v>12849.64975</v>
      </c>
      <c r="H37" s="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">
      <c r="A38" s="3" t="s">
        <v>82</v>
      </c>
      <c r="B38" s="7">
        <f>B36+B32-B37</f>
        <v>17364.240000000005</v>
      </c>
      <c r="C38" s="7">
        <f t="shared" ref="C38:G38" si="21">C36+C32-C37</f>
        <v>15.500000000014552</v>
      </c>
      <c r="D38" s="7">
        <f t="shared" si="21"/>
        <v>2775.4120000000139</v>
      </c>
      <c r="E38" s="7">
        <f t="shared" si="21"/>
        <v>15485.088000000016</v>
      </c>
      <c r="F38" s="7">
        <f t="shared" si="21"/>
        <v>39530.046000000002</v>
      </c>
      <c r="G38" s="7">
        <f t="shared" si="21"/>
        <v>90928.645000000004</v>
      </c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">
      <c r="A39" s="3"/>
      <c r="B39" s="7"/>
      <c r="C39" s="7"/>
      <c r="D39" s="7"/>
      <c r="E39" s="7"/>
      <c r="F39" s="7"/>
      <c r="G39" s="7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">
      <c r="A40" s="3"/>
      <c r="B40" s="7"/>
      <c r="C40" s="7"/>
      <c r="D40" s="7"/>
      <c r="E40" s="7"/>
      <c r="F40" s="7"/>
      <c r="G40" s="7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0.25" customHeight="1">
      <c r="A41" s="2" t="s">
        <v>83</v>
      </c>
      <c r="B41" s="7"/>
      <c r="C41" s="7"/>
      <c r="D41" s="7"/>
      <c r="E41" s="7"/>
      <c r="F41" s="7"/>
      <c r="G41" s="7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">
      <c r="A42" s="3"/>
      <c r="B42" s="7"/>
      <c r="C42" s="7"/>
      <c r="D42" s="7"/>
      <c r="E42" s="7"/>
      <c r="F42" s="7"/>
      <c r="G42" s="7"/>
      <c r="H42" s="7"/>
      <c r="I42" s="5"/>
      <c r="J42" s="1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">
      <c r="A43" s="3" t="s">
        <v>84</v>
      </c>
      <c r="B43" s="7">
        <f t="shared" ref="B43:F43" si="22">B16+B5</f>
        <v>6000</v>
      </c>
      <c r="C43" s="7">
        <f>C16+C5</f>
        <v>83650.600000000006</v>
      </c>
      <c r="D43" s="7">
        <f t="shared" si="22"/>
        <v>119449.23</v>
      </c>
      <c r="E43" s="7">
        <f t="shared" si="22"/>
        <v>139357.435</v>
      </c>
      <c r="F43" s="7">
        <f t="shared" si="22"/>
        <v>149311.53749999998</v>
      </c>
      <c r="G43" s="7">
        <f>G16+G5</f>
        <v>154288.58875</v>
      </c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">
      <c r="A44" s="3" t="s">
        <v>85</v>
      </c>
      <c r="B44" s="7">
        <f t="shared" ref="B44:F44" si="23">B19+B20+B21</f>
        <v>32668.87</v>
      </c>
      <c r="C44" s="7">
        <f>C19+C20+C21</f>
        <v>53937.74</v>
      </c>
      <c r="D44" s="7">
        <f t="shared" si="23"/>
        <v>53937.74</v>
      </c>
      <c r="E44" s="7">
        <f t="shared" si="23"/>
        <v>53937.74</v>
      </c>
      <c r="F44" s="7">
        <f t="shared" si="23"/>
        <v>53937.74</v>
      </c>
      <c r="G44" s="7">
        <f>G19+G20+G21</f>
        <v>53937.74</v>
      </c>
      <c r="H44" s="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">
      <c r="A45" s="3" t="s">
        <v>22</v>
      </c>
      <c r="B45" s="7">
        <f t="shared" ref="B45:F45" si="24">B43-B44</f>
        <v>-26668.87</v>
      </c>
      <c r="C45" s="7">
        <f>C43-C44</f>
        <v>29712.860000000008</v>
      </c>
      <c r="D45" s="7">
        <f t="shared" si="24"/>
        <v>65511.49</v>
      </c>
      <c r="E45" s="7">
        <f t="shared" si="24"/>
        <v>85419.695000000007</v>
      </c>
      <c r="F45" s="7">
        <f t="shared" si="24"/>
        <v>95373.797499999986</v>
      </c>
      <c r="G45" s="7">
        <f>G43-G44</f>
        <v>100350.84875</v>
      </c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">
      <c r="A46" s="3" t="s">
        <v>23</v>
      </c>
      <c r="B46" s="7">
        <f t="shared" ref="B46:F46" si="25">B26+B27+B28+B22+B23+B24+B29</f>
        <v>20966.89</v>
      </c>
      <c r="C46" s="7">
        <f>C26+C27+C28+C22+C23+C24+C29</f>
        <v>47061.599999999999</v>
      </c>
      <c r="D46" s="7">
        <f t="shared" si="25"/>
        <v>62061.599999999999</v>
      </c>
      <c r="E46" s="7">
        <f t="shared" si="25"/>
        <v>69532.600000000006</v>
      </c>
      <c r="F46" s="7">
        <f t="shared" si="25"/>
        <v>65317.599999999999</v>
      </c>
      <c r="G46" s="7">
        <f>G26+G27+G28+G22+G23+G24+G29</f>
        <v>36102.6</v>
      </c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">
      <c r="A47" s="3" t="s">
        <v>86</v>
      </c>
      <c r="B47" s="7">
        <f t="shared" ref="B47:F47" si="26">B45-B46</f>
        <v>-47635.759999999995</v>
      </c>
      <c r="C47" s="7">
        <f>C45-C46</f>
        <v>-17348.739999999991</v>
      </c>
      <c r="D47" s="7">
        <f>D45-D46</f>
        <v>3449.8899999999994</v>
      </c>
      <c r="E47" s="7">
        <f t="shared" si="26"/>
        <v>15887.095000000001</v>
      </c>
      <c r="F47" s="7">
        <f t="shared" si="26"/>
        <v>30056.197499999987</v>
      </c>
      <c r="G47" s="7">
        <f>G45-G46</f>
        <v>64248.248750000006</v>
      </c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">
      <c r="A48" s="17" t="s">
        <v>27</v>
      </c>
      <c r="B48" s="7">
        <f t="shared" ref="B48:F48" si="27">IF(B47&gt;0,B47*0.2,0)</f>
        <v>0</v>
      </c>
      <c r="C48" s="7">
        <f>IF(C47&gt;0,C47*0.2,0)</f>
        <v>0</v>
      </c>
      <c r="D48" s="7">
        <f t="shared" si="27"/>
        <v>689.97799999999995</v>
      </c>
      <c r="E48" s="7">
        <f t="shared" si="27"/>
        <v>3177.4190000000003</v>
      </c>
      <c r="F48" s="7">
        <f t="shared" si="27"/>
        <v>6011.2394999999979</v>
      </c>
      <c r="G48" s="7">
        <f>IF(G47&gt;0,G47*0.2,0)</f>
        <v>12849.649750000002</v>
      </c>
      <c r="H48" s="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">
      <c r="A49" s="17" t="s">
        <v>87</v>
      </c>
      <c r="B49" s="7">
        <f t="shared" ref="B49:F49" si="28">B47-B48</f>
        <v>-47635.759999999995</v>
      </c>
      <c r="C49" s="7">
        <f>C47-C48</f>
        <v>-17348.739999999991</v>
      </c>
      <c r="D49" s="7">
        <f t="shared" si="28"/>
        <v>2759.9119999999994</v>
      </c>
      <c r="E49" s="7">
        <f t="shared" si="28"/>
        <v>12709.676000000001</v>
      </c>
      <c r="F49" s="7">
        <f t="shared" si="28"/>
        <v>24044.957999999991</v>
      </c>
      <c r="G49" s="7">
        <f>G47-G48</f>
        <v>51398.599000000002</v>
      </c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">
      <c r="A50" s="18"/>
      <c r="B50" s="7"/>
      <c r="C50" s="7"/>
      <c r="D50" s="7"/>
      <c r="E50" s="7"/>
      <c r="F50" s="7"/>
      <c r="G50" s="7"/>
      <c r="H50" s="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">
      <c r="A51" s="17" t="s">
        <v>88</v>
      </c>
      <c r="B51" s="7">
        <f t="shared" ref="B51:F51" si="29">B49</f>
        <v>-47635.759999999995</v>
      </c>
      <c r="C51" s="7">
        <f>C49</f>
        <v>-17348.739999999991</v>
      </c>
      <c r="D51" s="7">
        <f t="shared" si="29"/>
        <v>2759.9119999999994</v>
      </c>
      <c r="E51" s="7">
        <f t="shared" si="29"/>
        <v>12709.676000000001</v>
      </c>
      <c r="F51" s="7">
        <f t="shared" si="29"/>
        <v>24044.957999999991</v>
      </c>
      <c r="G51" s="7">
        <f>G49</f>
        <v>51398.599000000002</v>
      </c>
      <c r="H51" s="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">
      <c r="A52" s="1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>
      <c r="A53" s="20" t="s">
        <v>91</v>
      </c>
      <c r="B53" s="3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0.25" customHeight="1">
      <c r="A54" s="4" t="s">
        <v>46</v>
      </c>
      <c r="B54" s="21"/>
      <c r="C54" s="21"/>
      <c r="D54" s="21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>
      <c r="A55" s="12" t="s">
        <v>92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>
      <c r="A56" s="12" t="s">
        <v>47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>
      <c r="A57" s="12" t="s">
        <v>49</v>
      </c>
      <c r="B57" s="27">
        <v>0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>
      <c r="A58" s="4" t="s">
        <v>51</v>
      </c>
      <c r="B58" s="15"/>
      <c r="C58" s="15"/>
      <c r="D58" s="15"/>
      <c r="E58" s="15"/>
      <c r="F58" s="15"/>
      <c r="G58" s="1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>
      <c r="A59" s="12" t="s">
        <v>89</v>
      </c>
      <c r="B59" s="27">
        <f>B38</f>
        <v>17364.240000000005</v>
      </c>
      <c r="C59" s="27">
        <f t="shared" ref="C59:G59" si="30">C38</f>
        <v>15.500000000014552</v>
      </c>
      <c r="D59" s="27">
        <f t="shared" si="30"/>
        <v>2775.4120000000139</v>
      </c>
      <c r="E59" s="27">
        <f t="shared" si="30"/>
        <v>15485.088000000016</v>
      </c>
      <c r="F59" s="27">
        <f t="shared" si="30"/>
        <v>39530.046000000002</v>
      </c>
      <c r="G59" s="27">
        <f t="shared" si="30"/>
        <v>90928.645000000004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>
      <c r="A60" s="12" t="s">
        <v>52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>
      <c r="A61" s="4" t="s">
        <v>54</v>
      </c>
      <c r="B61" s="15"/>
      <c r="C61" s="15"/>
      <c r="D61" s="15"/>
      <c r="E61" s="15"/>
      <c r="F61" s="15"/>
      <c r="G61" s="1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>
      <c r="A62" s="12" t="s">
        <v>55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>
      <c r="A63" s="12" t="s">
        <v>59</v>
      </c>
      <c r="B63" s="28">
        <f>SUM(B59:B60)-B62</f>
        <v>17364.240000000005</v>
      </c>
      <c r="C63" s="28">
        <f t="shared" ref="C63:G63" si="31">SUM(C59:C60)-C62</f>
        <v>15.500000000014552</v>
      </c>
      <c r="D63" s="28">
        <f t="shared" si="31"/>
        <v>2775.4120000000139</v>
      </c>
      <c r="E63" s="28">
        <f t="shared" si="31"/>
        <v>15485.088000000016</v>
      </c>
      <c r="F63" s="28">
        <f t="shared" si="31"/>
        <v>39530.046000000002</v>
      </c>
      <c r="G63" s="28">
        <f t="shared" si="31"/>
        <v>90928.645000000004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>
      <c r="A64" s="4" t="s">
        <v>61</v>
      </c>
      <c r="B64" s="15"/>
      <c r="C64" s="15"/>
      <c r="D64" s="15"/>
      <c r="E64" s="15"/>
      <c r="F64" s="15"/>
      <c r="G64" s="1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>
      <c r="A65" s="12" t="s">
        <v>62</v>
      </c>
      <c r="B65" s="27">
        <f>B33</f>
        <v>65000</v>
      </c>
      <c r="C65" s="27">
        <f t="shared" ref="C65:G65" si="32">C33</f>
        <v>65000</v>
      </c>
      <c r="D65" s="27">
        <f t="shared" si="32"/>
        <v>50000</v>
      </c>
      <c r="E65" s="27">
        <f t="shared" si="32"/>
        <v>25000</v>
      </c>
      <c r="F65" s="27">
        <f t="shared" si="32"/>
        <v>0</v>
      </c>
      <c r="G65" s="27">
        <f t="shared" si="32"/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>
      <c r="A66" s="5" t="s">
        <v>63</v>
      </c>
      <c r="B66" s="27">
        <f>(B57+B63)-B65</f>
        <v>-47635.759999999995</v>
      </c>
      <c r="C66" s="27">
        <f t="shared" ref="C66:G66" si="33">(C57+C63)-C65</f>
        <v>-64984.499999999985</v>
      </c>
      <c r="D66" s="27">
        <f t="shared" si="33"/>
        <v>-47224.587999999989</v>
      </c>
      <c r="E66" s="27">
        <f t="shared" si="33"/>
        <v>-9514.9119999999839</v>
      </c>
      <c r="F66" s="27">
        <f t="shared" si="33"/>
        <v>39530.046000000002</v>
      </c>
      <c r="G66" s="27">
        <f t="shared" si="33"/>
        <v>90928.645000000004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>
      <c r="A67" s="21"/>
      <c r="B67" s="15"/>
      <c r="C67" s="15"/>
      <c r="D67" s="15"/>
      <c r="E67" s="15"/>
      <c r="F67" s="15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>
      <c r="A68" s="21"/>
      <c r="B68" s="15"/>
      <c r="C68" s="15"/>
      <c r="D68" s="15"/>
      <c r="E68" s="15"/>
      <c r="F68" s="15"/>
      <c r="G68" s="1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>
      <c r="A69" s="21"/>
      <c r="B69" s="15"/>
      <c r="C69" s="15"/>
      <c r="D69" s="15"/>
      <c r="E69" s="15"/>
      <c r="F69" s="15"/>
      <c r="G69" s="1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>
      <c r="A70" s="21"/>
      <c r="B70" s="15"/>
      <c r="C70" s="15"/>
      <c r="D70" s="15"/>
      <c r="E70" s="15"/>
      <c r="F70" s="15"/>
      <c r="G70" s="1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>
      <c r="A71" s="21"/>
      <c r="B71" s="15"/>
      <c r="C71" s="15"/>
      <c r="D71" s="15"/>
      <c r="E71" s="15"/>
      <c r="F71" s="15"/>
      <c r="G71" s="1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>
      <c r="A72" s="22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>
      <c r="A73" s="22"/>
      <c r="B73" s="23"/>
      <c r="C73" s="23"/>
      <c r="D73" s="23"/>
      <c r="E73" s="23"/>
      <c r="F73" s="23"/>
      <c r="G73" s="2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>
      <c r="A74" s="1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conditionalFormatting sqref="B4:G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 for duration of project </vt:lpstr>
      <vt:lpstr>Projections with 50% Renewal</vt:lpstr>
      <vt:lpstr>50% Customer Renewal P&amp;L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Hall</cp:lastModifiedBy>
  <dcterms:created xsi:type="dcterms:W3CDTF">2015-05-28T13:53:01Z</dcterms:created>
  <dcterms:modified xsi:type="dcterms:W3CDTF">2015-05-28T13:53:01Z</dcterms:modified>
</cp:coreProperties>
</file>