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-345" windowWidth="25440" windowHeight="15480"/>
  </bookViews>
  <sheets>
    <sheet name="P&amp;L for duration Of Project " sheetId="11" r:id="rId1"/>
    <sheet name="Projections" sheetId="2" r:id="rId2"/>
    <sheet name="Year 1 Net Profit Sales Revenue" sheetId="9" r:id="rId3"/>
    <sheet name="Net Profit Graph Over time " sheetId="10" r:id="rId4"/>
    <sheet name="Volume of Sales Over time " sheetId="6" r:id="rId5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2" i="11" l="1"/>
  <c r="B42" i="11"/>
  <c r="B43" i="11" s="1"/>
  <c r="B46" i="11" s="1"/>
  <c r="B39" i="11"/>
  <c r="G37" i="11"/>
  <c r="F37" i="11"/>
  <c r="E37" i="11"/>
  <c r="D37" i="11"/>
  <c r="C37" i="11"/>
  <c r="B37" i="11"/>
  <c r="G29" i="11"/>
  <c r="F29" i="11"/>
  <c r="E29" i="11"/>
  <c r="D29" i="11"/>
  <c r="C29" i="11"/>
  <c r="B29" i="11"/>
  <c r="H29" i="11" s="1"/>
  <c r="H28" i="11"/>
  <c r="H27" i="11"/>
  <c r="F24" i="11"/>
  <c r="F7" i="11" s="1"/>
  <c r="F8" i="11" s="1"/>
  <c r="F10" i="11" s="1"/>
  <c r="F12" i="11" s="1"/>
  <c r="F14" i="11" s="1"/>
  <c r="F16" i="11" s="1"/>
  <c r="F49" i="11" s="1"/>
  <c r="B24" i="11"/>
  <c r="H23" i="11"/>
  <c r="H22" i="11"/>
  <c r="G21" i="11"/>
  <c r="G42" i="11" s="1"/>
  <c r="F21" i="11"/>
  <c r="E21" i="11"/>
  <c r="E42" i="11" s="1"/>
  <c r="D21" i="11"/>
  <c r="D42" i="11" s="1"/>
  <c r="C21" i="11"/>
  <c r="C42" i="11" s="1"/>
  <c r="B21" i="11"/>
  <c r="G11" i="11"/>
  <c r="F11" i="11"/>
  <c r="E11" i="11"/>
  <c r="D11" i="11"/>
  <c r="C11" i="11"/>
  <c r="H11" i="11" s="1"/>
  <c r="B11" i="11"/>
  <c r="G9" i="11"/>
  <c r="F9" i="11"/>
  <c r="E9" i="11"/>
  <c r="D9" i="11"/>
  <c r="C9" i="11"/>
  <c r="B9" i="11"/>
  <c r="H9" i="11" s="1"/>
  <c r="H6" i="11"/>
  <c r="H5" i="11"/>
  <c r="H21" i="11" l="1"/>
  <c r="G24" i="11"/>
  <c r="G7" i="11" s="1"/>
  <c r="G8" i="11" s="1"/>
  <c r="G10" i="11" s="1"/>
  <c r="G12" i="11" s="1"/>
  <c r="G14" i="11" s="1"/>
  <c r="G16" i="11" s="1"/>
  <c r="G49" i="11" s="1"/>
  <c r="B7" i="11"/>
  <c r="E24" i="11"/>
  <c r="E7" i="11" s="1"/>
  <c r="E8" i="11" s="1"/>
  <c r="E10" i="11" s="1"/>
  <c r="E12" i="11" s="1"/>
  <c r="E14" i="11" s="1"/>
  <c r="E16" i="11" s="1"/>
  <c r="E49" i="11" s="1"/>
  <c r="C24" i="11"/>
  <c r="C7" i="11" s="1"/>
  <c r="C8" i="11" s="1"/>
  <c r="C10" i="11" s="1"/>
  <c r="C12" i="11" s="1"/>
  <c r="C14" i="11" s="1"/>
  <c r="C16" i="11" s="1"/>
  <c r="C49" i="11" s="1"/>
  <c r="D24" i="11"/>
  <c r="D7" i="11" s="1"/>
  <c r="D8" i="11" s="1"/>
  <c r="D10" i="11" s="1"/>
  <c r="D12" i="11" s="1"/>
  <c r="D14" i="11" s="1"/>
  <c r="D16" i="11" s="1"/>
  <c r="D49" i="11" s="1"/>
  <c r="X15" i="2"/>
  <c r="X14" i="2"/>
  <c r="X13" i="2"/>
  <c r="X12" i="2"/>
  <c r="X11" i="2"/>
  <c r="X10" i="2"/>
  <c r="X9" i="2"/>
  <c r="X8" i="2"/>
  <c r="X7" i="2"/>
  <c r="X6" i="2"/>
  <c r="X5" i="2"/>
  <c r="X4" i="2"/>
  <c r="O34" i="2"/>
  <c r="P34" i="2"/>
  <c r="P77" i="2"/>
  <c r="P80" i="2"/>
  <c r="Q77" i="2"/>
  <c r="Q80" i="2"/>
  <c r="R34" i="2"/>
  <c r="R80" i="2"/>
  <c r="S34" i="2"/>
  <c r="Q34" i="2"/>
  <c r="C34" i="2"/>
  <c r="C28" i="2"/>
  <c r="C36" i="2"/>
  <c r="C45" i="2"/>
  <c r="C47" i="2"/>
  <c r="C50" i="2"/>
  <c r="D39" i="2"/>
  <c r="D34" i="2"/>
  <c r="D28" i="2"/>
  <c r="D36" i="2"/>
  <c r="D45" i="2"/>
  <c r="D12" i="2"/>
  <c r="D13" i="2"/>
  <c r="D21" i="2"/>
  <c r="D44" i="2"/>
  <c r="D47" i="2"/>
  <c r="D50" i="2"/>
  <c r="E39" i="2"/>
  <c r="E34" i="2"/>
  <c r="E28" i="2"/>
  <c r="E36" i="2"/>
  <c r="E45" i="2"/>
  <c r="E47" i="2"/>
  <c r="E50" i="2"/>
  <c r="F39" i="2"/>
  <c r="F34" i="2"/>
  <c r="F28" i="2"/>
  <c r="F36" i="2"/>
  <c r="F45" i="2"/>
  <c r="F47" i="2"/>
  <c r="F50" i="2"/>
  <c r="G39" i="2"/>
  <c r="G34" i="2"/>
  <c r="G28" i="2"/>
  <c r="G36" i="2"/>
  <c r="G45" i="2"/>
  <c r="G47" i="2"/>
  <c r="G50" i="2"/>
  <c r="G74" i="2"/>
  <c r="G78" i="2"/>
  <c r="G82" i="2"/>
  <c r="C74" i="2"/>
  <c r="C78" i="2"/>
  <c r="C82" i="2"/>
  <c r="E56" i="2"/>
  <c r="E58" i="2"/>
  <c r="E60" i="2"/>
  <c r="E63" i="2"/>
  <c r="E65" i="2"/>
  <c r="D56" i="2"/>
  <c r="D55" i="2"/>
  <c r="D58" i="2"/>
  <c r="D60" i="2"/>
  <c r="D63" i="2"/>
  <c r="D65" i="2"/>
  <c r="C56" i="2"/>
  <c r="C58" i="2"/>
  <c r="C60" i="2"/>
  <c r="C63" i="2"/>
  <c r="C65" i="2"/>
  <c r="Q28" i="2"/>
  <c r="Q36" i="2"/>
  <c r="Q56" i="2"/>
  <c r="Q58" i="2"/>
  <c r="Q60" i="2"/>
  <c r="Q62" i="2"/>
  <c r="P28" i="2"/>
  <c r="P36" i="2"/>
  <c r="P56" i="2"/>
  <c r="P58" i="2"/>
  <c r="P60" i="2"/>
  <c r="O28" i="2"/>
  <c r="O36" i="2"/>
  <c r="O56" i="2"/>
  <c r="O58" i="2"/>
  <c r="O60" i="2"/>
  <c r="D59" i="2"/>
  <c r="P59" i="2"/>
  <c r="C55" i="2"/>
  <c r="C49" i="2"/>
  <c r="F44" i="2"/>
  <c r="E44" i="2"/>
  <c r="C44" i="2"/>
  <c r="C39" i="2"/>
  <c r="N34" i="2"/>
  <c r="N28" i="2"/>
  <c r="N36" i="2"/>
  <c r="R28" i="2"/>
  <c r="S28" i="2"/>
  <c r="N27" i="2"/>
  <c r="M26" i="2"/>
  <c r="N25" i="2"/>
  <c r="H24" i="2"/>
  <c r="N24" i="2"/>
  <c r="E21" i="2"/>
  <c r="Q16" i="2"/>
  <c r="P16" i="2"/>
  <c r="P13" i="2"/>
  <c r="Q13" i="2"/>
  <c r="R13" i="2"/>
  <c r="S13" i="2"/>
  <c r="O13" i="2"/>
  <c r="E13" i="2"/>
  <c r="F13" i="2"/>
  <c r="G13" i="2"/>
  <c r="H13" i="2"/>
  <c r="I13" i="2"/>
  <c r="J13" i="2"/>
  <c r="K13" i="2"/>
  <c r="L13" i="2"/>
  <c r="M12" i="2"/>
  <c r="M13" i="2"/>
  <c r="N13" i="2"/>
  <c r="C13" i="2"/>
  <c r="B13" i="2"/>
  <c r="E12" i="2"/>
  <c r="F12" i="2"/>
  <c r="G12" i="2"/>
  <c r="J12" i="2"/>
  <c r="K12" i="2"/>
  <c r="L12" i="2"/>
  <c r="N12" i="2"/>
  <c r="O12" i="2"/>
  <c r="P11" i="2"/>
  <c r="Q11" i="2"/>
  <c r="R11" i="2"/>
  <c r="S11" i="2"/>
  <c r="S12" i="2"/>
  <c r="R12" i="2"/>
  <c r="Q12" i="2"/>
  <c r="P12" i="2"/>
  <c r="C21" i="2"/>
  <c r="B21" i="2"/>
  <c r="B44" i="2"/>
  <c r="B47" i="2"/>
  <c r="B55" i="2"/>
  <c r="B58" i="2"/>
  <c r="B60" i="2"/>
  <c r="B62" i="2"/>
  <c r="B49" i="2"/>
  <c r="B50" i="2"/>
  <c r="D17" i="2"/>
  <c r="D18" i="2"/>
  <c r="F17" i="2"/>
  <c r="F18" i="2"/>
  <c r="F21" i="2"/>
  <c r="G17" i="2"/>
  <c r="G18" i="2"/>
  <c r="G21" i="2"/>
  <c r="G44" i="2"/>
  <c r="H39" i="2"/>
  <c r="H17" i="2"/>
  <c r="H18" i="2"/>
  <c r="H21" i="2"/>
  <c r="H44" i="2"/>
  <c r="H34" i="2"/>
  <c r="H28" i="2"/>
  <c r="H36" i="2"/>
  <c r="H45" i="2"/>
  <c r="H47" i="2"/>
  <c r="H50" i="2"/>
  <c r="I39" i="2"/>
  <c r="I17" i="2"/>
  <c r="I18" i="2"/>
  <c r="I21" i="2"/>
  <c r="I44" i="2"/>
  <c r="I28" i="2"/>
  <c r="I34" i="2"/>
  <c r="I36" i="2"/>
  <c r="I45" i="2"/>
  <c r="I47" i="2"/>
  <c r="I50" i="2"/>
  <c r="J39" i="2"/>
  <c r="J17" i="2"/>
  <c r="J18" i="2"/>
  <c r="J21" i="2"/>
  <c r="J44" i="2"/>
  <c r="J34" i="2"/>
  <c r="J28" i="2"/>
  <c r="J36" i="2"/>
  <c r="J45" i="2"/>
  <c r="J47" i="2"/>
  <c r="J50" i="2"/>
  <c r="K39" i="2"/>
  <c r="K17" i="2"/>
  <c r="K18" i="2"/>
  <c r="K21" i="2"/>
  <c r="K44" i="2"/>
  <c r="K28" i="2"/>
  <c r="K34" i="2"/>
  <c r="K36" i="2"/>
  <c r="K45" i="2"/>
  <c r="K47" i="2"/>
  <c r="K50" i="2"/>
  <c r="L39" i="2"/>
  <c r="L17" i="2"/>
  <c r="L18" i="2"/>
  <c r="L21" i="2"/>
  <c r="L44" i="2"/>
  <c r="L34" i="2"/>
  <c r="L28" i="2"/>
  <c r="L36" i="2"/>
  <c r="L45" i="2"/>
  <c r="L47" i="2"/>
  <c r="L50" i="2"/>
  <c r="M39" i="2"/>
  <c r="M17" i="2"/>
  <c r="M18" i="2"/>
  <c r="M21" i="2"/>
  <c r="M44" i="2"/>
  <c r="M28" i="2"/>
  <c r="M34" i="2"/>
  <c r="M36" i="2"/>
  <c r="M45" i="2"/>
  <c r="M47" i="2"/>
  <c r="M50" i="2"/>
  <c r="N39" i="2"/>
  <c r="D74" i="2"/>
  <c r="D78" i="2"/>
  <c r="D82" i="2"/>
  <c r="E74" i="2"/>
  <c r="E78" i="2"/>
  <c r="E82" i="2"/>
  <c r="F74" i="2"/>
  <c r="F78" i="2"/>
  <c r="F82" i="2"/>
  <c r="H74" i="2"/>
  <c r="H78" i="2"/>
  <c r="H82" i="2"/>
  <c r="I74" i="2"/>
  <c r="I78" i="2"/>
  <c r="I82" i="2"/>
  <c r="J74" i="2"/>
  <c r="J78" i="2"/>
  <c r="J82" i="2"/>
  <c r="K74" i="2"/>
  <c r="K78" i="2"/>
  <c r="K82" i="2"/>
  <c r="L74" i="2"/>
  <c r="L78" i="2"/>
  <c r="L82" i="2"/>
  <c r="M74" i="2"/>
  <c r="M78" i="2"/>
  <c r="M82" i="2"/>
  <c r="N17" i="2"/>
  <c r="N18" i="2"/>
  <c r="N21" i="2"/>
  <c r="N44" i="2"/>
  <c r="N45" i="2"/>
  <c r="N47" i="2"/>
  <c r="N50" i="2"/>
  <c r="N74" i="2"/>
  <c r="N78" i="2"/>
  <c r="N82" i="2"/>
  <c r="B74" i="2"/>
  <c r="B78" i="2"/>
  <c r="B82" i="2"/>
  <c r="E55" i="2"/>
  <c r="F55" i="2"/>
  <c r="F56" i="2"/>
  <c r="F58" i="2"/>
  <c r="F60" i="2"/>
  <c r="F63" i="2"/>
  <c r="F65" i="2"/>
  <c r="G55" i="2"/>
  <c r="G56" i="2"/>
  <c r="G58" i="2"/>
  <c r="G60" i="2"/>
  <c r="G63" i="2"/>
  <c r="G65" i="2"/>
  <c r="H55" i="2"/>
  <c r="H56" i="2"/>
  <c r="H58" i="2"/>
  <c r="H60" i="2"/>
  <c r="H63" i="2"/>
  <c r="H65" i="2"/>
  <c r="I55" i="2"/>
  <c r="I56" i="2"/>
  <c r="I58" i="2"/>
  <c r="I60" i="2"/>
  <c r="I63" i="2"/>
  <c r="I65" i="2"/>
  <c r="J55" i="2"/>
  <c r="J56" i="2"/>
  <c r="J58" i="2"/>
  <c r="J60" i="2"/>
  <c r="J63" i="2"/>
  <c r="J65" i="2"/>
  <c r="K55" i="2"/>
  <c r="K56" i="2"/>
  <c r="K58" i="2"/>
  <c r="K60" i="2"/>
  <c r="K63" i="2"/>
  <c r="K65" i="2"/>
  <c r="L55" i="2"/>
  <c r="L56" i="2"/>
  <c r="L58" i="2"/>
  <c r="L60" i="2"/>
  <c r="L63" i="2"/>
  <c r="L65" i="2"/>
  <c r="M55" i="2"/>
  <c r="M56" i="2"/>
  <c r="M58" i="2"/>
  <c r="M60" i="2"/>
  <c r="M63" i="2"/>
  <c r="M65" i="2"/>
  <c r="N55" i="2"/>
  <c r="N56" i="2"/>
  <c r="N58" i="2"/>
  <c r="N60" i="2"/>
  <c r="N63" i="2"/>
  <c r="N65" i="2"/>
  <c r="B63" i="2"/>
  <c r="B65" i="2"/>
  <c r="C59" i="2"/>
  <c r="E59" i="2"/>
  <c r="F59" i="2"/>
  <c r="G59" i="2"/>
  <c r="H59" i="2"/>
  <c r="I59" i="2"/>
  <c r="J59" i="2"/>
  <c r="K59" i="2"/>
  <c r="L59" i="2"/>
  <c r="M59" i="2"/>
  <c r="N59" i="2"/>
  <c r="B59" i="2"/>
  <c r="B56" i="2"/>
  <c r="O17" i="2"/>
  <c r="N49" i="2"/>
  <c r="M49" i="2"/>
  <c r="L49" i="2"/>
  <c r="K49" i="2"/>
  <c r="J49" i="2"/>
  <c r="I49" i="2"/>
  <c r="H49" i="2"/>
  <c r="G49" i="2"/>
  <c r="F49" i="2"/>
  <c r="E49" i="2"/>
  <c r="D49" i="2"/>
  <c r="N30" i="2"/>
  <c r="M30" i="2"/>
  <c r="L30" i="2"/>
  <c r="K30" i="2"/>
  <c r="J30" i="2"/>
  <c r="I30" i="2"/>
  <c r="H30" i="2"/>
  <c r="G30" i="2"/>
  <c r="F30" i="2"/>
  <c r="E30" i="2"/>
  <c r="D30" i="2"/>
  <c r="C30" i="2"/>
  <c r="M27" i="2"/>
  <c r="L27" i="2"/>
  <c r="K27" i="2"/>
  <c r="J27" i="2"/>
  <c r="I27" i="2"/>
  <c r="H27" i="2"/>
  <c r="G27" i="2"/>
  <c r="F27" i="2"/>
  <c r="E27" i="2"/>
  <c r="D27" i="2"/>
  <c r="C27" i="2"/>
  <c r="N26" i="2"/>
  <c r="L26" i="2"/>
  <c r="K26" i="2"/>
  <c r="J26" i="2"/>
  <c r="I26" i="2"/>
  <c r="H26" i="2"/>
  <c r="G26" i="2"/>
  <c r="F26" i="2"/>
  <c r="E26" i="2"/>
  <c r="D26" i="2"/>
  <c r="C26" i="2"/>
  <c r="M25" i="2"/>
  <c r="L25" i="2"/>
  <c r="K25" i="2"/>
  <c r="J25" i="2"/>
  <c r="I25" i="2"/>
  <c r="H25" i="2"/>
  <c r="G25" i="2"/>
  <c r="F25" i="2"/>
  <c r="E25" i="2"/>
  <c r="D25" i="2"/>
  <c r="C25" i="2"/>
  <c r="M24" i="2"/>
  <c r="L24" i="2"/>
  <c r="K24" i="2"/>
  <c r="J24" i="2"/>
  <c r="I24" i="2"/>
  <c r="G24" i="2"/>
  <c r="F24" i="2"/>
  <c r="E24" i="2"/>
  <c r="D24" i="2"/>
  <c r="C24" i="2"/>
  <c r="E17" i="2"/>
  <c r="E18" i="2"/>
  <c r="C18" i="2"/>
  <c r="N19" i="2"/>
  <c r="M19" i="2"/>
  <c r="L19" i="2"/>
  <c r="K19" i="2"/>
  <c r="J19" i="2"/>
  <c r="I12" i="2"/>
  <c r="I19" i="2"/>
  <c r="H12" i="2"/>
  <c r="H19" i="2"/>
  <c r="G19" i="2"/>
  <c r="F19" i="2"/>
  <c r="E19" i="2"/>
  <c r="D19" i="2"/>
  <c r="C12" i="2"/>
  <c r="C19" i="2"/>
  <c r="N8" i="2"/>
  <c r="M8" i="2"/>
  <c r="L8" i="2"/>
  <c r="K8" i="2"/>
  <c r="J8" i="2"/>
  <c r="I8" i="2"/>
  <c r="H8" i="2"/>
  <c r="G8" i="2"/>
  <c r="F8" i="2"/>
  <c r="E8" i="2"/>
  <c r="D8" i="2"/>
  <c r="C8" i="2"/>
  <c r="O11" i="2"/>
  <c r="O19" i="2"/>
  <c r="P17" i="2"/>
  <c r="P19" i="2"/>
  <c r="Q17" i="2"/>
  <c r="Q19" i="2"/>
  <c r="R16" i="2"/>
  <c r="R17" i="2"/>
  <c r="R19" i="2"/>
  <c r="S16" i="2"/>
  <c r="S17" i="2"/>
  <c r="S19" i="2"/>
  <c r="B12" i="2"/>
  <c r="B19" i="2"/>
  <c r="O24" i="2"/>
  <c r="O25" i="2"/>
  <c r="O26" i="2"/>
  <c r="O30" i="2"/>
  <c r="B80" i="2"/>
  <c r="V62" i="2"/>
  <c r="O59" i="2"/>
  <c r="O77" i="2"/>
  <c r="O80" i="2"/>
  <c r="Q59" i="2"/>
  <c r="R59" i="2"/>
  <c r="R77" i="2"/>
  <c r="S59" i="2"/>
  <c r="V57" i="2"/>
  <c r="V58" i="2"/>
  <c r="V60" i="2"/>
  <c r="O8" i="2"/>
  <c r="S77" i="2"/>
  <c r="S80" i="2"/>
  <c r="B24" i="2"/>
  <c r="B25" i="2"/>
  <c r="B26" i="2"/>
  <c r="B36" i="2"/>
  <c r="O18" i="2"/>
  <c r="O21" i="2"/>
  <c r="O55" i="2"/>
  <c r="P18" i="2"/>
  <c r="P8" i="2"/>
  <c r="Q8" i="2"/>
  <c r="R8" i="2"/>
  <c r="S8" i="2"/>
  <c r="P26" i="2"/>
  <c r="Q26" i="2"/>
  <c r="R26" i="2"/>
  <c r="S26" i="2"/>
  <c r="S25" i="2"/>
  <c r="R25" i="2"/>
  <c r="Q25" i="2"/>
  <c r="P25" i="2"/>
  <c r="S24" i="2"/>
  <c r="R24" i="2"/>
  <c r="Q24" i="2"/>
  <c r="P24" i="2"/>
  <c r="Q18" i="2"/>
  <c r="P21" i="2"/>
  <c r="P55" i="2"/>
  <c r="O44" i="2"/>
  <c r="B45" i="2"/>
  <c r="O39" i="2"/>
  <c r="S30" i="2"/>
  <c r="Q30" i="2"/>
  <c r="R30" i="2"/>
  <c r="P30" i="2"/>
  <c r="R18" i="2"/>
  <c r="S18" i="2"/>
  <c r="Q21" i="2"/>
  <c r="Q55" i="2"/>
  <c r="P44" i="2"/>
  <c r="P45" i="2"/>
  <c r="P62" i="2"/>
  <c r="Q44" i="2"/>
  <c r="R21" i="2"/>
  <c r="R55" i="2"/>
  <c r="S21" i="2"/>
  <c r="S55" i="2"/>
  <c r="Q45" i="2"/>
  <c r="O45" i="2"/>
  <c r="S44" i="2"/>
  <c r="R44" i="2"/>
  <c r="S36" i="2"/>
  <c r="P49" i="2"/>
  <c r="P47" i="2"/>
  <c r="Q47" i="2"/>
  <c r="R36" i="2"/>
  <c r="R56" i="2"/>
  <c r="S45" i="2"/>
  <c r="S56" i="2"/>
  <c r="R45" i="2"/>
  <c r="Q49" i="2"/>
  <c r="O47" i="2"/>
  <c r="O62" i="2"/>
  <c r="R47" i="2"/>
  <c r="Q63" i="2"/>
  <c r="Q65" i="2"/>
  <c r="O49" i="2"/>
  <c r="O50" i="2"/>
  <c r="O74" i="2"/>
  <c r="S47" i="2"/>
  <c r="P63" i="2"/>
  <c r="P65" i="2"/>
  <c r="S58" i="2"/>
  <c r="S60" i="2"/>
  <c r="S62" i="2"/>
  <c r="R58" i="2"/>
  <c r="R60" i="2"/>
  <c r="R62" i="2"/>
  <c r="O78" i="2"/>
  <c r="O82" i="2"/>
  <c r="O63" i="2"/>
  <c r="O65" i="2"/>
  <c r="R49" i="2"/>
  <c r="S49" i="2"/>
  <c r="P39" i="2"/>
  <c r="P50" i="2"/>
  <c r="P74" i="2"/>
  <c r="P78" i="2"/>
  <c r="P82" i="2"/>
  <c r="S63" i="2"/>
  <c r="S65" i="2"/>
  <c r="R63" i="2"/>
  <c r="R65" i="2"/>
  <c r="Q39" i="2"/>
  <c r="Q50" i="2"/>
  <c r="R39" i="2"/>
  <c r="R50" i="2"/>
  <c r="S39" i="2"/>
  <c r="S50" i="2"/>
  <c r="Q74" i="2"/>
  <c r="Q78" i="2"/>
  <c r="Q82" i="2"/>
  <c r="S74" i="2"/>
  <c r="R74" i="2"/>
  <c r="R78" i="2"/>
  <c r="R82" i="2"/>
  <c r="S78" i="2"/>
  <c r="S82" i="2"/>
  <c r="B8" i="11" l="1"/>
  <c r="H7" i="11"/>
  <c r="H24" i="11"/>
  <c r="B10" i="11" l="1"/>
  <c r="H8" i="11"/>
  <c r="B12" i="11" l="1"/>
  <c r="H10" i="11"/>
  <c r="H12" i="11" l="1"/>
  <c r="B14" i="11"/>
  <c r="B16" i="11" l="1"/>
  <c r="H14" i="11"/>
  <c r="B49" i="11" l="1"/>
  <c r="H16" i="11"/>
  <c r="C39" i="11"/>
  <c r="D39" i="11" l="1"/>
  <c r="C43" i="11"/>
  <c r="C46" i="11" s="1"/>
  <c r="B51" i="11"/>
  <c r="C51" i="11" s="1"/>
  <c r="D51" i="11" s="1"/>
  <c r="E51" i="11" s="1"/>
  <c r="F51" i="11" s="1"/>
  <c r="G51" i="11" s="1"/>
  <c r="H49" i="11"/>
  <c r="E39" i="11" l="1"/>
  <c r="D43" i="11"/>
  <c r="D46" i="11" s="1"/>
  <c r="F39" i="11" l="1"/>
  <c r="E43" i="11"/>
  <c r="E46" i="11" s="1"/>
  <c r="G39" i="11" l="1"/>
  <c r="G43" i="11" s="1"/>
  <c r="G46" i="11" s="1"/>
  <c r="F43" i="11"/>
  <c r="F46" i="11" s="1"/>
</calcChain>
</file>

<file path=xl/sharedStrings.xml><?xml version="1.0" encoding="utf-8"?>
<sst xmlns="http://schemas.openxmlformats.org/spreadsheetml/2006/main" count="140" uniqueCount="120">
  <si>
    <t xml:space="preserve">Cash Flow </t>
  </si>
  <si>
    <t>Year 0</t>
  </si>
  <si>
    <t>Year 1</t>
  </si>
  <si>
    <t>Year 2</t>
  </si>
  <si>
    <t>Year 3</t>
  </si>
  <si>
    <t>Year 4</t>
  </si>
  <si>
    <t>% Customers renew</t>
  </si>
  <si>
    <t xml:space="preserve">Revenue on Media Sold Media Handlers </t>
  </si>
  <si>
    <t xml:space="preserve">Tax </t>
  </si>
  <si>
    <t xml:space="preserve">Rent </t>
  </si>
  <si>
    <t xml:space="preserve">Utilities </t>
  </si>
  <si>
    <t xml:space="preserve">Fixed Assets </t>
  </si>
  <si>
    <t xml:space="preserve">Tangible </t>
  </si>
  <si>
    <t xml:space="preserve">Total Fixed Assets </t>
  </si>
  <si>
    <t xml:space="preserve">Current assest </t>
  </si>
  <si>
    <t xml:space="preserve">Debtors </t>
  </si>
  <si>
    <t xml:space="preserve">Current liabalities </t>
  </si>
  <si>
    <t xml:space="preserve">Creditors </t>
  </si>
  <si>
    <t>Infrastructure Cost</t>
  </si>
  <si>
    <t>Net current assets</t>
  </si>
  <si>
    <t xml:space="preserve">Labour cost </t>
  </si>
  <si>
    <t xml:space="preserve">Long term Liabilities </t>
  </si>
  <si>
    <t xml:space="preserve">Bank loan </t>
  </si>
  <si>
    <t xml:space="preserve">Net Assets </t>
  </si>
  <si>
    <t xml:space="preserve">Cost Of Media Handlers </t>
  </si>
  <si>
    <t xml:space="preserve">Interest </t>
  </si>
  <si>
    <t>Advertising Cost</t>
  </si>
  <si>
    <t>Server costs</t>
  </si>
  <si>
    <t xml:space="preserve">Misc expenses </t>
  </si>
  <si>
    <t xml:space="preserve">Opening Balance </t>
  </si>
  <si>
    <t xml:space="preserve">Cash in </t>
  </si>
  <si>
    <t>Cash out</t>
  </si>
  <si>
    <t xml:space="preserve">Closing Balance </t>
  </si>
  <si>
    <t xml:space="preserve">Profit and Loss </t>
  </si>
  <si>
    <t xml:space="preserve">Profit after Tax </t>
  </si>
  <si>
    <t xml:space="preserve">Net Profit </t>
  </si>
  <si>
    <t xml:space="preserve">Financial </t>
  </si>
  <si>
    <t>Tax</t>
  </si>
  <si>
    <t>Year 5</t>
  </si>
  <si>
    <t>Yearly Profit and Loss Projection</t>
  </si>
  <si>
    <t>Predicted Sales Volume to Returning Teachers</t>
  </si>
  <si>
    <t>Predicted Sales Volume to Teachers</t>
  </si>
  <si>
    <t>Predicted Sales Volume to Tutors</t>
  </si>
  <si>
    <t>Predicted Sales Volume to Returning Tutors</t>
  </si>
  <si>
    <t>Selling Prices</t>
  </si>
  <si>
    <t>Business</t>
  </si>
  <si>
    <t>Total Predicted Volume of Sales  to Teachers</t>
  </si>
  <si>
    <t>Group Sales (Assumed Teachers)</t>
  </si>
  <si>
    <t>Single Sales (Assumed Tutors)</t>
  </si>
  <si>
    <t>Total Predicted Volume of Sales  to Tutors</t>
  </si>
  <si>
    <t>Income Prediction for Tutors</t>
  </si>
  <si>
    <t>Income Prediction for Teachers</t>
  </si>
  <si>
    <t>Selling Price of Single Purchase Software</t>
  </si>
  <si>
    <t>Selling Price of Group Purchase Software (20 plus)</t>
  </si>
  <si>
    <t>Overheads</t>
  </si>
  <si>
    <t xml:space="preserve">Variable </t>
  </si>
  <si>
    <t>Other</t>
  </si>
  <si>
    <t>Cash Flow before Tax</t>
  </si>
  <si>
    <t>Profit Before Interest and Tax</t>
  </si>
  <si>
    <t>Profit Before Tax</t>
  </si>
  <si>
    <t>Balance Sheet at End of Year</t>
  </si>
  <si>
    <t>Cash in Hand and at Bank</t>
  </si>
  <si>
    <t>Expenditure (not including loan repayments)</t>
  </si>
  <si>
    <t>Revenue (not including loan received)</t>
  </si>
  <si>
    <t>Cash Out</t>
  </si>
  <si>
    <t>Cash In</t>
  </si>
  <si>
    <t>Total Pre-Tax Expenditure</t>
  </si>
  <si>
    <t>Totals</t>
  </si>
  <si>
    <t>Loan in</t>
  </si>
  <si>
    <t>Loan out</t>
  </si>
  <si>
    <t xml:space="preserve">Group Discount rate </t>
  </si>
  <si>
    <t xml:space="preserve">Break even Analysis </t>
  </si>
  <si>
    <t xml:space="preserve">Variable cost </t>
  </si>
  <si>
    <t xml:space="preserve">Fixed costs </t>
  </si>
  <si>
    <t xml:space="preserve">Selling price </t>
  </si>
  <si>
    <t>Volume to break even</t>
  </si>
  <si>
    <t xml:space="preserve">Minimum Cost per product </t>
  </si>
  <si>
    <t xml:space="preserve">Total Volume of Sales </t>
  </si>
  <si>
    <t xml:space="preserve">Month 1 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</si>
  <si>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</si>
  <si>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</si>
  <si>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</si>
  <si>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</si>
  <si>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</si>
  <si>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</si>
  <si>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</si>
  <si>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</si>
  <si>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</si>
  <si>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</si>
  <si>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</si>
  <si>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Sales Revenue</t>
  </si>
  <si>
    <t>TES Advertising Cost</t>
  </si>
  <si>
    <t>AdWords Advertising Cost</t>
  </si>
  <si>
    <t>P&amp;L Account for Sofia from Janurary to June 2015</t>
  </si>
  <si>
    <t xml:space="preserve">Janurary </t>
  </si>
  <si>
    <t xml:space="preserve">Feburary </t>
  </si>
  <si>
    <t xml:space="preserve">March </t>
  </si>
  <si>
    <t xml:space="preserve">April </t>
  </si>
  <si>
    <t xml:space="preserve">May </t>
  </si>
  <si>
    <t xml:space="preserve">June </t>
  </si>
  <si>
    <t>Total</t>
  </si>
  <si>
    <t xml:space="preserve">Sales </t>
  </si>
  <si>
    <t xml:space="preserve">Cost of sales </t>
  </si>
  <si>
    <t xml:space="preserve">Gross Profit </t>
  </si>
  <si>
    <t xml:space="preserve">Overheads </t>
  </si>
  <si>
    <t xml:space="preserve">Profit Before Interest and tax </t>
  </si>
  <si>
    <t xml:space="preserve">interest </t>
  </si>
  <si>
    <t xml:space="preserve">Profit After interest </t>
  </si>
  <si>
    <t xml:space="preserve">Profit after tax </t>
  </si>
  <si>
    <t xml:space="preserve">Net profit </t>
  </si>
  <si>
    <t xml:space="preserve">Cost Of sales </t>
  </si>
  <si>
    <t xml:space="preserve">Labour </t>
  </si>
  <si>
    <t xml:space="preserve">Infrastructure used </t>
  </si>
  <si>
    <t xml:space="preserve">Media Handler purchased </t>
  </si>
  <si>
    <t xml:space="preserve">Total </t>
  </si>
  <si>
    <t xml:space="preserve">Balance sheet </t>
  </si>
  <si>
    <t>Cash</t>
  </si>
  <si>
    <t xml:space="preserve">Loan </t>
  </si>
  <si>
    <t xml:space="preserve">Profit &amp; loss Account </t>
  </si>
  <si>
    <t xml:space="preserve">Closing Bank Balance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</si>
</sst>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£&quot;* #,##0.00_-;\-&quot;£&quot;* #,##0.00_-;_-&quot;£&quot;* &quot;-&quot;??_-;_-@_-"/>
    <numFmt numFmtId="164" formatCode="_-&quot;£&quot;* #,##0.00_-;\-&quot;£&quot;* #,##0.00_-;_-&quot;£&quot;* &quot;-&quot;??_-;_-@"/>
    <numFmt numFmtId="165" formatCode="_(&quot;£&quot;* #,##0.00_);_(&quot;£&quot;* \(#,##0.00\);_(&quot;£&quot;* &quot;-&quot;??_);_(@_)"/>
    <numFmt numFmtId="166" formatCode="&quot;£&quot;#,##0.00"/>
  </numFmts>
  <fonts count="15" x14ac:knownFonts="1">
    <font>
      <sz val="11"/>
      <color rgb="FF000000"/>
      <name val="Calibri"/>
    </font>
    <font>
      <u/>
      <sz val="11"/>
      <color theme="10"/>
      <name val="Calibri"/>
    </font>
    <font>
      <u/>
      <sz val="11"/>
      <color theme="11"/>
      <name val="Calibri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16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2"/>
      <color rgb="FF000000"/>
      <name val="Cambria"/>
    </font>
    <font>
      <b/>
      <sz val="12"/>
      <color rgb="FF000000"/>
      <name val="Arial"/>
    </font>
    <font>
      <b/>
      <sz val="11"/>
      <color rgb="FF000000"/>
      <name val="Cambria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rgb="FF000000"/>
      </left>
      <right style="thick">
        <color auto="1"/>
      </right>
      <top/>
      <bottom/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 style="thick">
        <color indexed="64"/>
      </right>
      <top/>
      <bottom/>
      <diagonal/>
    </border>
    <border>
      <left style="thick">
        <color auto="1"/>
      </left>
      <right style="thick">
        <color indexed="64"/>
      </right>
      <top/>
      <bottom style="thick">
        <color auto="1"/>
      </bottom>
      <diagonal/>
    </border>
    <border>
      <left style="thick">
        <color auto="1"/>
      </left>
      <right style="thick">
        <color indexed="64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indexed="64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indexed="64"/>
      </right>
      <top/>
      <bottom style="medium">
        <color auto="1"/>
      </bottom>
      <diagonal/>
    </border>
    <border>
      <left style="thick">
        <color auto="1"/>
      </left>
      <right style="thick">
        <color indexed="64"/>
      </right>
      <top style="medium">
        <color auto="1"/>
      </top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n">
        <color rgb="FF000000"/>
      </left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4">
    <xf numFmtId="0" fontId="0" fillId="0" borderId="0" xfId="0" applyFont="1" applyAlignment="1"/>
    <xf numFmtId="0" fontId="4" fillId="0" borderId="3" xfId="0" applyFont="1" applyBorder="1" applyAlignment="1"/>
    <xf numFmtId="0" fontId="4" fillId="0" borderId="0" xfId="0" applyFont="1" applyAlignment="1"/>
    <xf numFmtId="0" fontId="4" fillId="0" borderId="0" xfId="0" applyFont="1"/>
    <xf numFmtId="0" fontId="6" fillId="3" borderId="2" xfId="0" applyFont="1" applyFill="1" applyBorder="1"/>
    <xf numFmtId="0" fontId="4" fillId="3" borderId="0" xfId="0" applyFont="1" applyFill="1"/>
    <xf numFmtId="0" fontId="4" fillId="0" borderId="2" xfId="0" applyFont="1" applyBorder="1"/>
    <xf numFmtId="165" fontId="4" fillId="0" borderId="0" xfId="0" applyNumberFormat="1" applyFont="1"/>
    <xf numFmtId="9" fontId="4" fillId="0" borderId="0" xfId="0" applyNumberFormat="1" applyFont="1"/>
    <xf numFmtId="0" fontId="4" fillId="0" borderId="8" xfId="0" applyFont="1" applyBorder="1"/>
    <xf numFmtId="165" fontId="4" fillId="0" borderId="7" xfId="0" applyNumberFormat="1" applyFont="1" applyBorder="1"/>
    <xf numFmtId="165" fontId="4" fillId="3" borderId="0" xfId="0" applyNumberFormat="1" applyFont="1" applyFill="1"/>
    <xf numFmtId="0" fontId="4" fillId="0" borderId="0" xfId="0" applyNumberFormat="1" applyFont="1"/>
    <xf numFmtId="3" fontId="4" fillId="0" borderId="0" xfId="0" applyNumberFormat="1" applyFont="1"/>
    <xf numFmtId="1" fontId="4" fillId="0" borderId="0" xfId="0" applyNumberFormat="1" applyFont="1"/>
    <xf numFmtId="0" fontId="6" fillId="0" borderId="2" xfId="0" applyFont="1" applyBorder="1"/>
    <xf numFmtId="165" fontId="6" fillId="0" borderId="0" xfId="0" applyNumberFormat="1" applyFont="1"/>
    <xf numFmtId="0" fontId="4" fillId="0" borderId="4" xfId="0" applyFont="1" applyBorder="1"/>
    <xf numFmtId="165" fontId="7" fillId="0" borderId="0" xfId="0" applyNumberFormat="1" applyFont="1"/>
    <xf numFmtId="165" fontId="3" fillId="0" borderId="0" xfId="0" applyNumberFormat="1" applyFont="1"/>
    <xf numFmtId="165" fontId="4" fillId="0" borderId="1" xfId="0" applyNumberFormat="1" applyFont="1" applyBorder="1"/>
    <xf numFmtId="164" fontId="4" fillId="0" borderId="0" xfId="0" applyNumberFormat="1" applyFont="1"/>
    <xf numFmtId="0" fontId="7" fillId="0" borderId="2" xfId="0" applyFont="1" applyBorder="1"/>
    <xf numFmtId="0" fontId="8" fillId="0" borderId="2" xfId="0" applyFont="1" applyBorder="1"/>
    <xf numFmtId="165" fontId="7" fillId="0" borderId="7" xfId="0" applyNumberFormat="1" applyFont="1" applyBorder="1"/>
    <xf numFmtId="0" fontId="3" fillId="0" borderId="0" xfId="0" applyFont="1"/>
    <xf numFmtId="164" fontId="3" fillId="0" borderId="0" xfId="0" applyNumberFormat="1" applyFont="1"/>
    <xf numFmtId="0" fontId="6" fillId="2" borderId="10" xfId="0" applyFont="1" applyFill="1" applyBorder="1"/>
    <xf numFmtId="0" fontId="4" fillId="2" borderId="9" xfId="0" applyFont="1" applyFill="1" applyBorder="1"/>
    <xf numFmtId="0" fontId="5" fillId="4" borderId="6" xfId="0" applyFont="1" applyFill="1" applyBorder="1"/>
    <xf numFmtId="0" fontId="6" fillId="2" borderId="2" xfId="0" applyFont="1" applyFill="1" applyBorder="1"/>
    <xf numFmtId="165" fontId="3" fillId="2" borderId="0" xfId="0" applyNumberFormat="1" applyFont="1" applyFill="1"/>
    <xf numFmtId="165" fontId="8" fillId="0" borderId="0" xfId="0" applyNumberFormat="1" applyFont="1"/>
    <xf numFmtId="0" fontId="6" fillId="0" borderId="8" xfId="0" applyFont="1" applyBorder="1"/>
    <xf numFmtId="165" fontId="6" fillId="0" borderId="7" xfId="0" applyNumberFormat="1" applyFont="1" applyBorder="1"/>
    <xf numFmtId="165" fontId="4" fillId="2" borderId="9" xfId="0" applyNumberFormat="1" applyFont="1" applyFill="1" applyBorder="1"/>
    <xf numFmtId="0" fontId="6" fillId="0" borderId="2" xfId="0" applyFont="1" applyFill="1" applyBorder="1"/>
    <xf numFmtId="165" fontId="4" fillId="0" borderId="0" xfId="0" applyNumberFormat="1" applyFont="1" applyFill="1"/>
    <xf numFmtId="0" fontId="4" fillId="3" borderId="0" xfId="0" applyFont="1" applyFill="1" applyAlignment="1"/>
    <xf numFmtId="0" fontId="6" fillId="3" borderId="2" xfId="0" applyFont="1" applyFill="1" applyBorder="1" applyAlignment="1"/>
    <xf numFmtId="0" fontId="4" fillId="0" borderId="2" xfId="0" applyFont="1" applyBorder="1" applyAlignment="1"/>
    <xf numFmtId="0" fontId="6" fillId="0" borderId="8" xfId="0" applyFont="1" applyFill="1" applyBorder="1" applyAlignment="1"/>
    <xf numFmtId="0" fontId="6" fillId="0" borderId="0" xfId="0" applyFont="1"/>
    <xf numFmtId="0" fontId="6" fillId="0" borderId="0" xfId="0" applyFont="1" applyAlignment="1"/>
    <xf numFmtId="0" fontId="6" fillId="0" borderId="1" xfId="0" applyFont="1" applyBorder="1"/>
    <xf numFmtId="0" fontId="9" fillId="0" borderId="1" xfId="0" applyFont="1" applyBorder="1"/>
    <xf numFmtId="0" fontId="6" fillId="2" borderId="11" xfId="0" applyFont="1" applyFill="1" applyBorder="1"/>
    <xf numFmtId="165" fontId="4" fillId="2" borderId="12" xfId="0" applyNumberFormat="1" applyFont="1" applyFill="1" applyBorder="1"/>
    <xf numFmtId="0" fontId="6" fillId="0" borderId="0" xfId="0" applyFont="1" applyBorder="1"/>
    <xf numFmtId="0" fontId="8" fillId="0" borderId="0" xfId="0" applyFont="1" applyBorder="1"/>
    <xf numFmtId="165" fontId="8" fillId="0" borderId="7" xfId="0" applyNumberFormat="1" applyFont="1" applyBorder="1"/>
    <xf numFmtId="0" fontId="6" fillId="0" borderId="2" xfId="0" applyNumberFormat="1" applyFont="1" applyBorder="1"/>
    <xf numFmtId="166" fontId="4" fillId="0" borderId="0" xfId="0" applyNumberFormat="1" applyFont="1"/>
    <xf numFmtId="44" fontId="4" fillId="0" borderId="0" xfId="0" applyNumberFormat="1" applyFont="1"/>
    <xf numFmtId="165" fontId="6" fillId="0" borderId="7" xfId="0" applyNumberFormat="1" applyFont="1" applyBorder="1" applyAlignment="1"/>
    <xf numFmtId="0" fontId="10" fillId="4" borderId="6" xfId="0" applyFont="1" applyFill="1" applyBorder="1"/>
    <xf numFmtId="0" fontId="7" fillId="4" borderId="5" xfId="0" applyFont="1" applyFill="1" applyBorder="1"/>
    <xf numFmtId="165" fontId="4" fillId="4" borderId="5" xfId="0" applyNumberFormat="1" applyFont="1" applyFill="1" applyBorder="1"/>
    <xf numFmtId="0" fontId="11" fillId="0" borderId="0" xfId="0" applyFont="1"/>
    <xf numFmtId="9" fontId="11" fillId="0" borderId="0" xfId="0" applyNumberFormat="1" applyFont="1"/>
    <xf numFmtId="0" fontId="7" fillId="0" borderId="0" xfId="0" applyFont="1"/>
    <xf numFmtId="0" fontId="8" fillId="0" borderId="0" xfId="0" applyFont="1"/>
    <xf numFmtId="164" fontId="7" fillId="0" borderId="0" xfId="0" applyNumberFormat="1" applyFont="1"/>
    <xf numFmtId="2" fontId="7" fillId="0" borderId="0" xfId="0" applyNumberFormat="1" applyFont="1"/>
    <xf numFmtId="0" fontId="4" fillId="0" borderId="0" xfId="0" applyNumberFormat="1" applyFont="1" applyFill="1" applyBorder="1"/>
    <xf numFmtId="0" fontId="6" fillId="0" borderId="14" xfId="0" applyFont="1" applyBorder="1"/>
    <xf numFmtId="0" fontId="7" fillId="4" borderId="15" xfId="0" applyFont="1" applyFill="1" applyBorder="1"/>
    <xf numFmtId="0" fontId="4" fillId="2" borderId="16" xfId="0" applyFont="1" applyFill="1" applyBorder="1"/>
    <xf numFmtId="0" fontId="4" fillId="3" borderId="13" xfId="0" applyFont="1" applyFill="1" applyBorder="1"/>
    <xf numFmtId="165" fontId="4" fillId="0" borderId="17" xfId="0" applyNumberFormat="1" applyFont="1" applyBorder="1"/>
    <xf numFmtId="165" fontId="4" fillId="3" borderId="13" xfId="0" applyNumberFormat="1" applyFont="1" applyFill="1" applyBorder="1"/>
    <xf numFmtId="165" fontId="4" fillId="0" borderId="13" xfId="0" applyNumberFormat="1" applyFont="1" applyBorder="1"/>
    <xf numFmtId="0" fontId="4" fillId="0" borderId="13" xfId="0" applyNumberFormat="1" applyFont="1" applyBorder="1"/>
    <xf numFmtId="1" fontId="4" fillId="0" borderId="13" xfId="0" applyNumberFormat="1" applyFont="1" applyBorder="1"/>
    <xf numFmtId="165" fontId="4" fillId="0" borderId="8" xfId="0" applyNumberFormat="1" applyFont="1" applyBorder="1"/>
    <xf numFmtId="165" fontId="4" fillId="3" borderId="2" xfId="0" applyNumberFormat="1" applyFont="1" applyFill="1" applyBorder="1"/>
    <xf numFmtId="1" fontId="4" fillId="0" borderId="2" xfId="0" applyNumberFormat="1" applyFont="1" applyBorder="1"/>
    <xf numFmtId="165" fontId="4" fillId="0" borderId="2" xfId="0" applyNumberFormat="1" applyFont="1" applyBorder="1"/>
    <xf numFmtId="165" fontId="6" fillId="0" borderId="8" xfId="0" applyNumberFormat="1" applyFont="1" applyBorder="1"/>
    <xf numFmtId="165" fontId="4" fillId="2" borderId="10" xfId="0" applyNumberFormat="1" applyFont="1" applyFill="1" applyBorder="1"/>
    <xf numFmtId="0" fontId="4" fillId="3" borderId="2" xfId="0" applyFont="1" applyFill="1" applyBorder="1" applyAlignment="1"/>
    <xf numFmtId="165" fontId="6" fillId="0" borderId="8" xfId="0" applyNumberFormat="1" applyFont="1" applyBorder="1" applyAlignment="1"/>
    <xf numFmtId="165" fontId="6" fillId="0" borderId="2" xfId="0" applyNumberFormat="1" applyFont="1" applyBorder="1"/>
    <xf numFmtId="165" fontId="4" fillId="0" borderId="2" xfId="0" applyNumberFormat="1" applyFont="1" applyFill="1" applyBorder="1"/>
    <xf numFmtId="165" fontId="4" fillId="4" borderId="6" xfId="0" applyNumberFormat="1" applyFont="1" applyFill="1" applyBorder="1"/>
    <xf numFmtId="165" fontId="4" fillId="2" borderId="18" xfId="0" applyNumberFormat="1" applyFont="1" applyFill="1" applyBorder="1"/>
    <xf numFmtId="165" fontId="4" fillId="0" borderId="3" xfId="0" applyNumberFormat="1" applyFont="1" applyBorder="1"/>
    <xf numFmtId="165" fontId="3" fillId="2" borderId="2" xfId="0" applyNumberFormat="1" applyFont="1" applyFill="1" applyBorder="1"/>
    <xf numFmtId="165" fontId="7" fillId="0" borderId="2" xfId="0" applyNumberFormat="1" applyFont="1" applyBorder="1"/>
    <xf numFmtId="165" fontId="8" fillId="0" borderId="8" xfId="0" applyNumberFormat="1" applyFont="1" applyBorder="1"/>
    <xf numFmtId="165" fontId="7" fillId="0" borderId="8" xfId="0" applyNumberFormat="1" applyFont="1" applyBorder="1"/>
    <xf numFmtId="165" fontId="8" fillId="0" borderId="2" xfId="0" applyNumberFormat="1" applyFont="1" applyBorder="1"/>
    <xf numFmtId="0" fontId="7" fillId="4" borderId="6" xfId="0" applyFont="1" applyFill="1" applyBorder="1"/>
    <xf numFmtId="0" fontId="4" fillId="2" borderId="10" xfId="0" applyFont="1" applyFill="1" applyBorder="1"/>
    <xf numFmtId="0" fontId="4" fillId="3" borderId="2" xfId="0" applyFont="1" applyFill="1" applyBorder="1"/>
    <xf numFmtId="0" fontId="4" fillId="0" borderId="2" xfId="0" applyNumberFormat="1" applyFont="1" applyBorder="1"/>
    <xf numFmtId="0" fontId="4" fillId="0" borderId="2" xfId="0" applyNumberFormat="1" applyFont="1" applyFill="1" applyBorder="1"/>
    <xf numFmtId="165" fontId="4" fillId="2" borderId="11" xfId="0" applyNumberFormat="1" applyFont="1" applyFill="1" applyBorder="1"/>
    <xf numFmtId="0" fontId="6" fillId="0" borderId="3" xfId="0" applyFont="1" applyBorder="1"/>
    <xf numFmtId="165" fontId="6" fillId="0" borderId="17" xfId="0" applyNumberFormat="1" applyFont="1" applyBorder="1"/>
    <xf numFmtId="165" fontId="4" fillId="2" borderId="16" xfId="0" applyNumberFormat="1" applyFont="1" applyFill="1" applyBorder="1"/>
    <xf numFmtId="0" fontId="4" fillId="3" borderId="13" xfId="0" applyFont="1" applyFill="1" applyBorder="1" applyAlignment="1"/>
    <xf numFmtId="0" fontId="4" fillId="0" borderId="13" xfId="0" applyFont="1" applyBorder="1" applyAlignment="1"/>
    <xf numFmtId="165" fontId="6" fillId="0" borderId="17" xfId="0" applyNumberFormat="1" applyFont="1" applyBorder="1" applyAlignment="1"/>
    <xf numFmtId="165" fontId="6" fillId="0" borderId="13" xfId="0" applyNumberFormat="1" applyFont="1" applyBorder="1"/>
    <xf numFmtId="165" fontId="4" fillId="0" borderId="13" xfId="0" applyNumberFormat="1" applyFont="1" applyFill="1" applyBorder="1"/>
    <xf numFmtId="165" fontId="4" fillId="4" borderId="15" xfId="0" applyNumberFormat="1" applyFont="1" applyFill="1" applyBorder="1"/>
    <xf numFmtId="165" fontId="4" fillId="0" borderId="14" xfId="0" applyNumberFormat="1" applyFont="1" applyBorder="1"/>
    <xf numFmtId="165" fontId="3" fillId="2" borderId="13" xfId="0" applyNumberFormat="1" applyFont="1" applyFill="1" applyBorder="1"/>
    <xf numFmtId="165" fontId="7" fillId="0" borderId="13" xfId="0" applyNumberFormat="1" applyFont="1" applyBorder="1"/>
    <xf numFmtId="165" fontId="8" fillId="0" borderId="17" xfId="0" applyNumberFormat="1" applyFont="1" applyBorder="1"/>
    <xf numFmtId="165" fontId="7" fillId="0" borderId="17" xfId="0" applyNumberFormat="1" applyFont="1" applyBorder="1"/>
    <xf numFmtId="165" fontId="8" fillId="0" borderId="13" xfId="0" applyNumberFormat="1" applyFont="1" applyBorder="1"/>
    <xf numFmtId="165" fontId="4" fillId="0" borderId="19" xfId="0" applyNumberFormat="1" applyFont="1" applyBorder="1"/>
    <xf numFmtId="0" fontId="11" fillId="0" borderId="0" xfId="0" applyFont="1" applyAlignment="1"/>
    <xf numFmtId="166" fontId="11" fillId="0" borderId="0" xfId="0" applyNumberFormat="1" applyFont="1" applyAlignment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/>
    <xf numFmtId="164" fontId="0" fillId="0" borderId="0" xfId="0" applyNumberFormat="1" applyFont="1"/>
    <xf numFmtId="0" fontId="12" fillId="0" borderId="0" xfId="0" applyFont="1"/>
    <xf numFmtId="0" fontId="0" fillId="0" borderId="20" xfId="0" applyFont="1" applyBorder="1"/>
    <xf numFmtId="0" fontId="13" fillId="0" borderId="0" xfId="0" applyFont="1"/>
    <xf numFmtId="0" fontId="14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colors>
    <mruColors>
      <color rgb="FFEE6868"/>
      <color rgb="FF6FA0D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3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Projections!$A$21</c:f>
              <c:strCache>
                <c:ptCount val="1"/>
                <c:pt idx="0">
                  <c:v>Sales Revenue</c:v>
                </c:pt>
              </c:strCache>
            </c:strRef>
          </c:tx>
          <c:spPr>
            <a:ln>
              <a:solidFill>
                <a:srgbClr val="6FA0DB"/>
              </a:solidFill>
            </a:ln>
          </c:spPr>
          <c:marker>
            <c:symbol val="none"/>
          </c:marker>
          <c:cat>
            <c:strRef>
              <c:f>Projections!$C$1:$N$1</c:f>
              <c:strCache>
                <c:ptCount val="12"/>
                <c:pt idx="0">
                  <c:v>Month 1 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Projections!$C$21:$N$21</c:f>
              <c:numCache>
                <c:formatCode>_("£"* #,##0.00_);_("£"* \(#,##0.00\);_("£"* "-"??_);_(@_)</c:formatCode>
                <c:ptCount val="12"/>
                <c:pt idx="0">
                  <c:v>0</c:v>
                </c:pt>
                <c:pt idx="1">
                  <c:v>15744.2</c:v>
                </c:pt>
                <c:pt idx="2">
                  <c:v>12745.3</c:v>
                </c:pt>
                <c:pt idx="3">
                  <c:v>8396.9</c:v>
                </c:pt>
                <c:pt idx="4">
                  <c:v>7482.23</c:v>
                </c:pt>
                <c:pt idx="5">
                  <c:v>2758.98</c:v>
                </c:pt>
                <c:pt idx="6">
                  <c:v>6837.47</c:v>
                </c:pt>
                <c:pt idx="7">
                  <c:v>3976.5299999999997</c:v>
                </c:pt>
                <c:pt idx="8">
                  <c:v>7596.19</c:v>
                </c:pt>
                <c:pt idx="9">
                  <c:v>6057.7599999999993</c:v>
                </c:pt>
                <c:pt idx="10">
                  <c:v>10136.25</c:v>
                </c:pt>
                <c:pt idx="11">
                  <c:v>8111.9999999999991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Projections!$A$65</c:f>
              <c:strCache>
                <c:ptCount val="1"/>
                <c:pt idx="0">
                  <c:v>Net Profit </c:v>
                </c:pt>
              </c:strCache>
            </c:strRef>
          </c:tx>
          <c:spPr>
            <a:ln>
              <a:solidFill>
                <a:srgbClr val="EE6868"/>
              </a:solidFill>
            </a:ln>
          </c:spPr>
          <c:marker>
            <c:symbol val="none"/>
          </c:marker>
          <c:val>
            <c:numRef>
              <c:f>Projections!$C$65:$N$65</c:f>
              <c:numCache>
                <c:formatCode>_("£"* #,##0.00_);_("£"* \(#,##0.00\);_("£"* "-"??_);_(@_)</c:formatCode>
                <c:ptCount val="12"/>
                <c:pt idx="0">
                  <c:v>-10334.411666666665</c:v>
                </c:pt>
                <c:pt idx="1">
                  <c:v>8425.088333333335</c:v>
                </c:pt>
                <c:pt idx="2">
                  <c:v>2410.8883333333342</c:v>
                </c:pt>
                <c:pt idx="3">
                  <c:v>1077.7883333333339</c:v>
                </c:pt>
                <c:pt idx="4">
                  <c:v>-2852.1816666666655</c:v>
                </c:pt>
                <c:pt idx="5">
                  <c:v>-4560.1316666666662</c:v>
                </c:pt>
                <c:pt idx="6">
                  <c:v>-3496.9416666666648</c:v>
                </c:pt>
                <c:pt idx="7">
                  <c:v>-3342.581666666666</c:v>
                </c:pt>
                <c:pt idx="8">
                  <c:v>-2738.2216666666654</c:v>
                </c:pt>
                <c:pt idx="9">
                  <c:v>-1261.3516666666665</c:v>
                </c:pt>
                <c:pt idx="10">
                  <c:v>-198.16166666666504</c:v>
                </c:pt>
                <c:pt idx="11">
                  <c:v>792.88833333333332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42784"/>
        <c:axId val="41562496"/>
      </c:lineChart>
      <c:catAx>
        <c:axId val="41542784"/>
        <c:scaling>
          <c:orientation val="minMax"/>
        </c:scaling>
        <c:delete val="0"/>
        <c:axPos val="b"/>
        <c:majorTickMark val="none"/>
        <c:minorTickMark val="cross"/>
        <c:tickLblPos val="nextTo"/>
        <c:spPr>
          <a:ln w="19050">
            <a:solidFill>
              <a:schemeClr val="tx1"/>
            </a:solidFill>
          </a:ln>
        </c:spPr>
        <c:txPr>
          <a:bodyPr rot="-5400000" vert="horz"/>
          <a:lstStyle/>
          <a:p>
            <a:pPr>
              <a:defRPr sz="1400"/>
            </a:pPr>
            <a:endParaRPr lang="en-US"/>
          </a:p>
        </c:txPr>
        <c:crossAx val="41562496"/>
        <c:crosses val="autoZero"/>
        <c:auto val="1"/>
        <c:lblAlgn val="ctr"/>
        <c:lblOffset val="100"/>
        <c:noMultiLvlLbl val="0"/>
      </c:catAx>
      <c:valAx>
        <c:axId val="41562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 sz="1800" b="1" i="0" baseline="0">
                    <a:effectLst/>
                  </a:rPr>
                  <a:t>Net Profit / Sales Revenue  </a:t>
                </a:r>
                <a:endParaRPr lang="en-GB">
                  <a:effectLst/>
                </a:endParaRPr>
              </a:p>
            </c:rich>
          </c:tx>
          <c:layout/>
          <c:overlay val="0"/>
        </c:title>
        <c:numFmt formatCode="&quot;£&quot;#,##0" sourceLinked="0"/>
        <c:majorTickMark val="cross"/>
        <c:minorTickMark val="in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41542784"/>
        <c:crosses val="autoZero"/>
        <c:crossBetween val="between"/>
        <c:majorUnit val="10000"/>
      </c:valAx>
    </c:plotArea>
    <c:legend>
      <c:legendPos val="b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Sales Revenue</c:v>
          </c:tx>
          <c:spPr>
            <a:ln>
              <a:solidFill>
                <a:srgbClr val="6FA0DB"/>
              </a:solidFill>
            </a:ln>
          </c:spPr>
          <c:marker>
            <c:symbol val="none"/>
          </c:marker>
          <c:dPt>
            <c:idx val="2"/>
            <c:bubble3D val="0"/>
          </c:dPt>
          <c:cat>
            <c:strRef>
              <c:f>(Projections!$B$1,Projections!$O$1:$S$1)</c:f>
              <c:strCache>
                <c:ptCount val="6"/>
                <c:pt idx="0">
                  <c:v>Year 0</c:v>
                </c:pt>
                <c:pt idx="1">
                  <c:v>Year 1</c:v>
                </c:pt>
                <c:pt idx="2">
                  <c:v>Year 2</c:v>
                </c:pt>
                <c:pt idx="3">
                  <c:v>Year 3</c:v>
                </c:pt>
                <c:pt idx="4">
                  <c:v>Year 4</c:v>
                </c:pt>
                <c:pt idx="5">
                  <c:v>Year 5</c:v>
                </c:pt>
              </c:strCache>
            </c:strRef>
          </c:cat>
          <c:val>
            <c:numRef>
              <c:f>(Projections!$B$21,Projections!$O$21:$S$21)</c:f>
              <c:numCache>
                <c:formatCode>_("£"* #,##0.00_);_("£"* \(#,##0.00\);_("£"* "-"??_);_(@_)</c:formatCode>
                <c:ptCount val="6"/>
                <c:pt idx="0">
                  <c:v>6000</c:v>
                </c:pt>
                <c:pt idx="1">
                  <c:v>89843.809999999983</c:v>
                </c:pt>
                <c:pt idx="2">
                  <c:v>134752.22</c:v>
                </c:pt>
                <c:pt idx="3">
                  <c:v>157219.91999999998</c:v>
                </c:pt>
                <c:pt idx="4">
                  <c:v>168453.77</c:v>
                </c:pt>
                <c:pt idx="5">
                  <c:v>174055.69999999998</c:v>
                </c:pt>
              </c:numCache>
            </c:numRef>
          </c:val>
          <c:smooth val="0"/>
        </c:ser>
        <c:ser>
          <c:idx val="0"/>
          <c:order val="1"/>
          <c:tx>
            <c:v>Net Profit </c:v>
          </c:tx>
          <c:spPr>
            <a:ln w="28575" cmpd="sng">
              <a:solidFill>
                <a:srgbClr val="EE6868"/>
              </a:solidFill>
            </a:ln>
          </c:spPr>
          <c:marker>
            <c:symbol val="none"/>
          </c:marker>
          <c:cat>
            <c:strRef>
              <c:f>(Projections!$B$1,Projections!$O$1:$S$1)</c:f>
              <c:strCache>
                <c:ptCount val="6"/>
                <c:pt idx="0">
                  <c:v>Year 0</c:v>
                </c:pt>
                <c:pt idx="1">
                  <c:v>Year 1</c:v>
                </c:pt>
                <c:pt idx="2">
                  <c:v>Year 2</c:v>
                </c:pt>
                <c:pt idx="3">
                  <c:v>Year 3</c:v>
                </c:pt>
                <c:pt idx="4">
                  <c:v>Year 4</c:v>
                </c:pt>
                <c:pt idx="5">
                  <c:v>Year 5</c:v>
                </c:pt>
              </c:strCache>
            </c:strRef>
          </c:cat>
          <c:val>
            <c:numRef>
              <c:f>(Projections!$B$63,Projections!$O$63:$S$63)</c:f>
              <c:numCache>
                <c:formatCode>_("£"* #,##0.00_);_("£"* \(#,##0.00\);_("£"* "-"??_);_(@_)</c:formatCode>
                <c:ptCount val="6"/>
                <c:pt idx="0">
                  <c:v>-47635.759999999995</c:v>
                </c:pt>
                <c:pt idx="1">
                  <c:v>-16077.330000000002</c:v>
                </c:pt>
                <c:pt idx="2">
                  <c:v>23064.864000000012</c:v>
                </c:pt>
                <c:pt idx="3">
                  <c:v>43062.224000000002</c:v>
                </c:pt>
                <c:pt idx="4">
                  <c:v>57444.504000000001</c:v>
                </c:pt>
                <c:pt idx="5">
                  <c:v>63274.847999999998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969472"/>
        <c:axId val="121128448"/>
      </c:lineChart>
      <c:catAx>
        <c:axId val="120969472"/>
        <c:scaling>
          <c:orientation val="minMax"/>
        </c:scaling>
        <c:delete val="0"/>
        <c:axPos val="b"/>
        <c:numFmt formatCode="General" sourceLinked="1"/>
        <c:majorTickMark val="none"/>
        <c:minorTickMark val="cross"/>
        <c:tickLblPos val="nextTo"/>
        <c:spPr>
          <a:ln w="19050">
            <a:solidFill>
              <a:schemeClr val="tx1"/>
            </a:solidFill>
          </a:ln>
        </c:spPr>
        <c:txPr>
          <a:bodyPr rot="-5400000" vert="horz"/>
          <a:lstStyle/>
          <a:p>
            <a:pPr>
              <a:defRPr sz="1400"/>
            </a:pPr>
            <a:endParaRPr lang="en-US"/>
          </a:p>
        </c:txPr>
        <c:crossAx val="121128448"/>
        <c:crosses val="autoZero"/>
        <c:auto val="1"/>
        <c:lblAlgn val="ctr"/>
        <c:lblOffset val="100"/>
        <c:noMultiLvlLbl val="1"/>
      </c:catAx>
      <c:valAx>
        <c:axId val="1211284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800"/>
                </a:pPr>
                <a:r>
                  <a:rPr lang="en-GB" sz="1800"/>
                  <a:t>Net Profit / Sales </a:t>
                </a:r>
                <a:r>
                  <a:rPr lang="en-GB" sz="1800" baseline="0"/>
                  <a:t>Revenue </a:t>
                </a:r>
              </a:p>
            </c:rich>
          </c:tx>
          <c:layout/>
          <c:overlay val="0"/>
        </c:title>
        <c:numFmt formatCode="&quot;£&quot;#,##0" sourceLinked="0"/>
        <c:majorTickMark val="cross"/>
        <c:minorTickMark val="in"/>
        <c:tickLblPos val="nextTo"/>
        <c:spPr>
          <a:noFill/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120969472"/>
        <c:crosses val="autoZero"/>
        <c:crossBetween val="between"/>
      </c:valAx>
      <c:spPr>
        <a:ln w="63500"/>
      </c:spPr>
    </c:plotArea>
    <c:legend>
      <c:legendPos val="b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zero"/>
    <c:showDLblsOverMax val="1"/>
  </c:chart>
  <c:spPr>
    <a:ln w="6350">
      <a:solidFill>
        <a:sysClr val="windowText" lastClr="000000"/>
      </a:solidFill>
    </a:ln>
  </c:sp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Volume</a:t>
            </a:r>
            <a:r>
              <a:rPr lang="en-GB" baseline="0"/>
              <a:t> of sales 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Projections!$A$12</c:f>
              <c:strCache>
                <c:ptCount val="1"/>
                <c:pt idx="0">
                  <c:v>Total Predicted Volume of Sales  to Teachers</c:v>
                </c:pt>
              </c:strCache>
            </c:strRef>
          </c:tx>
          <c:marker>
            <c:symbol val="none"/>
          </c:marker>
          <c:cat>
            <c:strRef>
              <c:f>(Projections!$B$1,Projections!$O$1:$S$1)</c:f>
              <c:strCache>
                <c:ptCount val="6"/>
                <c:pt idx="0">
                  <c:v>Year 0</c:v>
                </c:pt>
                <c:pt idx="1">
                  <c:v>Year 1</c:v>
                </c:pt>
                <c:pt idx="2">
                  <c:v>Year 2</c:v>
                </c:pt>
                <c:pt idx="3">
                  <c:v>Year 3</c:v>
                </c:pt>
                <c:pt idx="4">
                  <c:v>Year 4</c:v>
                </c:pt>
                <c:pt idx="5">
                  <c:v>Year 5</c:v>
                </c:pt>
              </c:strCache>
            </c:strRef>
          </c:cat>
          <c:val>
            <c:numRef>
              <c:f>(Projections!$B$13,Projections!$O$13:$S$13)</c:f>
              <c:numCache>
                <c:formatCode>_("£"* #,##0.00_);_("£"* \(#,##0.00\);_("£"* "-"??_);_(@_)</c:formatCode>
                <c:ptCount val="6"/>
                <c:pt idx="0">
                  <c:v>0</c:v>
                </c:pt>
                <c:pt idx="1">
                  <c:v>87204.689999999988</c:v>
                </c:pt>
                <c:pt idx="2">
                  <c:v>130793.54</c:v>
                </c:pt>
                <c:pt idx="3">
                  <c:v>152601.46</c:v>
                </c:pt>
                <c:pt idx="4">
                  <c:v>163505.41999999998</c:v>
                </c:pt>
                <c:pt idx="5">
                  <c:v>168957.4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Projections!$A$17</c:f>
              <c:strCache>
                <c:ptCount val="1"/>
                <c:pt idx="0">
                  <c:v>Total Predicted Volume of Sales  to Tutors</c:v>
                </c:pt>
              </c:strCache>
            </c:strRef>
          </c:tx>
          <c:marker>
            <c:symbol val="none"/>
          </c:marker>
          <c:cat>
            <c:strRef>
              <c:f>(Projections!$B$1,Projections!$O$1:$S$1)</c:f>
              <c:strCache>
                <c:ptCount val="6"/>
                <c:pt idx="0">
                  <c:v>Year 0</c:v>
                </c:pt>
                <c:pt idx="1">
                  <c:v>Year 1</c:v>
                </c:pt>
                <c:pt idx="2">
                  <c:v>Year 2</c:v>
                </c:pt>
                <c:pt idx="3">
                  <c:v>Year 3</c:v>
                </c:pt>
                <c:pt idx="4">
                  <c:v>Year 4</c:v>
                </c:pt>
                <c:pt idx="5">
                  <c:v>Year 5</c:v>
                </c:pt>
              </c:strCache>
            </c:strRef>
          </c:cat>
          <c:val>
            <c:numRef>
              <c:f>(Projections!$B$18,Projections!$O$18:$S$18)</c:f>
              <c:numCache>
                <c:formatCode>_("£"* #,##0.00_);_("£"* \(#,##0.00\);_("£"* "-"??_);_(@_)</c:formatCode>
                <c:ptCount val="6"/>
                <c:pt idx="0">
                  <c:v>0</c:v>
                </c:pt>
                <c:pt idx="1">
                  <c:v>2639.12</c:v>
                </c:pt>
                <c:pt idx="2">
                  <c:v>3958.68</c:v>
                </c:pt>
                <c:pt idx="3">
                  <c:v>4618.46</c:v>
                </c:pt>
                <c:pt idx="4">
                  <c:v>4948.3499999999995</c:v>
                </c:pt>
                <c:pt idx="5">
                  <c:v>5098.3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64864"/>
        <c:axId val="41575552"/>
      </c:lineChart>
      <c:catAx>
        <c:axId val="41364864"/>
        <c:scaling>
          <c:orientation val="minMax"/>
        </c:scaling>
        <c:delete val="0"/>
        <c:axPos val="b"/>
        <c:majorTickMark val="out"/>
        <c:minorTickMark val="in"/>
        <c:tickLblPos val="nextTo"/>
        <c:spPr>
          <a:ln w="22225">
            <a:solidFill>
              <a:schemeClr val="tx1"/>
            </a:solidFill>
          </a:ln>
        </c:spPr>
        <c:crossAx val="41575552"/>
        <c:crosses val="autoZero"/>
        <c:auto val="1"/>
        <c:lblAlgn val="ctr"/>
        <c:lblOffset val="100"/>
        <c:noMultiLvlLbl val="0"/>
      </c:catAx>
      <c:valAx>
        <c:axId val="415755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 Predicted Volume</a:t>
                </a:r>
                <a:r>
                  <a:rPr lang="en-GB" baseline="0"/>
                  <a:t> 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2.0480853895716439E-2"/>
              <c:y val="0.4637618462899924"/>
            </c:manualLayout>
          </c:layout>
          <c:overlay val="0"/>
        </c:title>
        <c:numFmt formatCode="_(&quot;£&quot;* #,##0.00_);_(&quot;£&quot;* \(#,##0.00\);_(&quot;£&quot;* &quot;-&quot;??_);_(@_)" sourceLinked="1"/>
        <c:majorTickMark val="out"/>
        <c:minorTickMark val="in"/>
        <c:tickLblPos val="nextTo"/>
        <c:spPr>
          <a:ln w="22225">
            <a:solidFill>
              <a:schemeClr val="tx1"/>
            </a:solidFill>
          </a:ln>
        </c:spPr>
        <c:crossAx val="41364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0.79795</cdr:x>
      <cdr:y>0.77518</cdr:y>
    </cdr:from>
    <cdr:to>
      <cdr:x>0.98888</cdr:x>
      <cdr:y>0.84583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424567" y="4710835"/>
          <a:ext cx="1776583" cy="4293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800" b="1" baseline="0"/>
            <a:t>Financial Months </a:t>
          </a:r>
          <a:endParaRPr lang="en-GB" sz="1800" b="1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0.81781</cdr:x>
      <cdr:y>0.77429</cdr:y>
    </cdr:from>
    <cdr:to>
      <cdr:x>0.98465</cdr:x>
      <cdr:y>0.84639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10493" y="4705344"/>
          <a:ext cx="1552557" cy="4381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800" b="1"/>
            <a:t>Financial</a:t>
          </a:r>
          <a:r>
            <a:rPr lang="en-GB" sz="1800" b="1" baseline="0"/>
            <a:t> Years </a:t>
          </a:r>
          <a:endParaRPr lang="en-GB" sz="1800" b="1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7412" cy="606902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workbookViewId="0">
      <selection activeCell="G16" sqref="G16"/>
    </sheetView>
  </sheetViews>
  <sheetFormatPr defaultRowHeight="15" x14ac:dyDescent="0.25"/>
  <cols>
    <col min="1" max="1" width="27.7109375" bestFit="1" customWidth="1"/>
    <col min="2" max="8" width="11.5703125" bestFit="1" customWidth="1"/>
  </cols>
  <sheetData>
    <row r="1" spans="1:8" x14ac:dyDescent="0.25">
      <c r="A1" s="116"/>
      <c r="B1" s="116"/>
      <c r="C1" s="117" t="s">
        <v>93</v>
      </c>
      <c r="D1" s="118"/>
      <c r="E1" s="118"/>
      <c r="F1" s="118"/>
      <c r="G1" s="118"/>
      <c r="H1" s="116"/>
    </row>
    <row r="2" spans="1:8" x14ac:dyDescent="0.25">
      <c r="A2" s="116"/>
      <c r="B2" s="116"/>
      <c r="C2" s="116"/>
      <c r="D2" s="116"/>
      <c r="E2" s="116"/>
      <c r="F2" s="116"/>
      <c r="G2" s="116"/>
      <c r="H2" s="116"/>
    </row>
    <row r="3" spans="1:8" x14ac:dyDescent="0.25">
      <c r="A3" s="116"/>
      <c r="B3" s="116" t="s">
        <v>94</v>
      </c>
      <c r="C3" s="116" t="s">
        <v>95</v>
      </c>
      <c r="D3" s="116" t="s">
        <v>96</v>
      </c>
      <c r="E3" s="116" t="s">
        <v>97</v>
      </c>
      <c r="F3" s="116" t="s">
        <v>98</v>
      </c>
      <c r="G3" s="116" t="s">
        <v>99</v>
      </c>
      <c r="H3" s="116" t="s">
        <v>100</v>
      </c>
    </row>
    <row r="4" spans="1:8" x14ac:dyDescent="0.25">
      <c r="A4" s="116"/>
      <c r="B4" s="116"/>
      <c r="C4" s="116"/>
      <c r="D4" s="116"/>
      <c r="E4" s="116"/>
      <c r="F4" s="116"/>
      <c r="G4" s="116"/>
      <c r="H4" s="116"/>
    </row>
    <row r="5" spans="1:8" x14ac:dyDescent="0.25">
      <c r="A5" s="116" t="s">
        <v>101</v>
      </c>
      <c r="B5" s="119">
        <v>0</v>
      </c>
      <c r="C5" s="119">
        <v>1500</v>
      </c>
      <c r="D5" s="119">
        <v>0</v>
      </c>
      <c r="E5" s="119">
        <v>4500</v>
      </c>
      <c r="F5" s="119">
        <v>0</v>
      </c>
      <c r="G5" s="119">
        <v>0</v>
      </c>
      <c r="H5" s="119">
        <f>SUM(B5:G5)</f>
        <v>6000</v>
      </c>
    </row>
    <row r="6" spans="1:8" x14ac:dyDescent="0.25">
      <c r="A6" s="116"/>
      <c r="B6" s="119"/>
      <c r="C6" s="119"/>
      <c r="D6" s="119"/>
      <c r="E6" s="119"/>
      <c r="F6" s="119"/>
      <c r="G6" s="119"/>
      <c r="H6" s="119">
        <f t="shared" ref="H6:H49" si="0">SUM(B6:G6)</f>
        <v>0</v>
      </c>
    </row>
    <row r="7" spans="1:8" x14ac:dyDescent="0.25">
      <c r="A7" s="116" t="s">
        <v>102</v>
      </c>
      <c r="B7" s="119">
        <f t="shared" ref="B7:G7" si="1">B24</f>
        <v>2315.63</v>
      </c>
      <c r="C7" s="119">
        <f t="shared" si="1"/>
        <v>9365.630000000001</v>
      </c>
      <c r="D7" s="119">
        <f t="shared" si="1"/>
        <v>3703.33</v>
      </c>
      <c r="E7" s="119">
        <f t="shared" si="1"/>
        <v>6659.28</v>
      </c>
      <c r="F7" s="119">
        <f t="shared" si="1"/>
        <v>7293.75</v>
      </c>
      <c r="G7" s="119">
        <f t="shared" si="1"/>
        <v>3331.25</v>
      </c>
      <c r="H7" s="119">
        <f t="shared" si="0"/>
        <v>32668.870000000003</v>
      </c>
    </row>
    <row r="8" spans="1:8" x14ac:dyDescent="0.25">
      <c r="A8" s="116" t="s">
        <v>103</v>
      </c>
      <c r="B8" s="119">
        <f t="shared" ref="B8:G8" si="2">B5+B6-B7</f>
        <v>-2315.63</v>
      </c>
      <c r="C8" s="119">
        <f t="shared" si="2"/>
        <v>-7865.630000000001</v>
      </c>
      <c r="D8" s="119">
        <f t="shared" si="2"/>
        <v>-3703.33</v>
      </c>
      <c r="E8" s="119">
        <f t="shared" si="2"/>
        <v>-2159.2799999999997</v>
      </c>
      <c r="F8" s="119">
        <f t="shared" si="2"/>
        <v>-7293.75</v>
      </c>
      <c r="G8" s="119">
        <f t="shared" si="2"/>
        <v>-3331.25</v>
      </c>
      <c r="H8" s="119">
        <f t="shared" si="0"/>
        <v>-26668.870000000003</v>
      </c>
    </row>
    <row r="9" spans="1:8" x14ac:dyDescent="0.25">
      <c r="A9" s="116" t="s">
        <v>104</v>
      </c>
      <c r="B9" s="119">
        <f t="shared" ref="B9:G9" si="3">B29</f>
        <v>1898.0700000000002</v>
      </c>
      <c r="C9" s="119">
        <f t="shared" si="3"/>
        <v>2148.0700000000002</v>
      </c>
      <c r="D9" s="119">
        <f t="shared" si="3"/>
        <v>2098.0700000000002</v>
      </c>
      <c r="E9" s="119">
        <f t="shared" si="3"/>
        <v>0</v>
      </c>
      <c r="F9" s="119">
        <f t="shared" si="3"/>
        <v>7459.6100000000006</v>
      </c>
      <c r="G9" s="119">
        <f t="shared" si="3"/>
        <v>2098.0700000000002</v>
      </c>
      <c r="H9" s="119">
        <f t="shared" si="0"/>
        <v>15701.890000000001</v>
      </c>
    </row>
    <row r="10" spans="1:8" x14ac:dyDescent="0.25">
      <c r="A10" s="116" t="s">
        <v>105</v>
      </c>
      <c r="B10" s="119">
        <f t="shared" ref="B10:G10" si="4">B8-B9</f>
        <v>-4213.7000000000007</v>
      </c>
      <c r="C10" s="119">
        <f t="shared" si="4"/>
        <v>-10013.700000000001</v>
      </c>
      <c r="D10" s="119">
        <f t="shared" si="4"/>
        <v>-5801.4</v>
      </c>
      <c r="E10" s="119">
        <f t="shared" si="4"/>
        <v>-2159.2799999999997</v>
      </c>
      <c r="F10" s="119">
        <f t="shared" si="4"/>
        <v>-14753.36</v>
      </c>
      <c r="G10" s="119">
        <f t="shared" si="4"/>
        <v>-5429.32</v>
      </c>
      <c r="H10" s="119">
        <f t="shared" si="0"/>
        <v>-42370.76</v>
      </c>
    </row>
    <row r="11" spans="1:8" x14ac:dyDescent="0.25">
      <c r="A11" s="116" t="s">
        <v>106</v>
      </c>
      <c r="B11" s="119">
        <f>195*5</f>
        <v>975</v>
      </c>
      <c r="C11" s="119">
        <f t="shared" ref="C11:D11" si="5">195*4</f>
        <v>780</v>
      </c>
      <c r="D11" s="119">
        <f t="shared" si="5"/>
        <v>780</v>
      </c>
      <c r="E11" s="119">
        <f>195*5</f>
        <v>975</v>
      </c>
      <c r="F11" s="119">
        <f>195*4</f>
        <v>780</v>
      </c>
      <c r="G11" s="119">
        <f>5*195</f>
        <v>975</v>
      </c>
      <c r="H11" s="119">
        <f t="shared" si="0"/>
        <v>5265</v>
      </c>
    </row>
    <row r="12" spans="1:8" x14ac:dyDescent="0.25">
      <c r="A12" s="116" t="s">
        <v>107</v>
      </c>
      <c r="B12" s="119">
        <f t="shared" ref="B12:G12" si="6">B10-B11</f>
        <v>-5188.7000000000007</v>
      </c>
      <c r="C12" s="119">
        <f t="shared" si="6"/>
        <v>-10793.7</v>
      </c>
      <c r="D12" s="119">
        <f t="shared" si="6"/>
        <v>-6581.4</v>
      </c>
      <c r="E12" s="119">
        <f t="shared" si="6"/>
        <v>-3134.2799999999997</v>
      </c>
      <c r="F12" s="119">
        <f t="shared" si="6"/>
        <v>-15533.36</v>
      </c>
      <c r="G12" s="119">
        <f t="shared" si="6"/>
        <v>-6404.32</v>
      </c>
      <c r="H12" s="119">
        <f t="shared" si="0"/>
        <v>-47635.76</v>
      </c>
    </row>
    <row r="13" spans="1:8" x14ac:dyDescent="0.25">
      <c r="A13" s="116" t="s">
        <v>8</v>
      </c>
      <c r="B13" s="119">
        <v>0</v>
      </c>
      <c r="C13" s="119">
        <v>0</v>
      </c>
      <c r="D13" s="119">
        <v>0</v>
      </c>
      <c r="E13" s="119">
        <v>0</v>
      </c>
      <c r="F13" s="119">
        <v>0</v>
      </c>
      <c r="G13" s="119">
        <v>0</v>
      </c>
      <c r="H13" s="119"/>
    </row>
    <row r="14" spans="1:8" x14ac:dyDescent="0.25">
      <c r="A14" s="116" t="s">
        <v>108</v>
      </c>
      <c r="B14" s="119">
        <f t="shared" ref="B14:G14" si="7">B12-B13</f>
        <v>-5188.7000000000007</v>
      </c>
      <c r="C14" s="119">
        <f t="shared" si="7"/>
        <v>-10793.7</v>
      </c>
      <c r="D14" s="119">
        <f t="shared" si="7"/>
        <v>-6581.4</v>
      </c>
      <c r="E14" s="119">
        <f t="shared" si="7"/>
        <v>-3134.2799999999997</v>
      </c>
      <c r="F14" s="119">
        <f t="shared" si="7"/>
        <v>-15533.36</v>
      </c>
      <c r="G14" s="119">
        <f t="shared" si="7"/>
        <v>-6404.32</v>
      </c>
      <c r="H14" s="119">
        <f t="shared" si="0"/>
        <v>-47635.76</v>
      </c>
    </row>
    <row r="15" spans="1:8" x14ac:dyDescent="0.25">
      <c r="A15" s="116"/>
      <c r="B15" s="119"/>
      <c r="C15" s="119"/>
      <c r="D15" s="119"/>
      <c r="E15" s="119"/>
      <c r="F15" s="119"/>
      <c r="G15" s="119"/>
      <c r="H15" s="119"/>
    </row>
    <row r="16" spans="1:8" x14ac:dyDescent="0.25">
      <c r="A16" s="116" t="s">
        <v>109</v>
      </c>
      <c r="B16" s="119">
        <f t="shared" ref="B16:G16" si="8">B14</f>
        <v>-5188.7000000000007</v>
      </c>
      <c r="C16" s="119">
        <f t="shared" si="8"/>
        <v>-10793.7</v>
      </c>
      <c r="D16" s="119">
        <f t="shared" si="8"/>
        <v>-6581.4</v>
      </c>
      <c r="E16" s="119">
        <f t="shared" si="8"/>
        <v>-3134.2799999999997</v>
      </c>
      <c r="F16" s="119">
        <f t="shared" si="8"/>
        <v>-15533.36</v>
      </c>
      <c r="G16" s="119">
        <f t="shared" si="8"/>
        <v>-6404.32</v>
      </c>
      <c r="H16" s="119">
        <f t="shared" si="0"/>
        <v>-47635.76</v>
      </c>
    </row>
    <row r="17" spans="1:8" x14ac:dyDescent="0.25">
      <c r="A17" s="116"/>
      <c r="B17" s="116"/>
      <c r="C17" s="116"/>
      <c r="D17" s="116"/>
      <c r="E17" s="116"/>
      <c r="F17" s="116"/>
      <c r="G17" s="116"/>
      <c r="H17" s="119"/>
    </row>
    <row r="18" spans="1:8" x14ac:dyDescent="0.25">
      <c r="A18" s="116"/>
      <c r="B18" s="116"/>
      <c r="C18" s="116"/>
      <c r="D18" s="116"/>
      <c r="E18" s="116"/>
      <c r="F18" s="116"/>
      <c r="G18" s="116"/>
      <c r="H18" s="119"/>
    </row>
    <row r="19" spans="1:8" x14ac:dyDescent="0.25">
      <c r="A19" s="116"/>
      <c r="B19" s="116"/>
      <c r="C19" s="116"/>
      <c r="D19" s="116"/>
      <c r="E19" s="116"/>
      <c r="F19" s="116"/>
      <c r="G19" s="116"/>
      <c r="H19" s="119"/>
    </row>
    <row r="20" spans="1:8" ht="15.75" x14ac:dyDescent="0.25">
      <c r="A20" s="120" t="s">
        <v>110</v>
      </c>
      <c r="B20" s="116"/>
      <c r="C20" s="116"/>
      <c r="D20" s="116"/>
      <c r="E20" s="116"/>
      <c r="F20" s="116"/>
      <c r="G20" s="116"/>
      <c r="H20" s="119"/>
    </row>
    <row r="21" spans="1:8" x14ac:dyDescent="0.25">
      <c r="A21" s="116" t="s">
        <v>111</v>
      </c>
      <c r="B21" s="119">
        <f>859.38+1456.25</f>
        <v>2315.63</v>
      </c>
      <c r="C21" s="119">
        <f>1537.5+2421.88+1831.25+1575</f>
        <v>7365.63</v>
      </c>
      <c r="D21" s="119">
        <f>1503.33+1106.25+362.5+81.25+250</f>
        <v>3303.33</v>
      </c>
      <c r="E21" s="119">
        <f>537.5+459.28+450+712.5</f>
        <v>2159.2799999999997</v>
      </c>
      <c r="F21" s="119">
        <f>268.75+325+2568.75+3131.25</f>
        <v>6293.75</v>
      </c>
      <c r="G21" s="119">
        <f>2931.25</f>
        <v>2931.25</v>
      </c>
      <c r="H21" s="119">
        <f t="shared" si="0"/>
        <v>24368.87</v>
      </c>
    </row>
    <row r="22" spans="1:8" x14ac:dyDescent="0.25">
      <c r="A22" s="116" t="s">
        <v>112</v>
      </c>
      <c r="B22" s="119">
        <v>0</v>
      </c>
      <c r="C22" s="119">
        <v>500</v>
      </c>
      <c r="D22" s="119">
        <v>400</v>
      </c>
      <c r="E22" s="119">
        <v>0</v>
      </c>
      <c r="F22" s="119">
        <v>1000</v>
      </c>
      <c r="G22" s="119">
        <v>400</v>
      </c>
      <c r="H22" s="119">
        <f t="shared" si="0"/>
        <v>2300</v>
      </c>
    </row>
    <row r="23" spans="1:8" x14ac:dyDescent="0.25">
      <c r="A23" s="116" t="s">
        <v>113</v>
      </c>
      <c r="B23" s="119">
        <v>0</v>
      </c>
      <c r="C23" s="119">
        <v>1500</v>
      </c>
      <c r="D23" s="119">
        <v>0</v>
      </c>
      <c r="E23" s="119">
        <v>4500</v>
      </c>
      <c r="F23" s="119">
        <v>0</v>
      </c>
      <c r="G23" s="119">
        <v>0</v>
      </c>
      <c r="H23" s="119">
        <f t="shared" si="0"/>
        <v>6000</v>
      </c>
    </row>
    <row r="24" spans="1:8" x14ac:dyDescent="0.25">
      <c r="A24" s="116" t="s">
        <v>114</v>
      </c>
      <c r="B24" s="119">
        <f t="shared" ref="B24:G24" si="9">SUM(B21:B23)</f>
        <v>2315.63</v>
      </c>
      <c r="C24" s="119">
        <f t="shared" si="9"/>
        <v>9365.630000000001</v>
      </c>
      <c r="D24" s="119">
        <f t="shared" si="9"/>
        <v>3703.33</v>
      </c>
      <c r="E24" s="119">
        <f t="shared" si="9"/>
        <v>6659.28</v>
      </c>
      <c r="F24" s="119">
        <f t="shared" si="9"/>
        <v>7293.75</v>
      </c>
      <c r="G24" s="119">
        <f t="shared" si="9"/>
        <v>3331.25</v>
      </c>
      <c r="H24" s="119">
        <f t="shared" si="0"/>
        <v>32668.870000000003</v>
      </c>
    </row>
    <row r="25" spans="1:8" x14ac:dyDescent="0.25">
      <c r="A25" s="116"/>
      <c r="B25" s="116"/>
      <c r="C25" s="116"/>
      <c r="D25" s="116"/>
      <c r="E25" s="116"/>
      <c r="F25" s="116"/>
      <c r="G25" s="116"/>
      <c r="H25" s="119"/>
    </row>
    <row r="26" spans="1:8" ht="15.75" x14ac:dyDescent="0.25">
      <c r="A26" s="120" t="s">
        <v>104</v>
      </c>
      <c r="B26" s="116"/>
      <c r="C26" s="116"/>
      <c r="D26" s="116"/>
      <c r="E26" s="116"/>
      <c r="F26" s="116"/>
      <c r="G26" s="116"/>
      <c r="H26" s="119"/>
    </row>
    <row r="27" spans="1:8" x14ac:dyDescent="0.25">
      <c r="A27" s="121" t="s">
        <v>9</v>
      </c>
      <c r="B27" s="119">
        <v>1898.0700000000002</v>
      </c>
      <c r="C27" s="119">
        <v>1898.0700000000002</v>
      </c>
      <c r="D27" s="119">
        <v>1898.0700000000002</v>
      </c>
      <c r="E27" s="119">
        <v>0</v>
      </c>
      <c r="F27" s="119">
        <v>6959.6100000000006</v>
      </c>
      <c r="G27" s="119">
        <v>1898.0700000000002</v>
      </c>
      <c r="H27" s="119">
        <f t="shared" si="0"/>
        <v>14551.890000000001</v>
      </c>
    </row>
    <row r="28" spans="1:8" x14ac:dyDescent="0.25">
      <c r="A28" s="121" t="s">
        <v>10</v>
      </c>
      <c r="B28" s="119">
        <v>0</v>
      </c>
      <c r="C28" s="119">
        <v>250</v>
      </c>
      <c r="D28" s="119">
        <v>200</v>
      </c>
      <c r="E28" s="119">
        <v>0</v>
      </c>
      <c r="F28" s="119">
        <v>500</v>
      </c>
      <c r="G28" s="119">
        <v>200</v>
      </c>
      <c r="H28" s="119">
        <f t="shared" si="0"/>
        <v>1150</v>
      </c>
    </row>
    <row r="29" spans="1:8" x14ac:dyDescent="0.25">
      <c r="A29" s="121" t="s">
        <v>114</v>
      </c>
      <c r="B29" s="119">
        <f t="shared" ref="B29:G29" si="10">SUM(B27:B28)</f>
        <v>1898.0700000000002</v>
      </c>
      <c r="C29" s="119">
        <f t="shared" si="10"/>
        <v>2148.0700000000002</v>
      </c>
      <c r="D29" s="119">
        <f t="shared" si="10"/>
        <v>2098.0700000000002</v>
      </c>
      <c r="E29" s="119">
        <f t="shared" si="10"/>
        <v>0</v>
      </c>
      <c r="F29" s="119">
        <f t="shared" si="10"/>
        <v>7459.6100000000006</v>
      </c>
      <c r="G29" s="119">
        <f t="shared" si="10"/>
        <v>2098.0700000000002</v>
      </c>
      <c r="H29" s="119">
        <f t="shared" si="0"/>
        <v>15701.890000000001</v>
      </c>
    </row>
    <row r="30" spans="1:8" x14ac:dyDescent="0.25">
      <c r="A30" s="116"/>
      <c r="B30" s="116"/>
      <c r="C30" s="116"/>
      <c r="D30" s="116"/>
      <c r="E30" s="116"/>
      <c r="F30" s="116"/>
      <c r="G30" s="116"/>
      <c r="H30" s="119"/>
    </row>
    <row r="31" spans="1:8" x14ac:dyDescent="0.25">
      <c r="A31" s="116"/>
      <c r="B31" s="116"/>
      <c r="C31" s="116"/>
      <c r="D31" s="116"/>
      <c r="E31" s="116"/>
      <c r="F31" s="116"/>
      <c r="G31" s="116"/>
      <c r="H31" s="119"/>
    </row>
    <row r="32" spans="1:8" x14ac:dyDescent="0.25">
      <c r="A32" s="116"/>
      <c r="B32" s="116"/>
      <c r="C32" s="116"/>
      <c r="D32" s="116"/>
      <c r="E32" s="116"/>
      <c r="F32" s="116"/>
      <c r="G32" s="116"/>
      <c r="H32" s="119"/>
    </row>
    <row r="33" spans="1:8" ht="15.75" x14ac:dyDescent="0.25">
      <c r="A33" s="122" t="s">
        <v>115</v>
      </c>
      <c r="B33" s="116"/>
      <c r="C33" s="116"/>
      <c r="D33" s="116"/>
      <c r="E33" s="116"/>
      <c r="F33" s="116"/>
      <c r="G33" s="116"/>
      <c r="H33" s="119"/>
    </row>
    <row r="34" spans="1:8" x14ac:dyDescent="0.25">
      <c r="A34" s="123" t="s">
        <v>11</v>
      </c>
      <c r="B34" s="116"/>
      <c r="C34" s="116"/>
      <c r="D34" s="116"/>
      <c r="E34" s="116"/>
      <c r="F34" s="116"/>
      <c r="G34" s="116"/>
      <c r="H34" s="119"/>
    </row>
    <row r="35" spans="1:8" x14ac:dyDescent="0.25">
      <c r="A35" s="116" t="s">
        <v>36</v>
      </c>
      <c r="B35" s="116">
        <v>0</v>
      </c>
      <c r="C35" s="116">
        <v>0</v>
      </c>
      <c r="D35" s="116">
        <v>0</v>
      </c>
      <c r="E35" s="116">
        <v>0</v>
      </c>
      <c r="F35" s="116">
        <v>0</v>
      </c>
      <c r="G35" s="116">
        <v>0</v>
      </c>
      <c r="H35" s="119"/>
    </row>
    <row r="36" spans="1:8" x14ac:dyDescent="0.25">
      <c r="A36" s="116" t="s">
        <v>12</v>
      </c>
      <c r="B36" s="116">
        <v>0</v>
      </c>
      <c r="C36" s="116">
        <v>0</v>
      </c>
      <c r="D36" s="116">
        <v>0</v>
      </c>
      <c r="E36" s="116">
        <v>0</v>
      </c>
      <c r="F36" s="116">
        <v>0</v>
      </c>
      <c r="G36" s="116">
        <v>0</v>
      </c>
      <c r="H36" s="119"/>
    </row>
    <row r="37" spans="1:8" x14ac:dyDescent="0.25">
      <c r="A37" s="116" t="s">
        <v>13</v>
      </c>
      <c r="B37" s="116">
        <f t="shared" ref="B37:G37" si="11">B35+B36</f>
        <v>0</v>
      </c>
      <c r="C37" s="116">
        <f t="shared" si="11"/>
        <v>0</v>
      </c>
      <c r="D37" s="116">
        <f t="shared" si="11"/>
        <v>0</v>
      </c>
      <c r="E37" s="116">
        <f t="shared" si="11"/>
        <v>0</v>
      </c>
      <c r="F37" s="116">
        <f t="shared" si="11"/>
        <v>0</v>
      </c>
      <c r="G37" s="116">
        <f t="shared" si="11"/>
        <v>0</v>
      </c>
      <c r="H37" s="119"/>
    </row>
    <row r="38" spans="1:8" x14ac:dyDescent="0.25">
      <c r="A38" s="123" t="s">
        <v>14</v>
      </c>
      <c r="B38" s="116"/>
      <c r="C38" s="116"/>
      <c r="D38" s="116"/>
      <c r="E38" s="116"/>
      <c r="F38" s="116"/>
      <c r="G38" s="116"/>
      <c r="H38" s="119"/>
    </row>
    <row r="39" spans="1:8" x14ac:dyDescent="0.25">
      <c r="A39" s="116" t="s">
        <v>116</v>
      </c>
      <c r="B39" s="119">
        <f>B48</f>
        <v>65000</v>
      </c>
      <c r="C39" s="119">
        <f t="shared" ref="C39:G39" si="12">B39+B16</f>
        <v>59811.3</v>
      </c>
      <c r="D39" s="119">
        <f t="shared" si="12"/>
        <v>49017.600000000006</v>
      </c>
      <c r="E39" s="119">
        <f t="shared" si="12"/>
        <v>42436.200000000004</v>
      </c>
      <c r="F39" s="119">
        <f t="shared" si="12"/>
        <v>39301.920000000006</v>
      </c>
      <c r="G39" s="119">
        <f t="shared" si="12"/>
        <v>23768.560000000005</v>
      </c>
      <c r="H39" s="119"/>
    </row>
    <row r="40" spans="1:8" x14ac:dyDescent="0.25">
      <c r="A40" s="116" t="s">
        <v>15</v>
      </c>
      <c r="B40" s="116">
        <v>0</v>
      </c>
      <c r="C40" s="116">
        <v>6000</v>
      </c>
      <c r="D40" s="116">
        <v>4500</v>
      </c>
      <c r="E40" s="116">
        <v>4500</v>
      </c>
      <c r="F40" s="116">
        <v>0</v>
      </c>
      <c r="G40" s="116">
        <v>0</v>
      </c>
      <c r="H40" s="119"/>
    </row>
    <row r="41" spans="1:8" x14ac:dyDescent="0.25">
      <c r="A41" s="123" t="s">
        <v>16</v>
      </c>
      <c r="B41" s="116"/>
      <c r="C41" s="116"/>
      <c r="D41" s="116"/>
      <c r="E41" s="116"/>
      <c r="F41" s="116"/>
      <c r="G41" s="116"/>
      <c r="H41" s="119"/>
    </row>
    <row r="42" spans="1:8" x14ac:dyDescent="0.25">
      <c r="A42" s="116" t="s">
        <v>17</v>
      </c>
      <c r="B42" s="119">
        <f>B21+B22+B27+B28+B40+B11</f>
        <v>5188.7000000000007</v>
      </c>
      <c r="C42" s="119">
        <f>C21+C22+C27+C28+C40+C11</f>
        <v>16793.7</v>
      </c>
      <c r="D42" s="119">
        <f t="shared" ref="D42:E42" si="13">D21+D22+D27+D28+D40+D11</f>
        <v>11081.4</v>
      </c>
      <c r="E42" s="119">
        <f t="shared" si="13"/>
        <v>7634.28</v>
      </c>
      <c r="F42" s="119">
        <f t="shared" ref="F42:G42" si="14">F21+F22+F27+F28+F11</f>
        <v>15533.36</v>
      </c>
      <c r="G42" s="119">
        <f t="shared" si="14"/>
        <v>6404.32</v>
      </c>
      <c r="H42" s="119"/>
    </row>
    <row r="43" spans="1:8" x14ac:dyDescent="0.25">
      <c r="A43" s="116" t="s">
        <v>19</v>
      </c>
      <c r="B43" s="119">
        <f t="shared" ref="B43:G43" si="15">SUM(B39:B40)-B42</f>
        <v>59811.3</v>
      </c>
      <c r="C43" s="119">
        <f t="shared" si="15"/>
        <v>49017.600000000006</v>
      </c>
      <c r="D43" s="119">
        <f t="shared" si="15"/>
        <v>42436.200000000004</v>
      </c>
      <c r="E43" s="119">
        <f t="shared" si="15"/>
        <v>39301.920000000006</v>
      </c>
      <c r="F43" s="119">
        <f t="shared" si="15"/>
        <v>23768.560000000005</v>
      </c>
      <c r="G43" s="119">
        <f t="shared" si="15"/>
        <v>17364.240000000005</v>
      </c>
      <c r="H43" s="119"/>
    </row>
    <row r="44" spans="1:8" x14ac:dyDescent="0.25">
      <c r="A44" s="123" t="s">
        <v>21</v>
      </c>
      <c r="B44" s="116"/>
      <c r="C44" s="116"/>
      <c r="D44" s="116"/>
      <c r="E44" s="116"/>
      <c r="F44" s="116"/>
      <c r="G44" s="116"/>
      <c r="H44" s="119"/>
    </row>
    <row r="45" spans="1:8" x14ac:dyDescent="0.25">
      <c r="A45" s="116" t="s">
        <v>22</v>
      </c>
      <c r="B45" s="116">
        <v>65000</v>
      </c>
      <c r="C45" s="116">
        <v>65000</v>
      </c>
      <c r="D45" s="116">
        <v>65000</v>
      </c>
      <c r="E45" s="116">
        <v>65000</v>
      </c>
      <c r="F45" s="116">
        <v>65000</v>
      </c>
      <c r="G45" s="116">
        <v>65000</v>
      </c>
      <c r="H45" s="119"/>
    </row>
    <row r="46" spans="1:8" x14ac:dyDescent="0.25">
      <c r="A46" s="119" t="s">
        <v>23</v>
      </c>
      <c r="B46" s="119">
        <f t="shared" ref="B46:G46" si="16">B43+B37-B45</f>
        <v>-5188.6999999999971</v>
      </c>
      <c r="C46" s="119">
        <f t="shared" si="16"/>
        <v>-15982.399999999994</v>
      </c>
      <c r="D46" s="119">
        <f t="shared" si="16"/>
        <v>-22563.799999999996</v>
      </c>
      <c r="E46" s="119">
        <f t="shared" si="16"/>
        <v>-25698.079999999994</v>
      </c>
      <c r="F46" s="119">
        <f t="shared" si="16"/>
        <v>-41231.439999999995</v>
      </c>
      <c r="G46" s="119">
        <f t="shared" si="16"/>
        <v>-47635.759999999995</v>
      </c>
      <c r="H46" s="119"/>
    </row>
    <row r="47" spans="1:8" x14ac:dyDescent="0.25">
      <c r="A47" s="116"/>
      <c r="B47" s="116"/>
      <c r="C47" s="116"/>
      <c r="D47" s="116"/>
      <c r="E47" s="116"/>
      <c r="F47" s="116"/>
      <c r="G47" s="116"/>
      <c r="H47" s="119"/>
    </row>
    <row r="48" spans="1:8" x14ac:dyDescent="0.25">
      <c r="A48" s="116" t="s">
        <v>117</v>
      </c>
      <c r="B48" s="116">
        <v>65000</v>
      </c>
      <c r="C48" s="116">
        <v>65000</v>
      </c>
      <c r="D48" s="116">
        <v>65000</v>
      </c>
      <c r="E48" s="116">
        <v>65000</v>
      </c>
      <c r="F48" s="116">
        <v>65000</v>
      </c>
      <c r="G48" s="116">
        <v>65000</v>
      </c>
      <c r="H48" s="119"/>
    </row>
    <row r="49" spans="1:8" x14ac:dyDescent="0.25">
      <c r="A49" s="116" t="s">
        <v>118</v>
      </c>
      <c r="B49" s="119">
        <f t="shared" ref="B49:G49" si="17">B16</f>
        <v>-5188.7000000000007</v>
      </c>
      <c r="C49" s="119">
        <f t="shared" si="17"/>
        <v>-10793.7</v>
      </c>
      <c r="D49" s="119">
        <f t="shared" si="17"/>
        <v>-6581.4</v>
      </c>
      <c r="E49" s="119">
        <f t="shared" si="17"/>
        <v>-3134.2799999999997</v>
      </c>
      <c r="F49" s="119">
        <f t="shared" si="17"/>
        <v>-15533.36</v>
      </c>
      <c r="G49" s="119">
        <f t="shared" si="17"/>
        <v>-6404.32</v>
      </c>
      <c r="H49" s="119">
        <f t="shared" si="0"/>
        <v>-47635.76</v>
      </c>
    </row>
    <row r="50" spans="1:8" x14ac:dyDescent="0.25">
      <c r="A50" s="116"/>
      <c r="B50" s="116"/>
      <c r="C50" s="116"/>
      <c r="D50" s="116"/>
      <c r="E50" s="116"/>
      <c r="F50" s="116"/>
      <c r="G50" s="116"/>
      <c r="H50" s="119"/>
    </row>
    <row r="51" spans="1:8" x14ac:dyDescent="0.25">
      <c r="A51" s="116" t="s">
        <v>119</v>
      </c>
      <c r="B51" s="119">
        <f>B49+B48</f>
        <v>59811.3</v>
      </c>
      <c r="C51" s="119">
        <f t="shared" ref="C51:G51" si="18">B51+C49</f>
        <v>49017.600000000006</v>
      </c>
      <c r="D51" s="119">
        <f t="shared" si="18"/>
        <v>42436.200000000004</v>
      </c>
      <c r="E51" s="119">
        <f t="shared" si="18"/>
        <v>39301.920000000006</v>
      </c>
      <c r="F51" s="119">
        <f t="shared" si="18"/>
        <v>23768.560000000005</v>
      </c>
      <c r="G51" s="119">
        <f t="shared" si="18"/>
        <v>17364.240000000005</v>
      </c>
      <c r="H51" s="119"/>
    </row>
  </sheetData>
  <mergeCells count="1">
    <mergeCell ref="C1:G1"/>
  </mergeCells>
  <conditionalFormatting sqref="B7:G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G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17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65" sqref="N65"/>
    </sheetView>
  </sheetViews>
  <sheetFormatPr defaultColWidth="15.140625" defaultRowHeight="15" customHeight="1" x14ac:dyDescent="0.25"/>
  <cols>
    <col min="1" max="1" width="48.42578125" style="2" customWidth="1"/>
    <col min="2" max="2" width="17.28515625" style="2" bestFit="1" customWidth="1"/>
    <col min="3" max="3" width="16.42578125" style="2" bestFit="1" customWidth="1"/>
    <col min="4" max="4" width="17.28515625" style="2" bestFit="1" customWidth="1"/>
    <col min="5" max="5" width="16.42578125" style="2" bestFit="1" customWidth="1"/>
    <col min="6" max="6" width="16.85546875" style="2" bestFit="1" customWidth="1"/>
    <col min="7" max="12" width="17.28515625" style="2" bestFit="1" customWidth="1"/>
    <col min="13" max="13" width="16.42578125" style="2" customWidth="1"/>
    <col min="14" max="14" width="15.7109375" style="2" customWidth="1"/>
    <col min="15" max="15" width="16.7109375" style="2" bestFit="1" customWidth="1"/>
    <col min="16" max="17" width="17.140625" style="2" bestFit="1" customWidth="1"/>
    <col min="18" max="18" width="17.42578125" style="2" bestFit="1" customWidth="1"/>
    <col min="19" max="19" width="17.140625" style="2" bestFit="1" customWidth="1"/>
    <col min="20" max="20" width="2.7109375" style="2" customWidth="1"/>
    <col min="21" max="21" width="24.85546875" style="2" bestFit="1" customWidth="1"/>
    <col min="22" max="22" width="15.28515625" style="2" customWidth="1"/>
    <col min="23" max="23" width="12.5703125" style="2" bestFit="1" customWidth="1"/>
    <col min="24" max="38" width="7.42578125" style="2" customWidth="1"/>
    <col min="39" max="16384" width="15.140625" style="2"/>
  </cols>
  <sheetData>
    <row r="1" spans="1:38" ht="15" customHeight="1" thickBot="1" x14ac:dyDescent="0.3">
      <c r="A1" s="1"/>
      <c r="B1" s="65" t="s">
        <v>1</v>
      </c>
      <c r="C1" s="44" t="s">
        <v>78</v>
      </c>
      <c r="D1" s="44" t="s">
        <v>79</v>
      </c>
      <c r="E1" s="44" t="s">
        <v>80</v>
      </c>
      <c r="F1" s="44" t="s">
        <v>81</v>
      </c>
      <c r="G1" s="44" t="s">
        <v>82</v>
      </c>
      <c r="H1" s="44" t="s">
        <v>83</v>
      </c>
      <c r="I1" s="44" t="s">
        <v>84</v>
      </c>
      <c r="J1" s="44" t="s">
        <v>85</v>
      </c>
      <c r="K1" s="44" t="s">
        <v>86</v>
      </c>
      <c r="L1" s="44" t="s">
        <v>87</v>
      </c>
      <c r="M1" s="44" t="s">
        <v>88</v>
      </c>
      <c r="N1" s="98" t="s">
        <v>89</v>
      </c>
      <c r="O1" s="65" t="s">
        <v>2</v>
      </c>
      <c r="P1" s="44" t="s">
        <v>3</v>
      </c>
      <c r="Q1" s="44" t="s">
        <v>4</v>
      </c>
      <c r="R1" s="44" t="s">
        <v>5</v>
      </c>
      <c r="S1" s="44" t="s">
        <v>38</v>
      </c>
    </row>
    <row r="2" spans="1:38" ht="20.25" customHeight="1" thickTop="1" thickBot="1" x14ac:dyDescent="0.4">
      <c r="A2" s="55" t="s">
        <v>0</v>
      </c>
      <c r="B2" s="6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92"/>
      <c r="O2" s="66"/>
      <c r="P2" s="56"/>
      <c r="Q2" s="56"/>
      <c r="R2" s="56"/>
      <c r="S2" s="56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 ht="15.75" thickBot="1" x14ac:dyDescent="0.3">
      <c r="A3" s="27" t="s">
        <v>65</v>
      </c>
      <c r="B3" s="67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93"/>
      <c r="O3" s="67"/>
      <c r="P3" s="28"/>
      <c r="Q3" s="28"/>
      <c r="R3" s="28"/>
      <c r="S3" s="28"/>
      <c r="T3" s="3"/>
      <c r="V3" s="3"/>
      <c r="W3" s="3"/>
      <c r="X3" s="3">
        <v>0</v>
      </c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 spans="1:38" x14ac:dyDescent="0.25">
      <c r="A4" s="4" t="s">
        <v>45</v>
      </c>
      <c r="B4" s="68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94"/>
      <c r="O4" s="68"/>
      <c r="P4" s="5"/>
      <c r="Q4" s="5"/>
      <c r="R4" s="5"/>
      <c r="S4" s="5"/>
      <c r="T4" s="3"/>
      <c r="V4" s="3"/>
      <c r="W4" s="3"/>
      <c r="X4" s="3">
        <f>1/12</f>
        <v>8.3333333333333329E-2</v>
      </c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 ht="15.75" thickBot="1" x14ac:dyDescent="0.3">
      <c r="A5" s="9" t="s">
        <v>7</v>
      </c>
      <c r="B5" s="69">
        <v>6000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74">
        <v>0</v>
      </c>
      <c r="O5" s="69">
        <v>0</v>
      </c>
      <c r="P5" s="10">
        <v>0</v>
      </c>
      <c r="Q5" s="10">
        <v>0</v>
      </c>
      <c r="R5" s="10">
        <v>0</v>
      </c>
      <c r="S5" s="10">
        <v>0</v>
      </c>
      <c r="T5" s="7"/>
      <c r="U5" s="8"/>
      <c r="V5" s="3"/>
      <c r="W5" s="3"/>
      <c r="X5" s="3">
        <f>2/12</f>
        <v>0.16666666666666666</v>
      </c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 x14ac:dyDescent="0.25">
      <c r="A6" s="4" t="s">
        <v>44</v>
      </c>
      <c r="B6" s="70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75"/>
      <c r="O6" s="70"/>
      <c r="P6" s="11"/>
      <c r="Q6" s="11"/>
      <c r="R6" s="11"/>
      <c r="S6" s="11"/>
      <c r="T6" s="7"/>
      <c r="U6" s="58" t="s">
        <v>70</v>
      </c>
      <c r="V6" s="3"/>
      <c r="W6" s="3"/>
      <c r="X6" s="3">
        <f>3/12</f>
        <v>0.25</v>
      </c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 x14ac:dyDescent="0.25">
      <c r="A7" s="6" t="s">
        <v>52</v>
      </c>
      <c r="B7" s="71"/>
      <c r="C7" s="7">
        <v>29.99</v>
      </c>
      <c r="D7" s="7">
        <v>29.99</v>
      </c>
      <c r="E7" s="7">
        <v>29.99</v>
      </c>
      <c r="F7" s="7">
        <v>29.99</v>
      </c>
      <c r="G7" s="7">
        <v>29.99</v>
      </c>
      <c r="H7" s="7">
        <v>29.99</v>
      </c>
      <c r="I7" s="7">
        <v>29.99</v>
      </c>
      <c r="J7" s="7">
        <v>29.99</v>
      </c>
      <c r="K7" s="7">
        <v>29.99</v>
      </c>
      <c r="L7" s="7">
        <v>29.99</v>
      </c>
      <c r="M7" s="7">
        <v>29.99</v>
      </c>
      <c r="N7" s="77">
        <v>29.99</v>
      </c>
      <c r="O7" s="71">
        <v>29.99</v>
      </c>
      <c r="P7" s="7">
        <v>29.99</v>
      </c>
      <c r="Q7" s="7">
        <v>29.99</v>
      </c>
      <c r="R7" s="7">
        <v>29.99</v>
      </c>
      <c r="S7" s="7">
        <v>29.99</v>
      </c>
      <c r="T7" s="7"/>
      <c r="U7" s="59">
        <v>0.1</v>
      </c>
      <c r="V7" s="3"/>
      <c r="W7" s="3"/>
      <c r="X7" s="3">
        <f>4/12</f>
        <v>0.33333333333333331</v>
      </c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 ht="15.75" thickBot="1" x14ac:dyDescent="0.3">
      <c r="A8" s="9" t="s">
        <v>53</v>
      </c>
      <c r="B8" s="69"/>
      <c r="C8" s="10">
        <f t="shared" ref="C8:N8" si="0">ROUNDDOWN(C7-C7*$U$7,2)</f>
        <v>26.99</v>
      </c>
      <c r="D8" s="10">
        <f t="shared" si="0"/>
        <v>26.99</v>
      </c>
      <c r="E8" s="10">
        <f t="shared" si="0"/>
        <v>26.99</v>
      </c>
      <c r="F8" s="10">
        <f t="shared" si="0"/>
        <v>26.99</v>
      </c>
      <c r="G8" s="10">
        <f t="shared" si="0"/>
        <v>26.99</v>
      </c>
      <c r="H8" s="10">
        <f t="shared" si="0"/>
        <v>26.99</v>
      </c>
      <c r="I8" s="10">
        <f t="shared" si="0"/>
        <v>26.99</v>
      </c>
      <c r="J8" s="10">
        <f t="shared" si="0"/>
        <v>26.99</v>
      </c>
      <c r="K8" s="10">
        <f t="shared" si="0"/>
        <v>26.99</v>
      </c>
      <c r="L8" s="10">
        <f t="shared" si="0"/>
        <v>26.99</v>
      </c>
      <c r="M8" s="10">
        <f t="shared" si="0"/>
        <v>26.99</v>
      </c>
      <c r="N8" s="74">
        <f t="shared" si="0"/>
        <v>26.99</v>
      </c>
      <c r="O8" s="69">
        <f>ROUNDDOWN(O7-O7*$U$7,2)</f>
        <v>26.99</v>
      </c>
      <c r="P8" s="10">
        <f>ROUNDDOWN(P7-P7*$U$7,2)</f>
        <v>26.99</v>
      </c>
      <c r="Q8" s="10">
        <f>ROUNDDOWN(Q7-Q7*$U$7,2)</f>
        <v>26.99</v>
      </c>
      <c r="R8" s="10">
        <f>ROUNDDOWN(R7-R7*$U$7,2)</f>
        <v>26.99</v>
      </c>
      <c r="S8" s="10">
        <f>ROUNDDOWN(S7-S7*$U$7,2)</f>
        <v>26.99</v>
      </c>
      <c r="T8" s="7"/>
      <c r="U8" s="8"/>
      <c r="V8" s="3"/>
      <c r="W8" s="3"/>
      <c r="X8" s="3">
        <f>5/12</f>
        <v>0.41666666666666669</v>
      </c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 x14ac:dyDescent="0.25">
      <c r="A9" s="4" t="s">
        <v>47</v>
      </c>
      <c r="B9" s="70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75"/>
      <c r="O9" s="70"/>
      <c r="P9" s="11"/>
      <c r="Q9" s="11"/>
      <c r="R9" s="11"/>
      <c r="S9" s="11"/>
      <c r="T9" s="7"/>
      <c r="U9" s="58" t="s">
        <v>6</v>
      </c>
      <c r="V9" s="3"/>
      <c r="W9" s="3"/>
      <c r="X9" s="3">
        <f>6/12</f>
        <v>0.5</v>
      </c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 x14ac:dyDescent="0.25">
      <c r="A10" s="6" t="s">
        <v>41</v>
      </c>
      <c r="B10" s="72">
        <v>0</v>
      </c>
      <c r="C10" s="12">
        <v>0</v>
      </c>
      <c r="D10" s="12">
        <v>550</v>
      </c>
      <c r="E10" s="64">
        <v>450</v>
      </c>
      <c r="F10" s="64">
        <v>300</v>
      </c>
      <c r="G10" s="64">
        <v>275</v>
      </c>
      <c r="H10" s="64">
        <v>100</v>
      </c>
      <c r="I10" s="64">
        <v>250</v>
      </c>
      <c r="J10" s="64">
        <v>144</v>
      </c>
      <c r="K10" s="12">
        <v>277</v>
      </c>
      <c r="L10" s="12">
        <v>220</v>
      </c>
      <c r="M10" s="12">
        <v>370</v>
      </c>
      <c r="N10" s="95">
        <v>295</v>
      </c>
      <c r="O10" s="72">
        <v>3231</v>
      </c>
      <c r="P10" s="12">
        <v>3231</v>
      </c>
      <c r="Q10" s="12">
        <v>3231</v>
      </c>
      <c r="R10" s="12">
        <v>3231</v>
      </c>
      <c r="S10" s="12">
        <v>3231</v>
      </c>
      <c r="T10" s="12"/>
      <c r="U10" s="59">
        <v>0.5</v>
      </c>
      <c r="V10" s="3"/>
      <c r="W10" s="3"/>
      <c r="X10" s="3">
        <f>7/12</f>
        <v>0.58333333333333337</v>
      </c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 x14ac:dyDescent="0.25">
      <c r="A11" s="6" t="s">
        <v>40</v>
      </c>
      <c r="B11" s="72">
        <v>0</v>
      </c>
      <c r="C11" s="12">
        <v>0</v>
      </c>
      <c r="D11" s="12">
        <v>0</v>
      </c>
      <c r="E11" s="64">
        <v>0</v>
      </c>
      <c r="F11" s="64">
        <v>0</v>
      </c>
      <c r="G11" s="64">
        <v>0</v>
      </c>
      <c r="H11" s="64">
        <v>0</v>
      </c>
      <c r="I11" s="64">
        <v>0</v>
      </c>
      <c r="J11" s="64">
        <v>0</v>
      </c>
      <c r="K11" s="64">
        <v>0</v>
      </c>
      <c r="L11" s="64">
        <v>0</v>
      </c>
      <c r="M11" s="64">
        <v>0</v>
      </c>
      <c r="N11" s="96">
        <v>0</v>
      </c>
      <c r="O11" s="72">
        <f>ROUNDDOWN((B10+B11)*$U$10,0)</f>
        <v>0</v>
      </c>
      <c r="P11" s="12">
        <f>ROUNDDOWN((O10+O11)*$U$10,0)</f>
        <v>1615</v>
      </c>
      <c r="Q11" s="12">
        <f>ROUNDDOWN((P10+P11)*$U$10,0)</f>
        <v>2423</v>
      </c>
      <c r="R11" s="12">
        <f>ROUNDDOWN((Q10+Q11)*$U$10,0)</f>
        <v>2827</v>
      </c>
      <c r="S11" s="12">
        <f>ROUNDDOWN((R10+R11)*$U$10,0)</f>
        <v>3029</v>
      </c>
      <c r="T11" s="13"/>
      <c r="V11" s="3"/>
      <c r="W11" s="3"/>
      <c r="X11" s="3">
        <f>8/12</f>
        <v>0.66666666666666663</v>
      </c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 x14ac:dyDescent="0.25">
      <c r="A12" s="6" t="s">
        <v>46</v>
      </c>
      <c r="B12" s="73">
        <f t="shared" ref="B12:S12" si="1">B11+B10</f>
        <v>0</v>
      </c>
      <c r="C12" s="14">
        <f t="shared" si="1"/>
        <v>0</v>
      </c>
      <c r="D12" s="14">
        <f t="shared" si="1"/>
        <v>550</v>
      </c>
      <c r="E12" s="14">
        <f t="shared" si="1"/>
        <v>450</v>
      </c>
      <c r="F12" s="14">
        <f t="shared" si="1"/>
        <v>300</v>
      </c>
      <c r="G12" s="14">
        <f t="shared" si="1"/>
        <v>275</v>
      </c>
      <c r="H12" s="14">
        <f t="shared" si="1"/>
        <v>100</v>
      </c>
      <c r="I12" s="14">
        <f t="shared" si="1"/>
        <v>250</v>
      </c>
      <c r="J12" s="14">
        <f t="shared" si="1"/>
        <v>144</v>
      </c>
      <c r="K12" s="14">
        <f t="shared" si="1"/>
        <v>277</v>
      </c>
      <c r="L12" s="14">
        <f t="shared" si="1"/>
        <v>220</v>
      </c>
      <c r="M12" s="14">
        <f t="shared" si="1"/>
        <v>370</v>
      </c>
      <c r="N12" s="76">
        <f t="shared" si="1"/>
        <v>295</v>
      </c>
      <c r="O12" s="73">
        <f>O11+O10</f>
        <v>3231</v>
      </c>
      <c r="P12" s="14">
        <f t="shared" si="1"/>
        <v>4846</v>
      </c>
      <c r="Q12" s="14">
        <f t="shared" si="1"/>
        <v>5654</v>
      </c>
      <c r="R12" s="14">
        <f t="shared" si="1"/>
        <v>6058</v>
      </c>
      <c r="S12" s="14">
        <f t="shared" si="1"/>
        <v>6260</v>
      </c>
      <c r="T12" s="13"/>
      <c r="U12" s="114" t="s">
        <v>92</v>
      </c>
      <c r="V12" s="3"/>
      <c r="W12" s="3"/>
      <c r="X12" s="3">
        <f>9/12</f>
        <v>0.75</v>
      </c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 ht="15.75" thickBot="1" x14ac:dyDescent="0.3">
      <c r="A13" s="9" t="s">
        <v>51</v>
      </c>
      <c r="B13" s="74">
        <f>B12*B8</f>
        <v>0</v>
      </c>
      <c r="C13" s="10">
        <f>C12*C8</f>
        <v>0</v>
      </c>
      <c r="D13" s="10">
        <f t="shared" ref="D13:N13" si="2">D12*D8</f>
        <v>14844.5</v>
      </c>
      <c r="E13" s="10">
        <f t="shared" si="2"/>
        <v>12145.5</v>
      </c>
      <c r="F13" s="10">
        <f t="shared" si="2"/>
        <v>8096.9999999999991</v>
      </c>
      <c r="G13" s="10">
        <f t="shared" si="2"/>
        <v>7422.25</v>
      </c>
      <c r="H13" s="10">
        <f t="shared" si="2"/>
        <v>2699</v>
      </c>
      <c r="I13" s="10">
        <f t="shared" si="2"/>
        <v>6747.5</v>
      </c>
      <c r="J13" s="10">
        <f t="shared" si="2"/>
        <v>3886.56</v>
      </c>
      <c r="K13" s="10">
        <f t="shared" si="2"/>
        <v>7476.23</v>
      </c>
      <c r="L13" s="10">
        <f t="shared" si="2"/>
        <v>5937.7999999999993</v>
      </c>
      <c r="M13" s="10">
        <f t="shared" si="2"/>
        <v>9986.2999999999993</v>
      </c>
      <c r="N13" s="74">
        <f t="shared" si="2"/>
        <v>7962.0499999999993</v>
      </c>
      <c r="O13" s="69">
        <f>O12*O8</f>
        <v>87204.689999999988</v>
      </c>
      <c r="P13" s="10">
        <f>P12*P8</f>
        <v>130793.54</v>
      </c>
      <c r="Q13" s="10">
        <f t="shared" ref="Q13" si="3">Q12*Q8</f>
        <v>152601.46</v>
      </c>
      <c r="R13" s="10">
        <f t="shared" ref="R13" si="4">R12*R8</f>
        <v>163505.41999999998</v>
      </c>
      <c r="S13" s="10">
        <f t="shared" ref="S13" si="5">S12*S8</f>
        <v>168957.4</v>
      </c>
      <c r="T13" s="7"/>
      <c r="U13" s="115">
        <v>3650</v>
      </c>
      <c r="V13" s="3"/>
      <c r="W13" s="3"/>
      <c r="X13" s="3">
        <f>10/12</f>
        <v>0.83333333333333337</v>
      </c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x14ac:dyDescent="0.25">
      <c r="A14" s="4" t="s">
        <v>48</v>
      </c>
      <c r="B14" s="75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75"/>
      <c r="O14" s="70"/>
      <c r="P14" s="11"/>
      <c r="Q14" s="11"/>
      <c r="R14" s="11"/>
      <c r="S14" s="11"/>
      <c r="T14" s="7"/>
      <c r="U14" s="114"/>
      <c r="V14" s="3"/>
      <c r="W14" s="3"/>
      <c r="X14" s="3">
        <f>11/12</f>
        <v>0.91666666666666663</v>
      </c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x14ac:dyDescent="0.25">
      <c r="A15" s="6" t="s">
        <v>42</v>
      </c>
      <c r="B15" s="76">
        <v>0</v>
      </c>
      <c r="C15" s="14">
        <v>0</v>
      </c>
      <c r="D15" s="14">
        <v>30</v>
      </c>
      <c r="E15" s="14">
        <v>20</v>
      </c>
      <c r="F15" s="14">
        <v>10</v>
      </c>
      <c r="G15" s="14">
        <v>2</v>
      </c>
      <c r="H15" s="14">
        <v>2</v>
      </c>
      <c r="I15" s="14">
        <v>3</v>
      </c>
      <c r="J15" s="14">
        <v>3</v>
      </c>
      <c r="K15" s="14">
        <v>4</v>
      </c>
      <c r="L15" s="14">
        <v>4</v>
      </c>
      <c r="M15" s="14">
        <v>5</v>
      </c>
      <c r="N15" s="76">
        <v>5</v>
      </c>
      <c r="O15" s="73">
        <v>88</v>
      </c>
      <c r="P15" s="14">
        <v>88</v>
      </c>
      <c r="Q15" s="14">
        <v>88</v>
      </c>
      <c r="R15" s="14">
        <v>88</v>
      </c>
      <c r="S15" s="14">
        <v>88</v>
      </c>
      <c r="T15" s="13"/>
      <c r="U15" s="114" t="s">
        <v>91</v>
      </c>
      <c r="V15" s="3"/>
      <c r="W15" s="3"/>
      <c r="X15" s="3">
        <f>12/12</f>
        <v>1</v>
      </c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x14ac:dyDescent="0.25">
      <c r="A16" s="6" t="s">
        <v>43</v>
      </c>
      <c r="B16" s="76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76">
        <v>0</v>
      </c>
      <c r="O16" s="73">
        <v>0</v>
      </c>
      <c r="P16" s="14">
        <f>ROUNDDOWN((O15+O16)*$U$10,0)</f>
        <v>44</v>
      </c>
      <c r="Q16" s="14">
        <f>ROUNDDOWN((P15+P16)*$U$10,0)</f>
        <v>66</v>
      </c>
      <c r="R16" s="14">
        <f>ROUNDDOWN((Q15+Q16)*$U$10,0)</f>
        <v>77</v>
      </c>
      <c r="S16" s="14">
        <f>ROUNDDOWN((R15+R16)*$U$10,0)</f>
        <v>82</v>
      </c>
      <c r="T16" s="13"/>
      <c r="U16" s="115">
        <v>18091.8</v>
      </c>
      <c r="V16" s="3"/>
      <c r="W16" s="3"/>
      <c r="X16" s="3">
        <v>2</v>
      </c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x14ac:dyDescent="0.25">
      <c r="A17" s="6" t="s">
        <v>49</v>
      </c>
      <c r="B17" s="76">
        <v>0</v>
      </c>
      <c r="C17" s="14">
        <v>0</v>
      </c>
      <c r="D17" s="14">
        <f t="shared" ref="D17:N17" si="6">D15+D16</f>
        <v>30</v>
      </c>
      <c r="E17" s="14">
        <f t="shared" si="6"/>
        <v>20</v>
      </c>
      <c r="F17" s="14">
        <f t="shared" si="6"/>
        <v>10</v>
      </c>
      <c r="G17" s="14">
        <f t="shared" si="6"/>
        <v>2</v>
      </c>
      <c r="H17" s="14">
        <f t="shared" si="6"/>
        <v>2</v>
      </c>
      <c r="I17" s="14">
        <f t="shared" si="6"/>
        <v>3</v>
      </c>
      <c r="J17" s="14">
        <f t="shared" si="6"/>
        <v>3</v>
      </c>
      <c r="K17" s="14">
        <f t="shared" si="6"/>
        <v>4</v>
      </c>
      <c r="L17" s="14">
        <f t="shared" si="6"/>
        <v>4</v>
      </c>
      <c r="M17" s="14">
        <f t="shared" si="6"/>
        <v>5</v>
      </c>
      <c r="N17" s="76">
        <f t="shared" si="6"/>
        <v>5</v>
      </c>
      <c r="O17" s="73">
        <f>O15+O16</f>
        <v>88</v>
      </c>
      <c r="P17" s="14">
        <f t="shared" ref="P17:S17" si="7">P15+P16</f>
        <v>132</v>
      </c>
      <c r="Q17" s="14">
        <f t="shared" si="7"/>
        <v>154</v>
      </c>
      <c r="R17" s="14">
        <f t="shared" si="7"/>
        <v>165</v>
      </c>
      <c r="S17" s="14">
        <f t="shared" si="7"/>
        <v>170</v>
      </c>
      <c r="T17" s="13"/>
      <c r="U17" s="14"/>
      <c r="V17" s="3"/>
      <c r="W17" s="3"/>
      <c r="X17" s="3">
        <v>3</v>
      </c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 x14ac:dyDescent="0.25">
      <c r="A18" s="6" t="s">
        <v>50</v>
      </c>
      <c r="B18" s="77">
        <v>0</v>
      </c>
      <c r="C18" s="7">
        <f t="shared" ref="C18:N18" si="8">C17*C7</f>
        <v>0</v>
      </c>
      <c r="D18" s="7">
        <f t="shared" si="8"/>
        <v>899.69999999999993</v>
      </c>
      <c r="E18" s="7">
        <f t="shared" si="8"/>
        <v>599.79999999999995</v>
      </c>
      <c r="F18" s="7">
        <f t="shared" si="8"/>
        <v>299.89999999999998</v>
      </c>
      <c r="G18" s="7">
        <f t="shared" si="8"/>
        <v>59.98</v>
      </c>
      <c r="H18" s="7">
        <f t="shared" si="8"/>
        <v>59.98</v>
      </c>
      <c r="I18" s="7">
        <f t="shared" si="8"/>
        <v>89.97</v>
      </c>
      <c r="J18" s="7">
        <f t="shared" si="8"/>
        <v>89.97</v>
      </c>
      <c r="K18" s="7">
        <f t="shared" si="8"/>
        <v>119.96</v>
      </c>
      <c r="L18" s="7">
        <f t="shared" si="8"/>
        <v>119.96</v>
      </c>
      <c r="M18" s="7">
        <f t="shared" si="8"/>
        <v>149.94999999999999</v>
      </c>
      <c r="N18" s="77">
        <f t="shared" si="8"/>
        <v>149.94999999999999</v>
      </c>
      <c r="O18" s="71">
        <f>O17*O7</f>
        <v>2639.12</v>
      </c>
      <c r="P18" s="7">
        <f t="shared" ref="P18:R18" si="9">P17*P7</f>
        <v>3958.68</v>
      </c>
      <c r="Q18" s="7">
        <f t="shared" si="9"/>
        <v>4618.46</v>
      </c>
      <c r="R18" s="7">
        <f t="shared" si="9"/>
        <v>4948.3499999999995</v>
      </c>
      <c r="S18" s="7">
        <f>S17*S7</f>
        <v>5098.3</v>
      </c>
      <c r="T18" s="7"/>
      <c r="U18" s="7"/>
      <c r="V18" s="3"/>
      <c r="W18" s="3"/>
      <c r="X18" s="3">
        <v>4</v>
      </c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 x14ac:dyDescent="0.25">
      <c r="A19" s="6" t="s">
        <v>77</v>
      </c>
      <c r="B19" s="76">
        <f>B12+B17</f>
        <v>0</v>
      </c>
      <c r="C19" s="14">
        <f t="shared" ref="C19:N19" si="10">C12+C17</f>
        <v>0</v>
      </c>
      <c r="D19" s="14">
        <f t="shared" si="10"/>
        <v>580</v>
      </c>
      <c r="E19" s="14">
        <f t="shared" si="10"/>
        <v>470</v>
      </c>
      <c r="F19" s="14">
        <f t="shared" si="10"/>
        <v>310</v>
      </c>
      <c r="G19" s="14">
        <f t="shared" si="10"/>
        <v>277</v>
      </c>
      <c r="H19" s="14">
        <f t="shared" si="10"/>
        <v>102</v>
      </c>
      <c r="I19" s="14">
        <f t="shared" si="10"/>
        <v>253</v>
      </c>
      <c r="J19" s="14">
        <f t="shared" si="10"/>
        <v>147</v>
      </c>
      <c r="K19" s="14">
        <f t="shared" si="10"/>
        <v>281</v>
      </c>
      <c r="L19" s="14">
        <f t="shared" si="10"/>
        <v>224</v>
      </c>
      <c r="M19" s="14">
        <f t="shared" si="10"/>
        <v>375</v>
      </c>
      <c r="N19" s="76">
        <f t="shared" si="10"/>
        <v>300</v>
      </c>
      <c r="O19" s="73">
        <f t="shared" ref="O19:S19" si="11">O12+O17</f>
        <v>3319</v>
      </c>
      <c r="P19" s="14">
        <f t="shared" si="11"/>
        <v>4978</v>
      </c>
      <c r="Q19" s="14">
        <f t="shared" si="11"/>
        <v>5808</v>
      </c>
      <c r="R19" s="14">
        <f t="shared" si="11"/>
        <v>6223</v>
      </c>
      <c r="S19" s="14">
        <f t="shared" si="11"/>
        <v>6430</v>
      </c>
      <c r="T19" s="7"/>
      <c r="U19" s="14"/>
      <c r="V19" s="3"/>
      <c r="W19" s="3"/>
      <c r="X19" s="3">
        <v>5</v>
      </c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x14ac:dyDescent="0.25">
      <c r="A20" s="6"/>
      <c r="B20" s="7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7"/>
      <c r="O20" s="71"/>
      <c r="P20" s="7"/>
      <c r="Q20" s="7"/>
      <c r="R20" s="7"/>
      <c r="S20" s="7"/>
      <c r="T20" s="7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ht="15.75" thickBot="1" x14ac:dyDescent="0.3">
      <c r="A21" s="33" t="s">
        <v>90</v>
      </c>
      <c r="B21" s="78">
        <f>B5+B13+B18</f>
        <v>6000</v>
      </c>
      <c r="C21" s="34">
        <f t="shared" ref="C21:N21" si="12">C5+C13+C18</f>
        <v>0</v>
      </c>
      <c r="D21" s="34">
        <f>D5+D13+D18</f>
        <v>15744.2</v>
      </c>
      <c r="E21" s="34">
        <f>E5+E13+E18</f>
        <v>12745.3</v>
      </c>
      <c r="F21" s="34">
        <f t="shared" si="12"/>
        <v>8396.9</v>
      </c>
      <c r="G21" s="34">
        <f t="shared" si="12"/>
        <v>7482.23</v>
      </c>
      <c r="H21" s="34">
        <f t="shared" si="12"/>
        <v>2758.98</v>
      </c>
      <c r="I21" s="34">
        <f t="shared" si="12"/>
        <v>6837.47</v>
      </c>
      <c r="J21" s="34">
        <f t="shared" si="12"/>
        <v>3976.5299999999997</v>
      </c>
      <c r="K21" s="34">
        <f t="shared" si="12"/>
        <v>7596.19</v>
      </c>
      <c r="L21" s="34">
        <f t="shared" si="12"/>
        <v>6057.7599999999993</v>
      </c>
      <c r="M21" s="34">
        <f t="shared" si="12"/>
        <v>10136.25</v>
      </c>
      <c r="N21" s="78">
        <f t="shared" si="12"/>
        <v>8111.9999999999991</v>
      </c>
      <c r="O21" s="99">
        <f t="shared" ref="O21:S21" si="13">O5+O13+O18</f>
        <v>89843.809999999983</v>
      </c>
      <c r="P21" s="34">
        <f t="shared" si="13"/>
        <v>134752.22</v>
      </c>
      <c r="Q21" s="34">
        <f t="shared" si="13"/>
        <v>157219.91999999998</v>
      </c>
      <c r="R21" s="34">
        <f t="shared" si="13"/>
        <v>168453.77</v>
      </c>
      <c r="S21" s="34">
        <f t="shared" si="13"/>
        <v>174055.69999999998</v>
      </c>
      <c r="T21" s="7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ht="15.75" thickBot="1" x14ac:dyDescent="0.3">
      <c r="A22" s="27" t="s">
        <v>64</v>
      </c>
      <c r="B22" s="79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79"/>
      <c r="O22" s="100"/>
      <c r="P22" s="35"/>
      <c r="Q22" s="35"/>
      <c r="R22" s="35"/>
      <c r="S22" s="35"/>
      <c r="T22" s="7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x14ac:dyDescent="0.25">
      <c r="A23" s="4" t="s">
        <v>54</v>
      </c>
      <c r="B23" s="75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75"/>
      <c r="O23" s="70"/>
      <c r="P23" s="11"/>
      <c r="Q23" s="11"/>
      <c r="R23" s="11"/>
      <c r="S23" s="11"/>
      <c r="T23" s="7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x14ac:dyDescent="0.25">
      <c r="A24" s="17" t="s">
        <v>18</v>
      </c>
      <c r="B24" s="77">
        <f>2300</f>
        <v>2300</v>
      </c>
      <c r="C24" s="7">
        <f>$O$24/12</f>
        <v>433.33333333333331</v>
      </c>
      <c r="D24" s="7">
        <f t="shared" ref="D24:M24" si="14">$O$24/12</f>
        <v>433.33333333333331</v>
      </c>
      <c r="E24" s="7">
        <f t="shared" si="14"/>
        <v>433.33333333333331</v>
      </c>
      <c r="F24" s="7">
        <f t="shared" si="14"/>
        <v>433.33333333333331</v>
      </c>
      <c r="G24" s="7">
        <f t="shared" si="14"/>
        <v>433.33333333333331</v>
      </c>
      <c r="H24" s="7">
        <f>$O$24/12</f>
        <v>433.33333333333331</v>
      </c>
      <c r="I24" s="7">
        <f t="shared" si="14"/>
        <v>433.33333333333331</v>
      </c>
      <c r="J24" s="7">
        <f t="shared" si="14"/>
        <v>433.33333333333331</v>
      </c>
      <c r="K24" s="7">
        <f t="shared" si="14"/>
        <v>433.33333333333331</v>
      </c>
      <c r="L24" s="7">
        <f t="shared" si="14"/>
        <v>433.33333333333331</v>
      </c>
      <c r="M24" s="7">
        <f t="shared" si="14"/>
        <v>433.33333333333331</v>
      </c>
      <c r="N24" s="77">
        <f>$O$24/12</f>
        <v>433.33333333333331</v>
      </c>
      <c r="O24" s="71">
        <f t="shared" ref="O24:S24" si="15">100*52</f>
        <v>5200</v>
      </c>
      <c r="P24" s="7">
        <f t="shared" si="15"/>
        <v>5200</v>
      </c>
      <c r="Q24" s="7">
        <f t="shared" si="15"/>
        <v>5200</v>
      </c>
      <c r="R24" s="7">
        <f t="shared" si="15"/>
        <v>5200</v>
      </c>
      <c r="S24" s="7">
        <f t="shared" si="15"/>
        <v>5200</v>
      </c>
      <c r="T24" s="7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x14ac:dyDescent="0.25">
      <c r="A25" s="17" t="s">
        <v>10</v>
      </c>
      <c r="B25" s="77">
        <f>1150</f>
        <v>1150</v>
      </c>
      <c r="C25" s="7">
        <f>$O$25/12</f>
        <v>216.66666666666666</v>
      </c>
      <c r="D25" s="7">
        <f t="shared" ref="D25:M25" si="16">$O$25/12</f>
        <v>216.66666666666666</v>
      </c>
      <c r="E25" s="7">
        <f t="shared" si="16"/>
        <v>216.66666666666666</v>
      </c>
      <c r="F25" s="7">
        <f t="shared" si="16"/>
        <v>216.66666666666666</v>
      </c>
      <c r="G25" s="7">
        <f t="shared" si="16"/>
        <v>216.66666666666666</v>
      </c>
      <c r="H25" s="7">
        <f t="shared" si="16"/>
        <v>216.66666666666666</v>
      </c>
      <c r="I25" s="7">
        <f t="shared" si="16"/>
        <v>216.66666666666666</v>
      </c>
      <c r="J25" s="7">
        <f t="shared" si="16"/>
        <v>216.66666666666666</v>
      </c>
      <c r="K25" s="7">
        <f t="shared" si="16"/>
        <v>216.66666666666666</v>
      </c>
      <c r="L25" s="7">
        <f t="shared" si="16"/>
        <v>216.66666666666666</v>
      </c>
      <c r="M25" s="7">
        <f t="shared" si="16"/>
        <v>216.66666666666666</v>
      </c>
      <c r="N25" s="77">
        <f>$O$25/12</f>
        <v>216.66666666666666</v>
      </c>
      <c r="O25" s="71">
        <f t="shared" ref="O25:S25" si="17">50*52</f>
        <v>2600</v>
      </c>
      <c r="P25" s="7">
        <f t="shared" si="17"/>
        <v>2600</v>
      </c>
      <c r="Q25" s="7">
        <f t="shared" si="17"/>
        <v>2600</v>
      </c>
      <c r="R25" s="7">
        <f t="shared" si="17"/>
        <v>2600</v>
      </c>
      <c r="S25" s="7">
        <f t="shared" si="17"/>
        <v>2600</v>
      </c>
      <c r="T25" s="7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ht="16.5" customHeight="1" x14ac:dyDescent="0.25">
      <c r="A26" s="17" t="s">
        <v>9</v>
      </c>
      <c r="B26" s="77">
        <f>14551.89</f>
        <v>14551.89</v>
      </c>
      <c r="C26" s="7">
        <f>$O$26/12</f>
        <v>1370.8333333333333</v>
      </c>
      <c r="D26" s="7">
        <f t="shared" ref="D26:N26" si="18">$O$26/12</f>
        <v>1370.8333333333333</v>
      </c>
      <c r="E26" s="7">
        <f t="shared" si="18"/>
        <v>1370.8333333333333</v>
      </c>
      <c r="F26" s="7">
        <f t="shared" si="18"/>
        <v>1370.8333333333333</v>
      </c>
      <c r="G26" s="7">
        <f t="shared" si="18"/>
        <v>1370.8333333333333</v>
      </c>
      <c r="H26" s="7">
        <f t="shared" si="18"/>
        <v>1370.8333333333333</v>
      </c>
      <c r="I26" s="7">
        <f t="shared" si="18"/>
        <v>1370.8333333333333</v>
      </c>
      <c r="J26" s="7">
        <f t="shared" si="18"/>
        <v>1370.8333333333333</v>
      </c>
      <c r="K26" s="7">
        <f t="shared" si="18"/>
        <v>1370.8333333333333</v>
      </c>
      <c r="L26" s="7">
        <f t="shared" si="18"/>
        <v>1370.8333333333333</v>
      </c>
      <c r="M26" s="7">
        <f>$O$26/12</f>
        <v>1370.8333333333333</v>
      </c>
      <c r="N26" s="77">
        <f t="shared" si="18"/>
        <v>1370.8333333333333</v>
      </c>
      <c r="O26" s="71">
        <f>(1400*23.5)/2</f>
        <v>16450</v>
      </c>
      <c r="P26" s="7">
        <f t="shared" ref="P26:S26" si="19">(1400*23.5)/2</f>
        <v>16450</v>
      </c>
      <c r="Q26" s="7">
        <f t="shared" si="19"/>
        <v>16450</v>
      </c>
      <c r="R26" s="7">
        <f t="shared" si="19"/>
        <v>16450</v>
      </c>
      <c r="S26" s="7">
        <f t="shared" si="19"/>
        <v>16450</v>
      </c>
      <c r="T26" s="7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x14ac:dyDescent="0.25">
      <c r="A27" s="6" t="s">
        <v>27</v>
      </c>
      <c r="B27" s="77">
        <v>0</v>
      </c>
      <c r="C27" s="7">
        <f t="shared" ref="C27:M27" si="20">$O$27/12</f>
        <v>19.383333333333333</v>
      </c>
      <c r="D27" s="7">
        <f t="shared" si="20"/>
        <v>19.383333333333333</v>
      </c>
      <c r="E27" s="7">
        <f t="shared" si="20"/>
        <v>19.383333333333333</v>
      </c>
      <c r="F27" s="7">
        <f t="shared" si="20"/>
        <v>19.383333333333333</v>
      </c>
      <c r="G27" s="7">
        <f t="shared" si="20"/>
        <v>19.383333333333333</v>
      </c>
      <c r="H27" s="7">
        <f t="shared" si="20"/>
        <v>19.383333333333333</v>
      </c>
      <c r="I27" s="7">
        <f t="shared" si="20"/>
        <v>19.383333333333333</v>
      </c>
      <c r="J27" s="7">
        <f t="shared" si="20"/>
        <v>19.383333333333333</v>
      </c>
      <c r="K27" s="7">
        <f t="shared" si="20"/>
        <v>19.383333333333333</v>
      </c>
      <c r="L27" s="7">
        <f t="shared" si="20"/>
        <v>19.383333333333333</v>
      </c>
      <c r="M27" s="7">
        <f t="shared" si="20"/>
        <v>19.383333333333333</v>
      </c>
      <c r="N27" s="77">
        <f>$O$27/12</f>
        <v>19.383333333333333</v>
      </c>
      <c r="O27" s="71">
        <v>232.6</v>
      </c>
      <c r="P27" s="7">
        <v>232.6</v>
      </c>
      <c r="Q27" s="7">
        <v>232.6</v>
      </c>
      <c r="R27" s="7">
        <v>232.6</v>
      </c>
      <c r="S27" s="7">
        <v>232.6</v>
      </c>
      <c r="T27" s="7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ht="15.75" thickBot="1" x14ac:dyDescent="0.3">
      <c r="A28" s="9" t="s">
        <v>26</v>
      </c>
      <c r="B28" s="74">
        <v>0</v>
      </c>
      <c r="C28" s="10">
        <f>($U$13/12)+($U$16/6)</f>
        <v>3319.4666666666662</v>
      </c>
      <c r="D28" s="10">
        <f>($U$13/12)</f>
        <v>304.16666666666669</v>
      </c>
      <c r="E28" s="10">
        <f>($U$13/12)+($U$16/6)</f>
        <v>3319.4666666666662</v>
      </c>
      <c r="F28" s="10">
        <f>($U$13/12)</f>
        <v>304.16666666666669</v>
      </c>
      <c r="G28" s="10">
        <f>($U$13/12)+($U$16/6)</f>
        <v>3319.4666666666662</v>
      </c>
      <c r="H28" s="10">
        <f>($U$13/12)</f>
        <v>304.16666666666669</v>
      </c>
      <c r="I28" s="10">
        <f>($U$13/12)+($U$16/6)</f>
        <v>3319.4666666666662</v>
      </c>
      <c r="J28" s="10">
        <f>($U$13/12)</f>
        <v>304.16666666666669</v>
      </c>
      <c r="K28" s="10">
        <f>($U$13/12)+($U$16/6)</f>
        <v>3319.4666666666662</v>
      </c>
      <c r="L28" s="10">
        <f>($U$13/12)</f>
        <v>304.16666666666669</v>
      </c>
      <c r="M28" s="10">
        <f>($U$13/12)+($U$16/6)</f>
        <v>3319.4666666666662</v>
      </c>
      <c r="N28" s="74">
        <f>($U$13/12)</f>
        <v>304.16666666666669</v>
      </c>
      <c r="O28" s="69">
        <f>$U$13+$U$16</f>
        <v>21741.8</v>
      </c>
      <c r="P28" s="113">
        <f>$U$13+$U$16</f>
        <v>21741.8</v>
      </c>
      <c r="Q28" s="10">
        <f>$U$13+$U$16</f>
        <v>21741.8</v>
      </c>
      <c r="R28" s="10">
        <f>$U$13+$U$16</f>
        <v>21741.8</v>
      </c>
      <c r="S28" s="10">
        <f>$U$13+$U$16</f>
        <v>21741.8</v>
      </c>
      <c r="T28" s="7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ht="15" customHeight="1" x14ac:dyDescent="0.25">
      <c r="A29" s="39" t="s">
        <v>55</v>
      </c>
      <c r="B29" s="80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80"/>
      <c r="O29" s="101"/>
      <c r="P29" s="38"/>
      <c r="Q29" s="38"/>
      <c r="R29" s="38"/>
      <c r="S29" s="38"/>
    </row>
    <row r="30" spans="1:38" x14ac:dyDescent="0.25">
      <c r="A30" s="17" t="s">
        <v>20</v>
      </c>
      <c r="B30" s="77">
        <v>24368.87</v>
      </c>
      <c r="C30" s="7">
        <f t="shared" ref="C30:M30" si="21">$O$30/12</f>
        <v>4061.478333333333</v>
      </c>
      <c r="D30" s="7">
        <f t="shared" si="21"/>
        <v>4061.478333333333</v>
      </c>
      <c r="E30" s="7">
        <f t="shared" si="21"/>
        <v>4061.478333333333</v>
      </c>
      <c r="F30" s="7">
        <f t="shared" si="21"/>
        <v>4061.478333333333</v>
      </c>
      <c r="G30" s="7">
        <f t="shared" si="21"/>
        <v>4061.478333333333</v>
      </c>
      <c r="H30" s="7">
        <f t="shared" si="21"/>
        <v>4061.478333333333</v>
      </c>
      <c r="I30" s="7">
        <f t="shared" si="21"/>
        <v>4061.478333333333</v>
      </c>
      <c r="J30" s="7">
        <f t="shared" si="21"/>
        <v>4061.478333333333</v>
      </c>
      <c r="K30" s="7">
        <f t="shared" si="21"/>
        <v>4061.478333333333</v>
      </c>
      <c r="L30" s="7">
        <f t="shared" si="21"/>
        <v>4061.478333333333</v>
      </c>
      <c r="M30" s="7">
        <f t="shared" si="21"/>
        <v>4061.478333333333</v>
      </c>
      <c r="N30" s="77">
        <f>$O$30/12</f>
        <v>4061.478333333333</v>
      </c>
      <c r="O30" s="71">
        <f>$B$30 * 2</f>
        <v>48737.74</v>
      </c>
      <c r="P30" s="7">
        <f>$B$30 * 2</f>
        <v>48737.74</v>
      </c>
      <c r="Q30" s="7">
        <f>$B$30 * 2</f>
        <v>48737.74</v>
      </c>
      <c r="R30" s="7">
        <f>$B$30 * 2</f>
        <v>48737.74</v>
      </c>
      <c r="S30" s="7">
        <f>$B$30 * 2</f>
        <v>48737.74</v>
      </c>
      <c r="T30" s="7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x14ac:dyDescent="0.25">
      <c r="A31" s="17" t="s">
        <v>24</v>
      </c>
      <c r="B31" s="77">
        <v>6000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7">
        <v>0</v>
      </c>
      <c r="O31" s="71">
        <v>0</v>
      </c>
      <c r="P31" s="7">
        <v>0</v>
      </c>
      <c r="Q31" s="7">
        <v>0</v>
      </c>
      <c r="R31" s="7">
        <v>0</v>
      </c>
      <c r="S31" s="7">
        <v>0</v>
      </c>
      <c r="T31" s="7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 ht="15.75" thickBot="1" x14ac:dyDescent="0.3">
      <c r="A32" s="9" t="s">
        <v>28</v>
      </c>
      <c r="B32" s="74">
        <v>0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74">
        <v>0</v>
      </c>
      <c r="O32" s="69">
        <v>0</v>
      </c>
      <c r="P32" s="10">
        <v>0</v>
      </c>
      <c r="Q32" s="10">
        <v>0</v>
      </c>
      <c r="R32" s="10">
        <v>0</v>
      </c>
      <c r="S32" s="10">
        <v>0</v>
      </c>
      <c r="T32" s="7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1:38" ht="15" customHeight="1" x14ac:dyDescent="0.25">
      <c r="A33" s="39" t="s">
        <v>56</v>
      </c>
      <c r="B33" s="80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80"/>
      <c r="O33" s="101"/>
      <c r="P33" s="38"/>
      <c r="Q33" s="38"/>
      <c r="R33" s="38"/>
      <c r="S33" s="38"/>
    </row>
    <row r="34" spans="1:38" x14ac:dyDescent="0.25">
      <c r="A34" s="17" t="s">
        <v>25</v>
      </c>
      <c r="B34" s="77">
        <v>5265</v>
      </c>
      <c r="C34" s="7">
        <f t="shared" ref="C34:M34" si="22">$O$34/12</f>
        <v>913.25</v>
      </c>
      <c r="D34" s="7">
        <f t="shared" si="22"/>
        <v>913.25</v>
      </c>
      <c r="E34" s="7">
        <f t="shared" si="22"/>
        <v>913.25</v>
      </c>
      <c r="F34" s="7">
        <f t="shared" si="22"/>
        <v>913.25</v>
      </c>
      <c r="G34" s="7">
        <f t="shared" si="22"/>
        <v>913.25</v>
      </c>
      <c r="H34" s="7">
        <f t="shared" si="22"/>
        <v>913.25</v>
      </c>
      <c r="I34" s="7">
        <f t="shared" si="22"/>
        <v>913.25</v>
      </c>
      <c r="J34" s="7">
        <f t="shared" si="22"/>
        <v>913.25</v>
      </c>
      <c r="K34" s="7">
        <f t="shared" si="22"/>
        <v>913.25</v>
      </c>
      <c r="L34" s="7">
        <f t="shared" si="22"/>
        <v>913.25</v>
      </c>
      <c r="M34" s="7">
        <f t="shared" si="22"/>
        <v>913.25</v>
      </c>
      <c r="N34" s="77">
        <f>$O$34/12</f>
        <v>913.25</v>
      </c>
      <c r="O34" s="71">
        <f>(N80+N77)*0.1686</f>
        <v>10959</v>
      </c>
      <c r="P34" s="7">
        <f>(O80+O77)*0.1686</f>
        <v>10959</v>
      </c>
      <c r="Q34" s="7">
        <f>(P80+P77)*0.1686</f>
        <v>8430</v>
      </c>
      <c r="R34" s="7">
        <f t="shared" ref="R34:S34" si="23">(Q80+Q77)*0.1686</f>
        <v>1686</v>
      </c>
      <c r="S34" s="7">
        <f t="shared" si="23"/>
        <v>0</v>
      </c>
      <c r="T34" s="7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1:38" ht="15" customHeight="1" x14ac:dyDescent="0.25">
      <c r="A35" s="40"/>
      <c r="B35" s="40"/>
      <c r="N35" s="40"/>
      <c r="O35" s="102"/>
    </row>
    <row r="36" spans="1:38" ht="15" customHeight="1" thickBot="1" x14ac:dyDescent="0.3">
      <c r="A36" s="41" t="s">
        <v>66</v>
      </c>
      <c r="B36" s="81">
        <f t="shared" ref="B36:S36" si="24">SUM(B24:B34)</f>
        <v>53635.759999999995</v>
      </c>
      <c r="C36" s="54">
        <f t="shared" si="24"/>
        <v>10334.411666666665</v>
      </c>
      <c r="D36" s="54">
        <f t="shared" si="24"/>
        <v>7319.1116666666658</v>
      </c>
      <c r="E36" s="54">
        <f t="shared" si="24"/>
        <v>10334.411666666665</v>
      </c>
      <c r="F36" s="54">
        <f t="shared" si="24"/>
        <v>7319.1116666666658</v>
      </c>
      <c r="G36" s="54">
        <f t="shared" si="24"/>
        <v>10334.411666666665</v>
      </c>
      <c r="H36" s="54">
        <f t="shared" si="24"/>
        <v>7319.1116666666658</v>
      </c>
      <c r="I36" s="54">
        <f t="shared" si="24"/>
        <v>10334.411666666665</v>
      </c>
      <c r="J36" s="54">
        <f t="shared" si="24"/>
        <v>7319.1116666666658</v>
      </c>
      <c r="K36" s="54">
        <f t="shared" si="24"/>
        <v>10334.411666666665</v>
      </c>
      <c r="L36" s="54">
        <f t="shared" si="24"/>
        <v>7319.1116666666658</v>
      </c>
      <c r="M36" s="54">
        <f t="shared" si="24"/>
        <v>10334.411666666665</v>
      </c>
      <c r="N36" s="81">
        <f>SUM(N24:N34)</f>
        <v>7319.1116666666658</v>
      </c>
      <c r="O36" s="103">
        <f t="shared" si="24"/>
        <v>105921.13999999998</v>
      </c>
      <c r="P36" s="54">
        <f t="shared" si="24"/>
        <v>105921.13999999998</v>
      </c>
      <c r="Q36" s="54">
        <f t="shared" si="24"/>
        <v>103392.13999999998</v>
      </c>
      <c r="R36" s="54">
        <f t="shared" si="24"/>
        <v>96648.139999999985</v>
      </c>
      <c r="S36" s="54">
        <f t="shared" si="24"/>
        <v>94962.139999999985</v>
      </c>
    </row>
    <row r="37" spans="1:38" ht="15.75" thickBot="1" x14ac:dyDescent="0.3">
      <c r="A37" s="27" t="s">
        <v>67</v>
      </c>
      <c r="B37" s="79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79"/>
      <c r="O37" s="100"/>
      <c r="P37" s="35"/>
      <c r="Q37" s="35"/>
      <c r="R37" s="35"/>
      <c r="S37" s="35"/>
      <c r="T37" s="7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1:38" x14ac:dyDescent="0.25">
      <c r="A38" s="4" t="s">
        <v>67</v>
      </c>
      <c r="B38" s="75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75"/>
      <c r="O38" s="70"/>
      <c r="P38" s="11"/>
      <c r="Q38" s="11"/>
      <c r="R38" s="11"/>
      <c r="S38" s="11"/>
      <c r="T38" s="7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1:38" x14ac:dyDescent="0.25">
      <c r="A39" s="15" t="s">
        <v>29</v>
      </c>
      <c r="B39" s="82">
        <v>0</v>
      </c>
      <c r="C39" s="16">
        <f>B50</f>
        <v>17364.240000000005</v>
      </c>
      <c r="D39" s="16">
        <f>C50</f>
        <v>7029.8283333333402</v>
      </c>
      <c r="E39" s="16">
        <f>D50</f>
        <v>15454.916666666675</v>
      </c>
      <c r="F39" s="16">
        <f>E50</f>
        <v>17865.805000000008</v>
      </c>
      <c r="G39" s="16">
        <f t="shared" ref="G39:N39" si="25">F50</f>
        <v>18943.593333333341</v>
      </c>
      <c r="H39" s="16">
        <f t="shared" si="25"/>
        <v>16091.411666666676</v>
      </c>
      <c r="I39" s="16">
        <f t="shared" si="25"/>
        <v>11531.28000000001</v>
      </c>
      <c r="J39" s="16">
        <f t="shared" si="25"/>
        <v>8034.338333333345</v>
      </c>
      <c r="K39" s="16">
        <f t="shared" si="25"/>
        <v>4691.7566666666789</v>
      </c>
      <c r="L39" s="16">
        <f t="shared" si="25"/>
        <v>1953.5350000000135</v>
      </c>
      <c r="M39" s="16">
        <f t="shared" si="25"/>
        <v>692.18333333334704</v>
      </c>
      <c r="N39" s="82">
        <f t="shared" si="25"/>
        <v>494.02166666668199</v>
      </c>
      <c r="O39" s="104">
        <f>B50</f>
        <v>17364.240000000005</v>
      </c>
      <c r="P39" s="16">
        <f>O50</f>
        <v>1286.9100000000035</v>
      </c>
      <c r="Q39" s="16">
        <f>P50</f>
        <v>9351.7740000000158</v>
      </c>
      <c r="R39" s="16">
        <f>Q50</f>
        <v>12413.998000000014</v>
      </c>
      <c r="S39" s="16">
        <f>R50</f>
        <v>59858.502000000022</v>
      </c>
      <c r="T39" s="7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1:38" x14ac:dyDescent="0.25">
      <c r="A40" s="36"/>
      <c r="B40" s="83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83"/>
      <c r="O40" s="105"/>
      <c r="P40" s="37"/>
      <c r="Q40" s="37"/>
      <c r="R40" s="37"/>
      <c r="S40" s="37"/>
      <c r="T40" s="7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1:38" x14ac:dyDescent="0.25">
      <c r="A41" s="36" t="s">
        <v>68</v>
      </c>
      <c r="B41" s="83">
        <v>65000</v>
      </c>
      <c r="C41" s="37">
        <v>0</v>
      </c>
      <c r="D41" s="37">
        <v>0</v>
      </c>
      <c r="E41" s="37">
        <v>0</v>
      </c>
      <c r="F41" s="37">
        <v>0</v>
      </c>
      <c r="G41" s="37">
        <v>0</v>
      </c>
      <c r="H41" s="37">
        <v>0</v>
      </c>
      <c r="I41" s="37">
        <v>0</v>
      </c>
      <c r="J41" s="37">
        <v>0</v>
      </c>
      <c r="K41" s="37">
        <v>0</v>
      </c>
      <c r="L41" s="37">
        <v>0</v>
      </c>
      <c r="M41" s="37">
        <v>0</v>
      </c>
      <c r="N41" s="83">
        <v>0</v>
      </c>
      <c r="O41" s="105">
        <v>0</v>
      </c>
      <c r="P41" s="37">
        <v>0</v>
      </c>
      <c r="Q41" s="37">
        <v>0</v>
      </c>
      <c r="R41" s="37">
        <v>0</v>
      </c>
      <c r="S41" s="37">
        <v>0</v>
      </c>
      <c r="T41" s="7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1:38" x14ac:dyDescent="0.25">
      <c r="A42" s="36" t="s">
        <v>69</v>
      </c>
      <c r="B42" s="83">
        <v>0</v>
      </c>
      <c r="C42" s="37">
        <v>0</v>
      </c>
      <c r="D42" s="37">
        <v>0</v>
      </c>
      <c r="E42" s="37">
        <v>0</v>
      </c>
      <c r="F42" s="37">
        <v>0</v>
      </c>
      <c r="G42" s="37">
        <v>0</v>
      </c>
      <c r="H42" s="37">
        <v>0</v>
      </c>
      <c r="I42" s="37">
        <v>0</v>
      </c>
      <c r="J42" s="37">
        <v>0</v>
      </c>
      <c r="K42" s="37">
        <v>0</v>
      </c>
      <c r="L42" s="37">
        <v>0</v>
      </c>
      <c r="M42" s="37">
        <v>0</v>
      </c>
      <c r="N42" s="83">
        <v>0</v>
      </c>
      <c r="O42" s="105">
        <v>0</v>
      </c>
      <c r="P42" s="37">
        <v>15000</v>
      </c>
      <c r="Q42" s="37">
        <v>40000</v>
      </c>
      <c r="R42" s="37">
        <v>10000</v>
      </c>
      <c r="S42" s="37">
        <v>0</v>
      </c>
      <c r="T42" s="7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1:38" x14ac:dyDescent="0.25">
      <c r="A43" s="36"/>
      <c r="B43" s="83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83"/>
      <c r="O43" s="105"/>
      <c r="P43" s="37"/>
      <c r="Q43" s="37"/>
      <c r="R43" s="37"/>
      <c r="S43" s="37"/>
      <c r="T43" s="7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1:38" x14ac:dyDescent="0.25">
      <c r="A44" s="6" t="s">
        <v>30</v>
      </c>
      <c r="B44" s="77">
        <f t="shared" ref="B44:S44" si="26">B21+B41</f>
        <v>71000</v>
      </c>
      <c r="C44" s="7">
        <f>C21+C41</f>
        <v>0</v>
      </c>
      <c r="D44" s="7">
        <f>D21+D41</f>
        <v>15744.2</v>
      </c>
      <c r="E44" s="7">
        <f>E21+E41</f>
        <v>12745.3</v>
      </c>
      <c r="F44" s="7">
        <f>F21+F41</f>
        <v>8396.9</v>
      </c>
      <c r="G44" s="7">
        <f t="shared" si="26"/>
        <v>7482.23</v>
      </c>
      <c r="H44" s="7">
        <f t="shared" si="26"/>
        <v>2758.98</v>
      </c>
      <c r="I44" s="7">
        <f t="shared" si="26"/>
        <v>6837.47</v>
      </c>
      <c r="J44" s="7">
        <f t="shared" si="26"/>
        <v>3976.5299999999997</v>
      </c>
      <c r="K44" s="7">
        <f t="shared" si="26"/>
        <v>7596.19</v>
      </c>
      <c r="L44" s="7">
        <f t="shared" si="26"/>
        <v>6057.7599999999993</v>
      </c>
      <c r="M44" s="7">
        <f t="shared" si="26"/>
        <v>10136.25</v>
      </c>
      <c r="N44" s="77">
        <f t="shared" si="26"/>
        <v>8111.9999999999991</v>
      </c>
      <c r="O44" s="71">
        <f t="shared" si="26"/>
        <v>89843.809999999983</v>
      </c>
      <c r="P44" s="7">
        <f t="shared" si="26"/>
        <v>134752.22</v>
      </c>
      <c r="Q44" s="7">
        <f t="shared" si="26"/>
        <v>157219.91999999998</v>
      </c>
      <c r="R44" s="7">
        <f t="shared" si="26"/>
        <v>168453.77</v>
      </c>
      <c r="S44" s="7">
        <f t="shared" si="26"/>
        <v>174055.69999999998</v>
      </c>
      <c r="T44" s="7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1:38" x14ac:dyDescent="0.25">
      <c r="A45" s="6" t="s">
        <v>31</v>
      </c>
      <c r="B45" s="77">
        <f>B36+B42</f>
        <v>53635.759999999995</v>
      </c>
      <c r="C45" s="7">
        <f>C36+C42</f>
        <v>10334.411666666665</v>
      </c>
      <c r="D45" s="7">
        <f>D36+D42</f>
        <v>7319.1116666666658</v>
      </c>
      <c r="E45" s="7">
        <f>E36+E42</f>
        <v>10334.411666666665</v>
      </c>
      <c r="F45" s="7">
        <f>F36+F42</f>
        <v>7319.1116666666658</v>
      </c>
      <c r="G45" s="7">
        <f t="shared" ref="G45:N45" si="27">G36+G42</f>
        <v>10334.411666666665</v>
      </c>
      <c r="H45" s="7">
        <f t="shared" si="27"/>
        <v>7319.1116666666658</v>
      </c>
      <c r="I45" s="7">
        <f t="shared" si="27"/>
        <v>10334.411666666665</v>
      </c>
      <c r="J45" s="7">
        <f t="shared" si="27"/>
        <v>7319.1116666666658</v>
      </c>
      <c r="K45" s="7">
        <f t="shared" si="27"/>
        <v>10334.411666666665</v>
      </c>
      <c r="L45" s="7">
        <f t="shared" si="27"/>
        <v>7319.1116666666658</v>
      </c>
      <c r="M45" s="7">
        <f t="shared" si="27"/>
        <v>10334.411666666665</v>
      </c>
      <c r="N45" s="77">
        <f t="shared" si="27"/>
        <v>7319.1116666666658</v>
      </c>
      <c r="O45" s="71">
        <f t="shared" ref="O45:S45" si="28">O36+O42</f>
        <v>105921.13999999998</v>
      </c>
      <c r="P45" s="7">
        <f t="shared" si="28"/>
        <v>120921.13999999998</v>
      </c>
      <c r="Q45" s="7">
        <f t="shared" si="28"/>
        <v>143392.13999999998</v>
      </c>
      <c r="R45" s="7">
        <f t="shared" si="28"/>
        <v>106648.13999999998</v>
      </c>
      <c r="S45" s="7">
        <f t="shared" si="28"/>
        <v>94962.139999999985</v>
      </c>
      <c r="T45" s="7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 spans="1:38" x14ac:dyDescent="0.25">
      <c r="A46" s="6"/>
      <c r="B46" s="7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7"/>
      <c r="O46" s="71"/>
      <c r="P46" s="7"/>
      <c r="Q46" s="7"/>
      <c r="R46" s="7"/>
      <c r="S46" s="7"/>
      <c r="T46" s="7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</row>
    <row r="47" spans="1:38" x14ac:dyDescent="0.25">
      <c r="A47" s="15" t="s">
        <v>57</v>
      </c>
      <c r="B47" s="82">
        <f t="shared" ref="B47:S47" si="29">B44-B45</f>
        <v>17364.240000000005</v>
      </c>
      <c r="C47" s="16">
        <f>C44-C45</f>
        <v>-10334.411666666665</v>
      </c>
      <c r="D47" s="16">
        <f>D44-D45</f>
        <v>8425.088333333335</v>
      </c>
      <c r="E47" s="16">
        <f>E44-E45</f>
        <v>2410.8883333333342</v>
      </c>
      <c r="F47" s="16">
        <f t="shared" si="29"/>
        <v>1077.7883333333339</v>
      </c>
      <c r="G47" s="16">
        <f t="shared" si="29"/>
        <v>-2852.1816666666655</v>
      </c>
      <c r="H47" s="16">
        <f t="shared" si="29"/>
        <v>-4560.1316666666662</v>
      </c>
      <c r="I47" s="16">
        <f t="shared" si="29"/>
        <v>-3496.9416666666648</v>
      </c>
      <c r="J47" s="16">
        <f t="shared" si="29"/>
        <v>-3342.581666666666</v>
      </c>
      <c r="K47" s="16">
        <f t="shared" si="29"/>
        <v>-2738.2216666666654</v>
      </c>
      <c r="L47" s="16">
        <f t="shared" si="29"/>
        <v>-1261.3516666666665</v>
      </c>
      <c r="M47" s="16">
        <f t="shared" si="29"/>
        <v>-198.16166666666504</v>
      </c>
      <c r="N47" s="82">
        <f t="shared" si="29"/>
        <v>792.88833333333332</v>
      </c>
      <c r="O47" s="104">
        <f t="shared" si="29"/>
        <v>-16077.330000000002</v>
      </c>
      <c r="P47" s="16">
        <f t="shared" si="29"/>
        <v>13831.080000000016</v>
      </c>
      <c r="Q47" s="16">
        <f t="shared" si="29"/>
        <v>13827.779999999999</v>
      </c>
      <c r="R47" s="16">
        <f t="shared" si="29"/>
        <v>61805.630000000005</v>
      </c>
      <c r="S47" s="16">
        <f t="shared" si="29"/>
        <v>79093.56</v>
      </c>
      <c r="T47" s="7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</row>
    <row r="48" spans="1:38" x14ac:dyDescent="0.25">
      <c r="A48" s="6"/>
      <c r="B48" s="7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7"/>
      <c r="O48" s="71"/>
      <c r="P48" s="7"/>
      <c r="Q48" s="7"/>
      <c r="R48" s="7"/>
      <c r="S48" s="7"/>
      <c r="T48" s="7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</row>
    <row r="49" spans="1:38" x14ac:dyDescent="0.25">
      <c r="A49" s="6" t="s">
        <v>37</v>
      </c>
      <c r="B49" s="77">
        <f t="shared" ref="B49:S49" si="30">B62</f>
        <v>0</v>
      </c>
      <c r="C49" s="7">
        <f>C62</f>
        <v>0</v>
      </c>
      <c r="D49" s="7">
        <f t="shared" si="30"/>
        <v>0</v>
      </c>
      <c r="E49" s="7">
        <f t="shared" si="30"/>
        <v>0</v>
      </c>
      <c r="F49" s="7">
        <f t="shared" si="30"/>
        <v>0</v>
      </c>
      <c r="G49" s="7">
        <f t="shared" si="30"/>
        <v>0</v>
      </c>
      <c r="H49" s="7">
        <f t="shared" si="30"/>
        <v>0</v>
      </c>
      <c r="I49" s="7">
        <f t="shared" si="30"/>
        <v>0</v>
      </c>
      <c r="J49" s="7">
        <f t="shared" si="30"/>
        <v>0</v>
      </c>
      <c r="K49" s="7">
        <f t="shared" si="30"/>
        <v>0</v>
      </c>
      <c r="L49" s="7">
        <f t="shared" si="30"/>
        <v>0</v>
      </c>
      <c r="M49" s="7">
        <f t="shared" si="30"/>
        <v>0</v>
      </c>
      <c r="N49" s="77">
        <f t="shared" si="30"/>
        <v>0</v>
      </c>
      <c r="O49" s="71">
        <f t="shared" si="30"/>
        <v>0</v>
      </c>
      <c r="P49" s="7">
        <f t="shared" si="30"/>
        <v>5766.216000000004</v>
      </c>
      <c r="Q49" s="7">
        <f t="shared" si="30"/>
        <v>10765.556</v>
      </c>
      <c r="R49" s="7">
        <f t="shared" si="30"/>
        <v>14361.126000000002</v>
      </c>
      <c r="S49" s="7">
        <f t="shared" si="30"/>
        <v>15818.712</v>
      </c>
      <c r="T49" s="7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</row>
    <row r="50" spans="1:38" x14ac:dyDescent="0.25">
      <c r="A50" s="15" t="s">
        <v>32</v>
      </c>
      <c r="B50" s="82">
        <f>B39+B47-B49</f>
        <v>17364.240000000005</v>
      </c>
      <c r="C50" s="16">
        <f>C39+C47-C49</f>
        <v>7029.8283333333402</v>
      </c>
      <c r="D50" s="16">
        <f>D39+D47-D49</f>
        <v>15454.916666666675</v>
      </c>
      <c r="E50" s="16">
        <f>E39+E47-E49</f>
        <v>17865.805000000008</v>
      </c>
      <c r="F50" s="16">
        <f t="shared" ref="F50:N50" si="31">F39+F47-F49</f>
        <v>18943.593333333341</v>
      </c>
      <c r="G50" s="16">
        <f t="shared" si="31"/>
        <v>16091.411666666676</v>
      </c>
      <c r="H50" s="16">
        <f t="shared" si="31"/>
        <v>11531.28000000001</v>
      </c>
      <c r="I50" s="16">
        <f t="shared" si="31"/>
        <v>8034.338333333345</v>
      </c>
      <c r="J50" s="16">
        <f t="shared" si="31"/>
        <v>4691.7566666666789</v>
      </c>
      <c r="K50" s="16">
        <f t="shared" si="31"/>
        <v>1953.5350000000135</v>
      </c>
      <c r="L50" s="16">
        <f t="shared" si="31"/>
        <v>692.18333333334704</v>
      </c>
      <c r="M50" s="16">
        <f t="shared" si="31"/>
        <v>494.02166666668199</v>
      </c>
      <c r="N50" s="82">
        <f t="shared" si="31"/>
        <v>1286.9100000000153</v>
      </c>
      <c r="O50" s="104">
        <f>O47+O39-O49</f>
        <v>1286.9100000000035</v>
      </c>
      <c r="P50" s="16">
        <f>P47+P39-P49</f>
        <v>9351.7740000000158</v>
      </c>
      <c r="Q50" s="16">
        <f>Q47+Q39-Q49</f>
        <v>12413.998000000014</v>
      </c>
      <c r="R50" s="16">
        <f>R47+R39-R49</f>
        <v>59858.502000000022</v>
      </c>
      <c r="S50" s="16">
        <f>S47+S39-S49</f>
        <v>123133.35000000003</v>
      </c>
      <c r="T50" s="7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</row>
    <row r="51" spans="1:38" x14ac:dyDescent="0.25">
      <c r="A51" s="48"/>
      <c r="B51" s="82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82"/>
      <c r="O51" s="104"/>
      <c r="P51" s="16"/>
      <c r="Q51" s="16"/>
      <c r="R51" s="16"/>
      <c r="S51" s="16"/>
      <c r="T51" s="7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</row>
    <row r="52" spans="1:38" ht="15.75" thickBot="1" x14ac:dyDescent="0.3">
      <c r="A52" s="44"/>
      <c r="B52" s="82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82"/>
      <c r="O52" s="104"/>
      <c r="P52" s="16"/>
      <c r="Q52" s="16"/>
      <c r="R52" s="16"/>
      <c r="S52" s="16"/>
      <c r="T52" s="7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</row>
    <row r="53" spans="1:38" ht="20.25" customHeight="1" thickTop="1" thickBot="1" x14ac:dyDescent="0.4">
      <c r="A53" s="29" t="s">
        <v>39</v>
      </c>
      <c r="B53" s="84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84"/>
      <c r="O53" s="106"/>
      <c r="P53" s="57"/>
      <c r="Q53" s="57"/>
      <c r="R53" s="57"/>
      <c r="S53" s="57"/>
      <c r="T53" s="7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 spans="1:38" x14ac:dyDescent="0.25">
      <c r="A54" s="46" t="s">
        <v>33</v>
      </c>
      <c r="B54" s="85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97"/>
      <c r="O54" s="85"/>
      <c r="P54" s="47"/>
      <c r="Q54" s="47"/>
      <c r="R54" s="47"/>
      <c r="S54" s="47"/>
      <c r="T54" s="7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</row>
    <row r="55" spans="1:38" x14ac:dyDescent="0.25">
      <c r="A55" s="6" t="s">
        <v>63</v>
      </c>
      <c r="B55" s="77">
        <f>B21</f>
        <v>6000</v>
      </c>
      <c r="C55" s="7">
        <f>C21</f>
        <v>0</v>
      </c>
      <c r="D55" s="7">
        <f>D21</f>
        <v>15744.2</v>
      </c>
      <c r="E55" s="7">
        <f t="shared" ref="E55:N55" si="32">E21</f>
        <v>12745.3</v>
      </c>
      <c r="F55" s="7">
        <f t="shared" si="32"/>
        <v>8396.9</v>
      </c>
      <c r="G55" s="7">
        <f t="shared" si="32"/>
        <v>7482.23</v>
      </c>
      <c r="H55" s="7">
        <f t="shared" si="32"/>
        <v>2758.98</v>
      </c>
      <c r="I55" s="7">
        <f t="shared" si="32"/>
        <v>6837.47</v>
      </c>
      <c r="J55" s="7">
        <f t="shared" si="32"/>
        <v>3976.5299999999997</v>
      </c>
      <c r="K55" s="7">
        <f t="shared" si="32"/>
        <v>7596.19</v>
      </c>
      <c r="L55" s="7">
        <f t="shared" si="32"/>
        <v>6057.7599999999993</v>
      </c>
      <c r="M55" s="7">
        <f t="shared" si="32"/>
        <v>10136.25</v>
      </c>
      <c r="N55" s="77">
        <f t="shared" si="32"/>
        <v>8111.9999999999991</v>
      </c>
      <c r="O55" s="71">
        <f t="shared" ref="O55:S55" si="33">O21</f>
        <v>89843.809999999983</v>
      </c>
      <c r="P55" s="7">
        <f t="shared" si="33"/>
        <v>134752.22</v>
      </c>
      <c r="Q55" s="7">
        <f t="shared" si="33"/>
        <v>157219.91999999998</v>
      </c>
      <c r="R55" s="7">
        <f t="shared" si="33"/>
        <v>168453.77</v>
      </c>
      <c r="S55" s="7">
        <f t="shared" si="33"/>
        <v>174055.69999999998</v>
      </c>
      <c r="T55" s="7"/>
      <c r="U55" s="61" t="s">
        <v>71</v>
      </c>
      <c r="V55" s="19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</row>
    <row r="56" spans="1:38" x14ac:dyDescent="0.25">
      <c r="A56" s="6" t="s">
        <v>62</v>
      </c>
      <c r="B56" s="77">
        <f>B36</f>
        <v>53635.759999999995</v>
      </c>
      <c r="C56" s="7">
        <f>C36</f>
        <v>10334.411666666665</v>
      </c>
      <c r="D56" s="7">
        <f t="shared" ref="D56:N56" si="34">D36</f>
        <v>7319.1116666666658</v>
      </c>
      <c r="E56" s="7">
        <f t="shared" si="34"/>
        <v>10334.411666666665</v>
      </c>
      <c r="F56" s="7">
        <f t="shared" si="34"/>
        <v>7319.1116666666658</v>
      </c>
      <c r="G56" s="7">
        <f t="shared" si="34"/>
        <v>10334.411666666665</v>
      </c>
      <c r="H56" s="7">
        <f t="shared" si="34"/>
        <v>7319.1116666666658</v>
      </c>
      <c r="I56" s="7">
        <f t="shared" si="34"/>
        <v>10334.411666666665</v>
      </c>
      <c r="J56" s="7">
        <f t="shared" si="34"/>
        <v>7319.1116666666658</v>
      </c>
      <c r="K56" s="7">
        <f t="shared" si="34"/>
        <v>10334.411666666665</v>
      </c>
      <c r="L56" s="7">
        <f t="shared" si="34"/>
        <v>7319.1116666666658</v>
      </c>
      <c r="M56" s="7">
        <f t="shared" si="34"/>
        <v>10334.411666666665</v>
      </c>
      <c r="N56" s="77">
        <f t="shared" si="34"/>
        <v>7319.1116666666658</v>
      </c>
      <c r="O56" s="71">
        <f t="shared" ref="O56:S56" si="35">O36</f>
        <v>105921.13999999998</v>
      </c>
      <c r="P56" s="7">
        <f t="shared" si="35"/>
        <v>105921.13999999998</v>
      </c>
      <c r="Q56" s="7">
        <f t="shared" si="35"/>
        <v>103392.13999999998</v>
      </c>
      <c r="R56" s="7">
        <f t="shared" si="35"/>
        <v>96648.139999999985</v>
      </c>
      <c r="S56" s="7">
        <f t="shared" si="35"/>
        <v>94962.139999999985</v>
      </c>
      <c r="T56" s="7"/>
      <c r="U56" s="60" t="s">
        <v>72</v>
      </c>
      <c r="V56" s="60">
        <v>0</v>
      </c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</row>
    <row r="57" spans="1:38" ht="15" customHeight="1" x14ac:dyDescent="0.25">
      <c r="A57" s="40"/>
      <c r="B57" s="40"/>
      <c r="N57" s="40"/>
      <c r="O57" s="102"/>
      <c r="U57" s="60" t="s">
        <v>73</v>
      </c>
      <c r="V57" s="62">
        <f>O36</f>
        <v>105921.13999999998</v>
      </c>
      <c r="W57" s="62"/>
    </row>
    <row r="58" spans="1:38" s="43" customFormat="1" x14ac:dyDescent="0.25">
      <c r="A58" s="15" t="s">
        <v>58</v>
      </c>
      <c r="B58" s="82">
        <f>B55-B56+B34</f>
        <v>-42370.759999999995</v>
      </c>
      <c r="C58" s="16">
        <f>C55-C56+C34</f>
        <v>-9421.161666666665</v>
      </c>
      <c r="D58" s="16">
        <f t="shared" ref="D58:N58" si="36">D55-D56+D34</f>
        <v>9338.338333333335</v>
      </c>
      <c r="E58" s="16">
        <f t="shared" si="36"/>
        <v>3324.1383333333342</v>
      </c>
      <c r="F58" s="16">
        <f t="shared" si="36"/>
        <v>1991.0383333333339</v>
      </c>
      <c r="G58" s="16">
        <f t="shared" si="36"/>
        <v>-1938.9316666666655</v>
      </c>
      <c r="H58" s="16">
        <f t="shared" si="36"/>
        <v>-3646.8816666666662</v>
      </c>
      <c r="I58" s="16">
        <f t="shared" si="36"/>
        <v>-2583.6916666666648</v>
      </c>
      <c r="J58" s="16">
        <f t="shared" si="36"/>
        <v>-2429.331666666666</v>
      </c>
      <c r="K58" s="16">
        <f t="shared" si="36"/>
        <v>-1824.9716666666654</v>
      </c>
      <c r="L58" s="16">
        <f t="shared" si="36"/>
        <v>-348.10166666666646</v>
      </c>
      <c r="M58" s="16">
        <f t="shared" si="36"/>
        <v>715.08833333333496</v>
      </c>
      <c r="N58" s="82">
        <f t="shared" si="36"/>
        <v>1706.1383333333333</v>
      </c>
      <c r="O58" s="104">
        <f t="shared" ref="O58:S58" si="37">O55-O56+O34</f>
        <v>-5118.3300000000017</v>
      </c>
      <c r="P58" s="16">
        <f>P55-P56+P34</f>
        <v>39790.080000000016</v>
      </c>
      <c r="Q58" s="16">
        <f t="shared" si="37"/>
        <v>62257.78</v>
      </c>
      <c r="R58" s="16">
        <f t="shared" si="37"/>
        <v>73491.63</v>
      </c>
      <c r="S58" s="16">
        <f t="shared" si="37"/>
        <v>79093.56</v>
      </c>
      <c r="T58" s="16"/>
      <c r="U58" s="60" t="s">
        <v>74</v>
      </c>
      <c r="V58" s="18">
        <f>O7</f>
        <v>29.99</v>
      </c>
      <c r="W58" s="18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</row>
    <row r="59" spans="1:38" x14ac:dyDescent="0.25">
      <c r="A59" s="17" t="s">
        <v>25</v>
      </c>
      <c r="B59" s="77">
        <f>B34</f>
        <v>5265</v>
      </c>
      <c r="C59" s="7">
        <f t="shared" ref="C59:N59" si="38">C34</f>
        <v>913.25</v>
      </c>
      <c r="D59" s="7">
        <f>D34</f>
        <v>913.25</v>
      </c>
      <c r="E59" s="7">
        <f t="shared" si="38"/>
        <v>913.25</v>
      </c>
      <c r="F59" s="7">
        <f t="shared" si="38"/>
        <v>913.25</v>
      </c>
      <c r="G59" s="7">
        <f t="shared" si="38"/>
        <v>913.25</v>
      </c>
      <c r="H59" s="7">
        <f t="shared" si="38"/>
        <v>913.25</v>
      </c>
      <c r="I59" s="7">
        <f t="shared" si="38"/>
        <v>913.25</v>
      </c>
      <c r="J59" s="7">
        <f t="shared" si="38"/>
        <v>913.25</v>
      </c>
      <c r="K59" s="7">
        <f t="shared" si="38"/>
        <v>913.25</v>
      </c>
      <c r="L59" s="7">
        <f t="shared" si="38"/>
        <v>913.25</v>
      </c>
      <c r="M59" s="7">
        <f t="shared" si="38"/>
        <v>913.25</v>
      </c>
      <c r="N59" s="77">
        <f t="shared" si="38"/>
        <v>913.25</v>
      </c>
      <c r="O59" s="71">
        <f t="shared" ref="O59:S59" si="39">O34</f>
        <v>10959</v>
      </c>
      <c r="P59" s="7">
        <f>P34</f>
        <v>10959</v>
      </c>
      <c r="Q59" s="7">
        <f t="shared" si="39"/>
        <v>8430</v>
      </c>
      <c r="R59" s="7">
        <f t="shared" si="39"/>
        <v>1686</v>
      </c>
      <c r="S59" s="7">
        <f t="shared" si="39"/>
        <v>0</v>
      </c>
      <c r="T59" s="7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</row>
    <row r="60" spans="1:38" s="43" customFormat="1" x14ac:dyDescent="0.25">
      <c r="A60" s="15" t="s">
        <v>59</v>
      </c>
      <c r="B60" s="82">
        <f>B58-B34</f>
        <v>-47635.759999999995</v>
      </c>
      <c r="C60" s="16">
        <f>C58-C34</f>
        <v>-10334.411666666665</v>
      </c>
      <c r="D60" s="16">
        <f>D58-D34</f>
        <v>8425.088333333335</v>
      </c>
      <c r="E60" s="16">
        <f>E58-E34</f>
        <v>2410.8883333333342</v>
      </c>
      <c r="F60" s="16">
        <f t="shared" ref="F60:N60" si="40">F58-F34</f>
        <v>1077.7883333333339</v>
      </c>
      <c r="G60" s="16">
        <f t="shared" si="40"/>
        <v>-2852.1816666666655</v>
      </c>
      <c r="H60" s="16">
        <f t="shared" si="40"/>
        <v>-4560.1316666666662</v>
      </c>
      <c r="I60" s="16">
        <f t="shared" si="40"/>
        <v>-3496.9416666666648</v>
      </c>
      <c r="J60" s="16">
        <f t="shared" si="40"/>
        <v>-3342.581666666666</v>
      </c>
      <c r="K60" s="16">
        <f t="shared" si="40"/>
        <v>-2738.2216666666654</v>
      </c>
      <c r="L60" s="16">
        <f t="shared" si="40"/>
        <v>-1261.3516666666665</v>
      </c>
      <c r="M60" s="16">
        <f t="shared" si="40"/>
        <v>-198.16166666666504</v>
      </c>
      <c r="N60" s="82">
        <f t="shared" si="40"/>
        <v>792.88833333333332</v>
      </c>
      <c r="O60" s="104">
        <f>O58-O34</f>
        <v>-16077.330000000002</v>
      </c>
      <c r="P60" s="16">
        <f>P58-P34</f>
        <v>28831.080000000016</v>
      </c>
      <c r="Q60" s="16">
        <f>Q58-Q34</f>
        <v>53827.78</v>
      </c>
      <c r="R60" s="16">
        <f t="shared" ref="R60:S60" si="41">R58-R34</f>
        <v>71805.63</v>
      </c>
      <c r="S60" s="16">
        <f t="shared" si="41"/>
        <v>79093.56</v>
      </c>
      <c r="T60" s="16"/>
      <c r="U60" s="60" t="s">
        <v>75</v>
      </c>
      <c r="V60" s="63">
        <f>V57/(V58+0)</f>
        <v>3531.8819606535508</v>
      </c>
      <c r="W60" s="63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</row>
    <row r="61" spans="1:38" s="43" customFormat="1" x14ac:dyDescent="0.25">
      <c r="A61" s="15"/>
      <c r="B61" s="82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82"/>
      <c r="O61" s="104"/>
      <c r="P61" s="16"/>
      <c r="Q61" s="16"/>
      <c r="R61" s="16"/>
      <c r="S61" s="16"/>
      <c r="T61" s="16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</row>
    <row r="62" spans="1:38" x14ac:dyDescent="0.25">
      <c r="A62" s="22" t="s">
        <v>8</v>
      </c>
      <c r="B62" s="77">
        <f>IF((B60)&gt;0,(B60)*0.2,0)</f>
        <v>0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7">
        <v>0</v>
      </c>
      <c r="O62" s="71">
        <f t="shared" ref="O62:S62" si="42">IF((O60)&gt;0,(O60)*0.2,0)</f>
        <v>0</v>
      </c>
      <c r="P62" s="7">
        <f t="shared" si="42"/>
        <v>5766.216000000004</v>
      </c>
      <c r="Q62" s="7">
        <f t="shared" si="42"/>
        <v>10765.556</v>
      </c>
      <c r="R62" s="7">
        <f t="shared" si="42"/>
        <v>14361.126000000002</v>
      </c>
      <c r="S62" s="7">
        <f t="shared" si="42"/>
        <v>15818.712</v>
      </c>
      <c r="T62" s="7"/>
      <c r="U62" s="60" t="s">
        <v>76</v>
      </c>
      <c r="V62" s="3">
        <f>O36/(O12+O17)</f>
        <v>31.913570352515812</v>
      </c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</row>
    <row r="63" spans="1:38" x14ac:dyDescent="0.25">
      <c r="A63" s="22" t="s">
        <v>34</v>
      </c>
      <c r="B63" s="77">
        <f>B60-B62</f>
        <v>-47635.759999999995</v>
      </c>
      <c r="C63" s="7">
        <f>C60-C62</f>
        <v>-10334.411666666665</v>
      </c>
      <c r="D63" s="7">
        <f t="shared" ref="D63:N63" si="43">D60-D62</f>
        <v>8425.088333333335</v>
      </c>
      <c r="E63" s="7">
        <f t="shared" si="43"/>
        <v>2410.8883333333342</v>
      </c>
      <c r="F63" s="7">
        <f t="shared" si="43"/>
        <v>1077.7883333333339</v>
      </c>
      <c r="G63" s="7">
        <f t="shared" si="43"/>
        <v>-2852.1816666666655</v>
      </c>
      <c r="H63" s="7">
        <f t="shared" si="43"/>
        <v>-4560.1316666666662</v>
      </c>
      <c r="I63" s="7">
        <f t="shared" si="43"/>
        <v>-3496.9416666666648</v>
      </c>
      <c r="J63" s="7">
        <f t="shared" si="43"/>
        <v>-3342.581666666666</v>
      </c>
      <c r="K63" s="7">
        <f t="shared" si="43"/>
        <v>-2738.2216666666654</v>
      </c>
      <c r="L63" s="7">
        <f t="shared" si="43"/>
        <v>-1261.3516666666665</v>
      </c>
      <c r="M63" s="7">
        <f t="shared" si="43"/>
        <v>-198.16166666666504</v>
      </c>
      <c r="N63" s="77">
        <f t="shared" si="43"/>
        <v>792.88833333333332</v>
      </c>
      <c r="O63" s="71">
        <f>O60-O62</f>
        <v>-16077.330000000002</v>
      </c>
      <c r="P63" s="7">
        <f>P60-P62</f>
        <v>23064.864000000012</v>
      </c>
      <c r="Q63" s="7">
        <f t="shared" ref="Q63:R63" si="44">Q60-Q62</f>
        <v>43062.224000000002</v>
      </c>
      <c r="R63" s="7">
        <f t="shared" si="44"/>
        <v>57444.504000000001</v>
      </c>
      <c r="S63" s="7">
        <f>S60-S62</f>
        <v>63274.847999999998</v>
      </c>
      <c r="T63" s="7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</row>
    <row r="64" spans="1:38" x14ac:dyDescent="0.25">
      <c r="A64" s="22"/>
      <c r="B64" s="7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7"/>
      <c r="O64" s="71"/>
      <c r="P64" s="7"/>
      <c r="Q64" s="7"/>
      <c r="R64" s="7"/>
      <c r="S64" s="7"/>
      <c r="T64" s="7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</row>
    <row r="65" spans="1:38" x14ac:dyDescent="0.25">
      <c r="A65" s="23" t="s">
        <v>35</v>
      </c>
      <c r="B65" s="82">
        <f>B63</f>
        <v>-47635.759999999995</v>
      </c>
      <c r="C65" s="16">
        <f>C63</f>
        <v>-10334.411666666665</v>
      </c>
      <c r="D65" s="16">
        <f>D63</f>
        <v>8425.088333333335</v>
      </c>
      <c r="E65" s="16">
        <f>E63</f>
        <v>2410.8883333333342</v>
      </c>
      <c r="F65" s="16">
        <f t="shared" ref="F65:N65" si="45">F63</f>
        <v>1077.7883333333339</v>
      </c>
      <c r="G65" s="16">
        <f t="shared" si="45"/>
        <v>-2852.1816666666655</v>
      </c>
      <c r="H65" s="16">
        <f t="shared" si="45"/>
        <v>-4560.1316666666662</v>
      </c>
      <c r="I65" s="16">
        <f t="shared" si="45"/>
        <v>-3496.9416666666648</v>
      </c>
      <c r="J65" s="16">
        <f t="shared" si="45"/>
        <v>-3342.581666666666</v>
      </c>
      <c r="K65" s="16">
        <f t="shared" si="45"/>
        <v>-2738.2216666666654</v>
      </c>
      <c r="L65" s="16">
        <f t="shared" si="45"/>
        <v>-1261.3516666666665</v>
      </c>
      <c r="M65" s="16">
        <f t="shared" si="45"/>
        <v>-198.16166666666504</v>
      </c>
      <c r="N65" s="82">
        <f t="shared" si="45"/>
        <v>792.88833333333332</v>
      </c>
      <c r="O65" s="104">
        <f>O63</f>
        <v>-16077.330000000002</v>
      </c>
      <c r="P65" s="16">
        <f>P63</f>
        <v>23064.864000000012</v>
      </c>
      <c r="Q65" s="16">
        <f t="shared" ref="Q65:R65" si="46">Q63</f>
        <v>43062.224000000002</v>
      </c>
      <c r="R65" s="16">
        <f t="shared" si="46"/>
        <v>57444.504000000001</v>
      </c>
      <c r="S65" s="16">
        <f>S63</f>
        <v>63274.847999999998</v>
      </c>
      <c r="T65" s="7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</row>
    <row r="66" spans="1:38" x14ac:dyDescent="0.25">
      <c r="A66" s="49"/>
      <c r="B66" s="82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82"/>
      <c r="O66" s="104"/>
      <c r="P66" s="16"/>
      <c r="Q66" s="16"/>
      <c r="R66" s="16"/>
      <c r="S66" s="16"/>
      <c r="T66" s="7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</row>
    <row r="67" spans="1:38" ht="15.75" thickBot="1" x14ac:dyDescent="0.3">
      <c r="A67" s="45"/>
      <c r="B67" s="86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86"/>
      <c r="O67" s="107"/>
      <c r="P67" s="20"/>
      <c r="Q67" s="20"/>
      <c r="R67" s="20"/>
      <c r="S67" s="20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</row>
    <row r="68" spans="1:38" ht="22.5" thickTop="1" thickBot="1" x14ac:dyDescent="0.4">
      <c r="A68" s="55" t="s">
        <v>60</v>
      </c>
      <c r="B68" s="84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84"/>
      <c r="O68" s="106"/>
      <c r="P68" s="57"/>
      <c r="Q68" s="57"/>
      <c r="R68" s="57"/>
      <c r="S68" s="57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</row>
    <row r="69" spans="1:38" x14ac:dyDescent="0.25">
      <c r="A69" s="30" t="s">
        <v>11</v>
      </c>
      <c r="B69" s="87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87"/>
      <c r="O69" s="108"/>
      <c r="P69" s="31"/>
      <c r="Q69" s="31"/>
      <c r="R69" s="31"/>
      <c r="S69" s="31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</row>
    <row r="70" spans="1:38" x14ac:dyDescent="0.25">
      <c r="A70" s="6" t="s">
        <v>36</v>
      </c>
      <c r="B70" s="88">
        <v>0</v>
      </c>
      <c r="C70" s="18">
        <v>0</v>
      </c>
      <c r="D70" s="18">
        <v>0</v>
      </c>
      <c r="E70" s="18">
        <v>0</v>
      </c>
      <c r="F70" s="18">
        <v>0</v>
      </c>
      <c r="G70" s="18">
        <v>0</v>
      </c>
      <c r="H70" s="18">
        <v>0</v>
      </c>
      <c r="I70" s="18">
        <v>0</v>
      </c>
      <c r="J70" s="18">
        <v>0</v>
      </c>
      <c r="K70" s="18">
        <v>0</v>
      </c>
      <c r="L70" s="18">
        <v>0</v>
      </c>
      <c r="M70" s="18">
        <v>0</v>
      </c>
      <c r="N70" s="88">
        <v>0</v>
      </c>
      <c r="O70" s="109">
        <v>0</v>
      </c>
      <c r="P70" s="18">
        <v>0</v>
      </c>
      <c r="Q70" s="18">
        <v>0</v>
      </c>
      <c r="R70" s="18">
        <v>0</v>
      </c>
      <c r="S70" s="18">
        <v>0</v>
      </c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</row>
    <row r="71" spans="1:38" x14ac:dyDescent="0.25">
      <c r="A71" s="6" t="s">
        <v>12</v>
      </c>
      <c r="B71" s="88">
        <v>0</v>
      </c>
      <c r="C71" s="18">
        <v>0</v>
      </c>
      <c r="D71" s="18">
        <v>0</v>
      </c>
      <c r="E71" s="18">
        <v>0</v>
      </c>
      <c r="F71" s="18">
        <v>0</v>
      </c>
      <c r="G71" s="18">
        <v>0</v>
      </c>
      <c r="H71" s="18">
        <v>0</v>
      </c>
      <c r="I71" s="18">
        <v>0</v>
      </c>
      <c r="J71" s="18">
        <v>0</v>
      </c>
      <c r="K71" s="18">
        <v>0</v>
      </c>
      <c r="L71" s="18">
        <v>0</v>
      </c>
      <c r="M71" s="18">
        <v>0</v>
      </c>
      <c r="N71" s="88">
        <v>0</v>
      </c>
      <c r="O71" s="109">
        <v>0</v>
      </c>
      <c r="P71" s="18">
        <v>0</v>
      </c>
      <c r="Q71" s="18">
        <v>0</v>
      </c>
      <c r="R71" s="18">
        <v>0</v>
      </c>
      <c r="S71" s="18">
        <v>0</v>
      </c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</row>
    <row r="72" spans="1:38" ht="15.75" thickBot="1" x14ac:dyDescent="0.3">
      <c r="A72" s="33" t="s">
        <v>13</v>
      </c>
      <c r="B72" s="89">
        <v>0</v>
      </c>
      <c r="C72" s="50">
        <v>0</v>
      </c>
      <c r="D72" s="50">
        <v>0</v>
      </c>
      <c r="E72" s="50">
        <v>0</v>
      </c>
      <c r="F72" s="50">
        <v>0</v>
      </c>
      <c r="G72" s="50">
        <v>0</v>
      </c>
      <c r="H72" s="50">
        <v>0</v>
      </c>
      <c r="I72" s="50">
        <v>0</v>
      </c>
      <c r="J72" s="50">
        <v>0</v>
      </c>
      <c r="K72" s="50">
        <v>0</v>
      </c>
      <c r="L72" s="50">
        <v>0</v>
      </c>
      <c r="M72" s="50">
        <v>0</v>
      </c>
      <c r="N72" s="89">
        <v>0</v>
      </c>
      <c r="O72" s="110">
        <v>0</v>
      </c>
      <c r="P72" s="50">
        <v>0</v>
      </c>
      <c r="Q72" s="50">
        <v>0</v>
      </c>
      <c r="R72" s="50">
        <v>0</v>
      </c>
      <c r="S72" s="50">
        <v>0</v>
      </c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</row>
    <row r="73" spans="1:38" x14ac:dyDescent="0.25">
      <c r="A73" s="30" t="s">
        <v>14</v>
      </c>
      <c r="B73" s="87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87"/>
      <c r="O73" s="108"/>
      <c r="P73" s="31"/>
      <c r="Q73" s="31"/>
      <c r="R73" s="31"/>
      <c r="S73" s="31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</row>
    <row r="74" spans="1:38" x14ac:dyDescent="0.25">
      <c r="A74" s="6" t="s">
        <v>61</v>
      </c>
      <c r="B74" s="88">
        <f>B50</f>
        <v>17364.240000000005</v>
      </c>
      <c r="C74" s="18">
        <f>C50</f>
        <v>7029.8283333333402</v>
      </c>
      <c r="D74" s="18">
        <f t="shared" ref="D74:N74" si="47">D50</f>
        <v>15454.916666666675</v>
      </c>
      <c r="E74" s="18">
        <f t="shared" si="47"/>
        <v>17865.805000000008</v>
      </c>
      <c r="F74" s="18">
        <f t="shared" si="47"/>
        <v>18943.593333333341</v>
      </c>
      <c r="G74" s="18">
        <f t="shared" si="47"/>
        <v>16091.411666666676</v>
      </c>
      <c r="H74" s="18">
        <f t="shared" si="47"/>
        <v>11531.28000000001</v>
      </c>
      <c r="I74" s="18">
        <f t="shared" si="47"/>
        <v>8034.338333333345</v>
      </c>
      <c r="J74" s="18">
        <f t="shared" si="47"/>
        <v>4691.7566666666789</v>
      </c>
      <c r="K74" s="18">
        <f t="shared" si="47"/>
        <v>1953.5350000000135</v>
      </c>
      <c r="L74" s="18">
        <f t="shared" si="47"/>
        <v>692.18333333334704</v>
      </c>
      <c r="M74" s="18">
        <f t="shared" si="47"/>
        <v>494.02166666668199</v>
      </c>
      <c r="N74" s="88">
        <f t="shared" si="47"/>
        <v>1286.9100000000153</v>
      </c>
      <c r="O74" s="109">
        <f t="shared" ref="O74:S74" si="48">O50</f>
        <v>1286.9100000000035</v>
      </c>
      <c r="P74" s="18">
        <f t="shared" si="48"/>
        <v>9351.7740000000158</v>
      </c>
      <c r="Q74" s="18">
        <f t="shared" si="48"/>
        <v>12413.998000000014</v>
      </c>
      <c r="R74" s="18">
        <f t="shared" si="48"/>
        <v>59858.502000000022</v>
      </c>
      <c r="S74" s="18">
        <f t="shared" si="48"/>
        <v>123133.35000000003</v>
      </c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</row>
    <row r="75" spans="1:38" ht="15.75" thickBot="1" x14ac:dyDescent="0.3">
      <c r="A75" s="9" t="s">
        <v>15</v>
      </c>
      <c r="B75" s="90">
        <v>0</v>
      </c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90"/>
      <c r="O75" s="111">
        <v>0</v>
      </c>
      <c r="P75" s="24">
        <v>0</v>
      </c>
      <c r="Q75" s="24">
        <v>0</v>
      </c>
      <c r="R75" s="24">
        <v>0</v>
      </c>
      <c r="S75" s="24">
        <v>0</v>
      </c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</row>
    <row r="76" spans="1:38" x14ac:dyDescent="0.25">
      <c r="A76" s="30" t="s">
        <v>16</v>
      </c>
      <c r="B76" s="87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87"/>
      <c r="O76" s="108"/>
      <c r="P76" s="31"/>
      <c r="Q76" s="31"/>
      <c r="R76" s="31"/>
      <c r="S76" s="31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</row>
    <row r="77" spans="1:38" x14ac:dyDescent="0.25">
      <c r="A77" s="6" t="s">
        <v>17</v>
      </c>
      <c r="B77" s="88">
        <v>0</v>
      </c>
      <c r="C77" s="18">
        <v>0</v>
      </c>
      <c r="D77" s="18">
        <v>0</v>
      </c>
      <c r="E77" s="18">
        <v>0</v>
      </c>
      <c r="F77" s="18">
        <v>0</v>
      </c>
      <c r="G77" s="18">
        <v>0</v>
      </c>
      <c r="H77" s="18">
        <v>0</v>
      </c>
      <c r="I77" s="18">
        <v>0</v>
      </c>
      <c r="J77" s="18">
        <v>0</v>
      </c>
      <c r="K77" s="18">
        <v>0</v>
      </c>
      <c r="L77" s="18">
        <v>0</v>
      </c>
      <c r="M77" s="18">
        <v>0</v>
      </c>
      <c r="N77" s="88">
        <v>15000</v>
      </c>
      <c r="O77" s="109">
        <f>P42</f>
        <v>15000</v>
      </c>
      <c r="P77" s="18">
        <f t="shared" ref="P77:S77" si="49">Q42</f>
        <v>40000</v>
      </c>
      <c r="Q77" s="18">
        <f t="shared" si="49"/>
        <v>10000</v>
      </c>
      <c r="R77" s="18">
        <f t="shared" si="49"/>
        <v>0</v>
      </c>
      <c r="S77" s="18">
        <f t="shared" si="49"/>
        <v>0</v>
      </c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</row>
    <row r="78" spans="1:38" ht="15.75" thickBot="1" x14ac:dyDescent="0.3">
      <c r="A78" s="33" t="s">
        <v>19</v>
      </c>
      <c r="B78" s="89">
        <f>SUM(B74:B75)-B77</f>
        <v>17364.240000000005</v>
      </c>
      <c r="C78" s="50">
        <f>SUM(C74:C75)-C77</f>
        <v>7029.8283333333402</v>
      </c>
      <c r="D78" s="50">
        <f t="shared" ref="D78:N78" si="50">SUM(D74:D75)-D77</f>
        <v>15454.916666666675</v>
      </c>
      <c r="E78" s="50">
        <f t="shared" si="50"/>
        <v>17865.805000000008</v>
      </c>
      <c r="F78" s="50">
        <f t="shared" si="50"/>
        <v>18943.593333333341</v>
      </c>
      <c r="G78" s="50">
        <f t="shared" si="50"/>
        <v>16091.411666666676</v>
      </c>
      <c r="H78" s="50">
        <f t="shared" si="50"/>
        <v>11531.28000000001</v>
      </c>
      <c r="I78" s="50">
        <f t="shared" si="50"/>
        <v>8034.338333333345</v>
      </c>
      <c r="J78" s="50">
        <f t="shared" si="50"/>
        <v>4691.7566666666789</v>
      </c>
      <c r="K78" s="50">
        <f t="shared" si="50"/>
        <v>1953.5350000000135</v>
      </c>
      <c r="L78" s="50">
        <f t="shared" si="50"/>
        <v>692.18333333334704</v>
      </c>
      <c r="M78" s="50">
        <f t="shared" si="50"/>
        <v>494.02166666668199</v>
      </c>
      <c r="N78" s="89">
        <f t="shared" si="50"/>
        <v>-13713.089999999986</v>
      </c>
      <c r="O78" s="110">
        <f>SUM(O74:O75)-O77</f>
        <v>-13713.089999999997</v>
      </c>
      <c r="P78" s="50">
        <f>SUM(P74:P75)-P77</f>
        <v>-30648.225999999984</v>
      </c>
      <c r="Q78" s="50">
        <f t="shared" ref="Q78:S78" si="51">SUM(Q74:Q75)-Q77</f>
        <v>2413.9980000000141</v>
      </c>
      <c r="R78" s="50">
        <f t="shared" si="51"/>
        <v>59858.502000000022</v>
      </c>
      <c r="S78" s="50">
        <f t="shared" si="51"/>
        <v>123133.35000000003</v>
      </c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</row>
    <row r="79" spans="1:38" x14ac:dyDescent="0.25">
      <c r="A79" s="30" t="s">
        <v>21</v>
      </c>
      <c r="B79" s="87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87"/>
      <c r="O79" s="108"/>
      <c r="P79" s="31"/>
      <c r="Q79" s="31"/>
      <c r="R79" s="31"/>
      <c r="S79" s="31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</row>
    <row r="80" spans="1:38" ht="15.75" thickBot="1" x14ac:dyDescent="0.3">
      <c r="A80" s="9" t="s">
        <v>22</v>
      </c>
      <c r="B80" s="90">
        <f>B41</f>
        <v>65000</v>
      </c>
      <c r="C80" s="24">
        <v>65000</v>
      </c>
      <c r="D80" s="24">
        <v>65000</v>
      </c>
      <c r="E80" s="24">
        <v>65000</v>
      </c>
      <c r="F80" s="24">
        <v>65000</v>
      </c>
      <c r="G80" s="24">
        <v>65000</v>
      </c>
      <c r="H80" s="24">
        <v>65000</v>
      </c>
      <c r="I80" s="24">
        <v>65000</v>
      </c>
      <c r="J80" s="24">
        <v>65000</v>
      </c>
      <c r="K80" s="24">
        <v>65000</v>
      </c>
      <c r="L80" s="24">
        <v>65000</v>
      </c>
      <c r="M80" s="24">
        <v>65000</v>
      </c>
      <c r="N80" s="90">
        <v>50000</v>
      </c>
      <c r="O80" s="111">
        <f>B80-O77</f>
        <v>50000</v>
      </c>
      <c r="P80" s="24">
        <f>O80-P77</f>
        <v>10000</v>
      </c>
      <c r="Q80" s="24">
        <f t="shared" ref="Q80:S80" si="52">P80-Q77</f>
        <v>0</v>
      </c>
      <c r="R80" s="24">
        <f t="shared" si="52"/>
        <v>0</v>
      </c>
      <c r="S80" s="24">
        <f t="shared" si="52"/>
        <v>0</v>
      </c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</row>
    <row r="81" spans="1:38" x14ac:dyDescent="0.25">
      <c r="A81" s="30" t="s">
        <v>23</v>
      </c>
      <c r="B81" s="87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87"/>
      <c r="O81" s="108"/>
      <c r="P81" s="31"/>
      <c r="Q81" s="31"/>
      <c r="R81" s="31"/>
      <c r="S81" s="31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</row>
    <row r="82" spans="1:38" x14ac:dyDescent="0.25">
      <c r="A82" s="51" t="s">
        <v>23</v>
      </c>
      <c r="B82" s="91">
        <f>(B72+B78)-B80</f>
        <v>-47635.759999999995</v>
      </c>
      <c r="C82" s="32">
        <f>(C72+C78)-C80</f>
        <v>-57970.171666666662</v>
      </c>
      <c r="D82" s="32">
        <f t="shared" ref="D82:N82" si="53">(D72+D78)-D80</f>
        <v>-49545.083333333328</v>
      </c>
      <c r="E82" s="32">
        <f t="shared" si="53"/>
        <v>-47134.194999999992</v>
      </c>
      <c r="F82" s="32">
        <f t="shared" si="53"/>
        <v>-46056.406666666662</v>
      </c>
      <c r="G82" s="32">
        <f>(G72+G78)-G80</f>
        <v>-48908.588333333326</v>
      </c>
      <c r="H82" s="32">
        <f t="shared" si="53"/>
        <v>-53468.719999999987</v>
      </c>
      <c r="I82" s="32">
        <f t="shared" si="53"/>
        <v>-56965.661666666652</v>
      </c>
      <c r="J82" s="32">
        <f t="shared" si="53"/>
        <v>-60308.243333333317</v>
      </c>
      <c r="K82" s="32">
        <f t="shared" si="53"/>
        <v>-63046.464999999989</v>
      </c>
      <c r="L82" s="32">
        <f t="shared" si="53"/>
        <v>-64307.816666666651</v>
      </c>
      <c r="M82" s="32">
        <f t="shared" si="53"/>
        <v>-64505.978333333318</v>
      </c>
      <c r="N82" s="91">
        <f t="shared" si="53"/>
        <v>-63713.089999999982</v>
      </c>
      <c r="O82" s="112">
        <f t="shared" ref="O82:S82" si="54">(O72+O78)-O80</f>
        <v>-63713.09</v>
      </c>
      <c r="P82" s="32">
        <f t="shared" si="54"/>
        <v>-40648.225999999981</v>
      </c>
      <c r="Q82" s="32">
        <f t="shared" si="54"/>
        <v>2413.9980000000141</v>
      </c>
      <c r="R82" s="32">
        <f t="shared" si="54"/>
        <v>59858.502000000022</v>
      </c>
      <c r="S82" s="32">
        <f t="shared" si="54"/>
        <v>123133.35000000003</v>
      </c>
      <c r="T82" s="7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</row>
    <row r="83" spans="1:38" x14ac:dyDescent="0.25">
      <c r="A83" s="25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</row>
    <row r="84" spans="1:38" x14ac:dyDescent="0.25">
      <c r="A84" s="25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</row>
    <row r="85" spans="1:38" x14ac:dyDescent="0.25">
      <c r="A85" s="25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</row>
    <row r="86" spans="1:38" x14ac:dyDescent="0.25">
      <c r="A86" s="25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</row>
    <row r="87" spans="1:38" x14ac:dyDescent="0.25">
      <c r="O87" s="19"/>
      <c r="P87" s="19"/>
      <c r="Q87" s="19"/>
      <c r="R87" s="19"/>
      <c r="S87" s="19"/>
      <c r="T87" s="21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</row>
    <row r="88" spans="1:38" x14ac:dyDescent="0.25">
      <c r="O88" s="25"/>
      <c r="P88" s="25"/>
      <c r="Q88" s="25"/>
      <c r="R88" s="25"/>
      <c r="S88" s="25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</row>
    <row r="89" spans="1:38" x14ac:dyDescent="0.25">
      <c r="O89" s="26"/>
      <c r="P89" s="26"/>
      <c r="Q89" s="26"/>
      <c r="R89" s="26"/>
      <c r="S89" s="26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</row>
    <row r="90" spans="1:38" x14ac:dyDescent="0.25"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</row>
    <row r="91" spans="1:38" x14ac:dyDescent="0.25">
      <c r="O91" s="7"/>
      <c r="P91" s="7"/>
      <c r="Q91" s="7"/>
      <c r="R91" s="7"/>
      <c r="S91" s="7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</row>
    <row r="92" spans="1:38" x14ac:dyDescent="0.25">
      <c r="A92" s="60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</row>
    <row r="93" spans="1:38" x14ac:dyDescent="0.25">
      <c r="A93" s="3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</row>
    <row r="94" spans="1:38" x14ac:dyDescent="0.25">
      <c r="A94" s="3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</row>
    <row r="95" spans="1:38" x14ac:dyDescent="0.25">
      <c r="A95" s="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</row>
    <row r="96" spans="1:38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</row>
    <row r="97" spans="1:38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</row>
    <row r="98" spans="1:38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</row>
    <row r="99" spans="1:38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</row>
    <row r="100" spans="1:38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</row>
    <row r="101" spans="1:38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</row>
    <row r="102" spans="1:38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</row>
    <row r="103" spans="1:38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</row>
    <row r="104" spans="1:38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</row>
    <row r="105" spans="1:38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</row>
    <row r="106" spans="1:38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</row>
    <row r="107" spans="1:38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</row>
    <row r="108" spans="1:38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</row>
    <row r="109" spans="1:38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</row>
    <row r="110" spans="1:38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</row>
    <row r="111" spans="1:38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</row>
    <row r="112" spans="1:38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</row>
    <row r="113" spans="1:38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</row>
    <row r="114" spans="1:38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</row>
    <row r="115" spans="1:38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</row>
    <row r="116" spans="1:38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</row>
    <row r="117" spans="1:38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</row>
    <row r="118" spans="1:38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</row>
    <row r="119" spans="1:38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</row>
    <row r="120" spans="1:38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 spans="1:38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  <row r="122" spans="1:38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</row>
    <row r="123" spans="1:38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</row>
    <row r="124" spans="1:38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</row>
    <row r="125" spans="1:38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</row>
    <row r="126" spans="1:38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</row>
    <row r="127" spans="1:38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</row>
    <row r="128" spans="1:38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</row>
    <row r="129" spans="1:38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</row>
    <row r="130" spans="1:38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</row>
    <row r="131" spans="1:38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</row>
    <row r="132" spans="1:38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</row>
    <row r="133" spans="1:38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</row>
    <row r="134" spans="1:38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</row>
    <row r="135" spans="1:38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</row>
    <row r="136" spans="1:38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</row>
    <row r="137" spans="1:38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</row>
    <row r="138" spans="1:38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</row>
    <row r="139" spans="1:38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</row>
    <row r="140" spans="1:38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</row>
    <row r="141" spans="1:38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</row>
    <row r="142" spans="1:38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</row>
    <row r="143" spans="1:38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</row>
    <row r="144" spans="1:38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</row>
    <row r="145" spans="1:38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</row>
    <row r="146" spans="1:38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</row>
    <row r="147" spans="1:38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</row>
    <row r="148" spans="1:38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</row>
    <row r="149" spans="1:38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</row>
    <row r="150" spans="1:38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</row>
    <row r="151" spans="1:38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</row>
    <row r="152" spans="1:38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</row>
    <row r="153" spans="1:38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</row>
    <row r="154" spans="1:38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</row>
    <row r="155" spans="1:38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</row>
    <row r="156" spans="1:38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</row>
    <row r="157" spans="1:38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</row>
    <row r="158" spans="1:38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</row>
    <row r="159" spans="1:38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</row>
    <row r="160" spans="1:38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</row>
    <row r="161" spans="1:38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</row>
    <row r="162" spans="1:38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</row>
    <row r="163" spans="1:38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</row>
    <row r="164" spans="1:38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</row>
    <row r="165" spans="1:38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</row>
    <row r="166" spans="1:38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</row>
    <row r="167" spans="1:38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</row>
    <row r="168" spans="1:38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</row>
    <row r="169" spans="1:38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</row>
    <row r="170" spans="1:38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</row>
    <row r="171" spans="1:38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</row>
    <row r="172" spans="1:38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</row>
    <row r="173" spans="1:38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</row>
    <row r="174" spans="1:38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</row>
    <row r="175" spans="1:38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</row>
    <row r="176" spans="1:38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</row>
    <row r="177" spans="1:38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</row>
    <row r="178" spans="1:38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</row>
    <row r="179" spans="1:38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</row>
    <row r="180" spans="1:38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</row>
    <row r="181" spans="1:38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</row>
    <row r="182" spans="1:38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</row>
    <row r="183" spans="1:38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</row>
    <row r="184" spans="1:38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</row>
    <row r="185" spans="1:38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</row>
    <row r="186" spans="1:38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</row>
    <row r="187" spans="1:38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</row>
    <row r="188" spans="1:38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</row>
    <row r="189" spans="1:38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</row>
    <row r="190" spans="1:38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</row>
    <row r="191" spans="1:38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</row>
    <row r="192" spans="1:38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</row>
    <row r="193" spans="1:38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</row>
    <row r="194" spans="1:38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</row>
    <row r="195" spans="1:38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</row>
    <row r="196" spans="1:38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</row>
    <row r="197" spans="1:38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</row>
    <row r="198" spans="1:38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</row>
    <row r="199" spans="1:38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</row>
    <row r="200" spans="1:38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</row>
    <row r="201" spans="1:38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</row>
    <row r="202" spans="1:38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</row>
    <row r="203" spans="1:38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</row>
    <row r="204" spans="1:38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</row>
    <row r="205" spans="1:38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</row>
    <row r="206" spans="1:38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</row>
    <row r="207" spans="1:38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</row>
    <row r="208" spans="1:38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</row>
    <row r="209" spans="1:38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</row>
    <row r="210" spans="1:38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</row>
    <row r="211" spans="1:38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</row>
    <row r="212" spans="1:38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</row>
    <row r="213" spans="1:38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</row>
    <row r="214" spans="1:38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</row>
    <row r="215" spans="1:38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</row>
    <row r="216" spans="1:38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</row>
    <row r="217" spans="1:38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</row>
    <row r="218" spans="1:38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</row>
    <row r="219" spans="1:38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</row>
    <row r="220" spans="1:38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</row>
    <row r="221" spans="1:38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</row>
    <row r="222" spans="1:38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</row>
    <row r="223" spans="1:38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</row>
    <row r="224" spans="1:38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</row>
    <row r="225" spans="1:38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</row>
    <row r="226" spans="1:38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</row>
    <row r="227" spans="1:38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</row>
    <row r="228" spans="1:38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</row>
    <row r="229" spans="1:38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</row>
    <row r="230" spans="1:38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</row>
    <row r="231" spans="1:38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</row>
    <row r="232" spans="1:38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</row>
    <row r="233" spans="1:38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</row>
    <row r="234" spans="1:38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</row>
    <row r="235" spans="1:38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</row>
    <row r="236" spans="1:38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</row>
    <row r="237" spans="1:38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</row>
    <row r="238" spans="1:38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</row>
    <row r="239" spans="1:38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</row>
    <row r="240" spans="1:38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</row>
    <row r="241" spans="1:38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</row>
    <row r="242" spans="1:38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</row>
    <row r="243" spans="1:38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</row>
    <row r="244" spans="1:38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</row>
    <row r="245" spans="1:38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</row>
    <row r="246" spans="1:38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</row>
    <row r="247" spans="1:38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</row>
    <row r="248" spans="1:38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</row>
    <row r="249" spans="1:38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</row>
    <row r="250" spans="1:38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</row>
    <row r="251" spans="1:38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</row>
    <row r="252" spans="1:38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</row>
    <row r="253" spans="1:38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</row>
    <row r="254" spans="1:38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</row>
    <row r="255" spans="1:38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</row>
    <row r="256" spans="1:38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</row>
    <row r="257" spans="1:38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</row>
    <row r="258" spans="1:38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</row>
    <row r="259" spans="1:38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</row>
    <row r="260" spans="1:38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</row>
    <row r="261" spans="1:38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</row>
    <row r="262" spans="1:38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</row>
    <row r="263" spans="1:38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</row>
    <row r="264" spans="1:38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</row>
    <row r="265" spans="1:38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</row>
    <row r="266" spans="1:38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</row>
    <row r="267" spans="1:38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</row>
    <row r="268" spans="1:38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</row>
    <row r="269" spans="1:38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</row>
    <row r="270" spans="1:38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</row>
    <row r="271" spans="1:38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</row>
    <row r="272" spans="1:38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</row>
    <row r="273" spans="1:38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</row>
    <row r="274" spans="1:38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</row>
    <row r="275" spans="1:38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</row>
    <row r="276" spans="1:38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</row>
    <row r="277" spans="1:38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</row>
    <row r="278" spans="1:38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</row>
    <row r="279" spans="1:38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</row>
    <row r="280" spans="1:38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</row>
    <row r="281" spans="1:38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</row>
    <row r="282" spans="1:38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</row>
    <row r="283" spans="1:38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</row>
    <row r="284" spans="1:38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</row>
    <row r="285" spans="1:38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</row>
    <row r="286" spans="1:38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</row>
    <row r="287" spans="1:38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</row>
    <row r="288" spans="1:38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</row>
    <row r="289" spans="1:38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</row>
    <row r="290" spans="1:38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</row>
    <row r="291" spans="1:38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</row>
    <row r="292" spans="1:38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</row>
    <row r="293" spans="1:38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</row>
    <row r="294" spans="1:38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</row>
    <row r="295" spans="1:38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</row>
    <row r="296" spans="1:38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</row>
    <row r="297" spans="1:38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</row>
    <row r="298" spans="1:38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</row>
    <row r="299" spans="1:38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</row>
    <row r="300" spans="1:38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</row>
    <row r="301" spans="1:38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</row>
    <row r="302" spans="1:38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</row>
    <row r="303" spans="1:38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</row>
    <row r="304" spans="1:38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</row>
    <row r="305" spans="1:38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</row>
    <row r="306" spans="1:38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</row>
    <row r="307" spans="1:38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</row>
    <row r="308" spans="1:38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</row>
    <row r="309" spans="1:38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</row>
    <row r="310" spans="1:38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</row>
    <row r="311" spans="1:38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</row>
    <row r="312" spans="1:38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</row>
    <row r="313" spans="1:38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</row>
    <row r="314" spans="1:38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</row>
    <row r="315" spans="1:38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</row>
    <row r="316" spans="1:38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</row>
    <row r="317" spans="1:38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</row>
    <row r="318" spans="1:38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</row>
    <row r="319" spans="1:38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</row>
    <row r="320" spans="1:38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</row>
    <row r="321" spans="1:38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</row>
    <row r="322" spans="1:38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</row>
    <row r="323" spans="1:38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</row>
    <row r="324" spans="1:38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</row>
    <row r="325" spans="1:38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</row>
    <row r="326" spans="1:38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</row>
    <row r="327" spans="1:38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</row>
    <row r="328" spans="1:38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</row>
    <row r="329" spans="1:38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</row>
    <row r="330" spans="1:38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</row>
    <row r="331" spans="1:38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</row>
    <row r="332" spans="1:38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</row>
    <row r="333" spans="1:38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</row>
    <row r="334" spans="1:38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</row>
    <row r="335" spans="1:38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</row>
    <row r="336" spans="1:38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</row>
    <row r="337" spans="1:38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</row>
    <row r="338" spans="1:38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</row>
    <row r="339" spans="1:38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</row>
    <row r="340" spans="1:38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</row>
    <row r="341" spans="1:38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</row>
    <row r="342" spans="1:38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</row>
    <row r="343" spans="1:38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</row>
    <row r="344" spans="1:38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</row>
    <row r="345" spans="1:38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</row>
    <row r="346" spans="1:38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</row>
    <row r="347" spans="1:38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</row>
    <row r="348" spans="1:38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</row>
    <row r="349" spans="1:38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</row>
    <row r="350" spans="1:38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</row>
    <row r="351" spans="1:38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</row>
    <row r="352" spans="1:38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</row>
    <row r="353" spans="1:38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</row>
    <row r="354" spans="1:38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</row>
    <row r="355" spans="1:38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</row>
    <row r="356" spans="1:38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</row>
    <row r="357" spans="1:38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</row>
    <row r="358" spans="1:38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</row>
    <row r="359" spans="1:38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</row>
    <row r="360" spans="1:38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</row>
    <row r="361" spans="1:38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</row>
    <row r="362" spans="1:38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</row>
    <row r="363" spans="1:38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</row>
    <row r="364" spans="1:38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</row>
    <row r="365" spans="1:38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</row>
    <row r="366" spans="1:38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</row>
    <row r="367" spans="1:38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</row>
    <row r="368" spans="1:38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</row>
    <row r="369" spans="1:38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</row>
    <row r="370" spans="1:38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</row>
    <row r="371" spans="1:38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</row>
    <row r="372" spans="1:38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</row>
    <row r="373" spans="1:38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</row>
    <row r="374" spans="1:38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</row>
    <row r="375" spans="1:38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</row>
    <row r="376" spans="1:38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</row>
    <row r="377" spans="1:38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</row>
    <row r="378" spans="1:38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</row>
    <row r="379" spans="1:38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</row>
    <row r="380" spans="1:38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</row>
    <row r="381" spans="1:38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</row>
    <row r="382" spans="1:38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</row>
    <row r="383" spans="1:38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</row>
    <row r="384" spans="1:38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</row>
    <row r="385" spans="1:38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</row>
    <row r="386" spans="1:38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</row>
    <row r="387" spans="1:38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</row>
    <row r="388" spans="1:38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</row>
    <row r="389" spans="1:38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</row>
    <row r="390" spans="1:38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</row>
    <row r="391" spans="1:38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</row>
    <row r="392" spans="1:38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</row>
    <row r="393" spans="1:38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</row>
    <row r="394" spans="1:38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</row>
    <row r="395" spans="1:38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</row>
    <row r="396" spans="1:38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</row>
    <row r="397" spans="1:38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</row>
    <row r="398" spans="1:38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</row>
    <row r="399" spans="1:38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</row>
    <row r="400" spans="1:38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</row>
    <row r="401" spans="1:38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</row>
    <row r="402" spans="1:38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</row>
    <row r="403" spans="1:38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</row>
    <row r="404" spans="1:38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</row>
    <row r="405" spans="1:38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</row>
    <row r="406" spans="1:38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</row>
    <row r="407" spans="1:38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</row>
    <row r="408" spans="1:38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</row>
    <row r="409" spans="1:38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</row>
    <row r="410" spans="1:38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</row>
    <row r="411" spans="1:38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</row>
    <row r="412" spans="1:38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</row>
    <row r="413" spans="1:38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</row>
    <row r="414" spans="1:38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</row>
    <row r="415" spans="1:38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</row>
    <row r="416" spans="1:38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</row>
    <row r="417" spans="1:38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</row>
    <row r="418" spans="1:38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</row>
    <row r="419" spans="1:38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</row>
    <row r="420" spans="1:38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</row>
    <row r="421" spans="1:38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</row>
    <row r="422" spans="1:38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</row>
    <row r="423" spans="1:38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</row>
    <row r="424" spans="1:38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</row>
    <row r="425" spans="1:38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</row>
    <row r="426" spans="1:38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</row>
    <row r="427" spans="1:38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</row>
    <row r="428" spans="1:38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</row>
    <row r="429" spans="1:38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</row>
    <row r="430" spans="1:38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</row>
    <row r="431" spans="1:38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</row>
    <row r="432" spans="1:38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</row>
    <row r="433" spans="1:38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</row>
    <row r="434" spans="1:38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</row>
    <row r="435" spans="1:38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</row>
    <row r="436" spans="1:38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</row>
    <row r="437" spans="1:38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</row>
    <row r="438" spans="1:38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</row>
    <row r="439" spans="1:38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</row>
    <row r="440" spans="1:38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</row>
    <row r="441" spans="1:38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</row>
    <row r="442" spans="1:38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</row>
    <row r="443" spans="1:38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</row>
    <row r="444" spans="1:38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</row>
    <row r="445" spans="1:38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</row>
    <row r="446" spans="1:38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</row>
    <row r="447" spans="1:38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</row>
    <row r="448" spans="1:38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</row>
    <row r="449" spans="1:38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</row>
    <row r="450" spans="1:38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</row>
    <row r="451" spans="1:38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</row>
    <row r="452" spans="1:38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</row>
    <row r="453" spans="1:38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</row>
    <row r="454" spans="1:38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</row>
    <row r="455" spans="1:38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</row>
    <row r="456" spans="1:38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</row>
    <row r="457" spans="1:38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</row>
    <row r="458" spans="1:38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</row>
    <row r="459" spans="1:38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</row>
    <row r="460" spans="1:38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</row>
    <row r="461" spans="1:38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</row>
    <row r="462" spans="1:38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</row>
    <row r="463" spans="1:38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</row>
    <row r="464" spans="1:38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</row>
    <row r="465" spans="1:38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</row>
    <row r="466" spans="1:38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</row>
    <row r="467" spans="1:38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</row>
    <row r="468" spans="1:38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</row>
    <row r="469" spans="1:38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</row>
    <row r="470" spans="1:38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</row>
    <row r="471" spans="1:38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</row>
    <row r="472" spans="1:38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</row>
    <row r="473" spans="1:38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</row>
    <row r="474" spans="1:38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</row>
    <row r="475" spans="1:38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</row>
    <row r="476" spans="1:38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</row>
    <row r="477" spans="1:38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</row>
    <row r="478" spans="1:38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</row>
    <row r="479" spans="1:38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</row>
    <row r="480" spans="1:38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</row>
    <row r="481" spans="1:38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</row>
    <row r="482" spans="1:38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</row>
    <row r="483" spans="1:38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</row>
    <row r="484" spans="1:38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</row>
    <row r="485" spans="1:38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</row>
    <row r="486" spans="1:38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</row>
    <row r="487" spans="1:38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</row>
    <row r="488" spans="1:38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</row>
    <row r="489" spans="1:38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</row>
    <row r="490" spans="1:38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</row>
    <row r="491" spans="1:38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</row>
    <row r="492" spans="1:38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</row>
    <row r="493" spans="1:38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</row>
    <row r="494" spans="1:38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</row>
    <row r="495" spans="1:38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</row>
    <row r="496" spans="1:38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</row>
    <row r="497" spans="1:38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</row>
    <row r="498" spans="1:38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</row>
    <row r="499" spans="1:38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</row>
    <row r="500" spans="1:38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</row>
    <row r="501" spans="1:38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</row>
    <row r="502" spans="1:38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</row>
    <row r="503" spans="1:38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</row>
    <row r="504" spans="1:38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</row>
    <row r="505" spans="1:38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</row>
    <row r="506" spans="1:38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</row>
    <row r="507" spans="1:38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</row>
    <row r="508" spans="1:38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</row>
    <row r="509" spans="1:38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</row>
    <row r="510" spans="1:38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</row>
    <row r="511" spans="1:38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</row>
    <row r="512" spans="1:38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</row>
    <row r="513" spans="1:38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</row>
    <row r="514" spans="1:38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</row>
    <row r="515" spans="1:38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</row>
    <row r="516" spans="1:38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</row>
    <row r="517" spans="1:38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</row>
    <row r="518" spans="1:38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</row>
    <row r="519" spans="1:38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</row>
    <row r="520" spans="1:38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</row>
    <row r="521" spans="1:38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</row>
    <row r="522" spans="1:38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</row>
    <row r="523" spans="1:38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</row>
    <row r="524" spans="1:38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</row>
    <row r="525" spans="1:38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</row>
    <row r="526" spans="1:38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</row>
    <row r="527" spans="1:38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</row>
    <row r="528" spans="1:38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</row>
    <row r="529" spans="1:38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</row>
    <row r="530" spans="1:38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</row>
    <row r="531" spans="1:38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</row>
    <row r="532" spans="1:38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</row>
    <row r="533" spans="1:38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</row>
    <row r="534" spans="1:38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</row>
    <row r="535" spans="1:38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</row>
    <row r="536" spans="1:38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</row>
    <row r="537" spans="1:38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</row>
    <row r="538" spans="1:38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</row>
    <row r="539" spans="1:38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</row>
    <row r="540" spans="1:38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</row>
    <row r="541" spans="1:38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</row>
    <row r="542" spans="1:38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</row>
    <row r="543" spans="1:38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</row>
    <row r="544" spans="1:38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</row>
    <row r="545" spans="1:38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</row>
    <row r="546" spans="1:38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</row>
    <row r="547" spans="1:38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</row>
    <row r="548" spans="1:38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</row>
    <row r="549" spans="1:38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</row>
    <row r="550" spans="1:38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</row>
    <row r="551" spans="1:38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</row>
    <row r="552" spans="1:38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</row>
    <row r="553" spans="1:38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</row>
    <row r="554" spans="1:38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</row>
    <row r="555" spans="1:38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</row>
    <row r="556" spans="1:38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</row>
    <row r="557" spans="1:38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</row>
    <row r="558" spans="1:38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</row>
    <row r="559" spans="1:38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</row>
    <row r="560" spans="1:38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</row>
    <row r="561" spans="1:38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</row>
    <row r="562" spans="1:38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</row>
    <row r="563" spans="1:38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</row>
    <row r="564" spans="1:38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</row>
    <row r="565" spans="1:38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</row>
    <row r="566" spans="1:38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</row>
    <row r="567" spans="1:38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</row>
    <row r="568" spans="1:38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</row>
    <row r="569" spans="1:38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</row>
    <row r="570" spans="1:38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</row>
    <row r="571" spans="1:38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</row>
    <row r="572" spans="1:38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</row>
    <row r="573" spans="1:38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</row>
    <row r="574" spans="1:38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</row>
    <row r="575" spans="1:38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</row>
    <row r="576" spans="1:38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</row>
    <row r="577" spans="1:38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</row>
    <row r="578" spans="1:38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</row>
    <row r="579" spans="1:38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</row>
    <row r="580" spans="1:38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</row>
    <row r="581" spans="1:38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</row>
    <row r="582" spans="1:38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</row>
    <row r="583" spans="1:38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</row>
    <row r="584" spans="1:38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</row>
    <row r="585" spans="1:38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</row>
    <row r="586" spans="1:38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</row>
    <row r="587" spans="1:38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</row>
    <row r="588" spans="1:38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</row>
    <row r="589" spans="1:38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</row>
    <row r="590" spans="1:38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</row>
    <row r="591" spans="1:38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</row>
    <row r="592" spans="1:38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</row>
    <row r="593" spans="1:38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</row>
    <row r="594" spans="1:38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</row>
    <row r="595" spans="1:38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</row>
    <row r="596" spans="1:38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</row>
    <row r="597" spans="1:38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</row>
    <row r="598" spans="1:38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</row>
    <row r="599" spans="1:38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</row>
    <row r="600" spans="1:38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</row>
    <row r="601" spans="1:38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</row>
    <row r="602" spans="1:38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</row>
    <row r="603" spans="1:38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</row>
    <row r="604" spans="1:38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</row>
    <row r="605" spans="1:38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</row>
    <row r="606" spans="1:38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</row>
    <row r="607" spans="1:38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</row>
    <row r="608" spans="1:38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</row>
    <row r="609" spans="1:38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</row>
    <row r="610" spans="1:38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</row>
    <row r="611" spans="1:38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</row>
    <row r="612" spans="1:38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</row>
    <row r="613" spans="1:38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</row>
    <row r="614" spans="1:38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</row>
    <row r="615" spans="1:38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</row>
    <row r="616" spans="1:38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</row>
    <row r="617" spans="1:38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</row>
    <row r="618" spans="1:38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</row>
    <row r="619" spans="1:38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</row>
    <row r="620" spans="1:38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</row>
    <row r="621" spans="1:38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</row>
    <row r="622" spans="1:38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</row>
    <row r="623" spans="1:38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</row>
    <row r="624" spans="1:38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</row>
    <row r="625" spans="1:38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</row>
    <row r="626" spans="1:38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</row>
    <row r="627" spans="1:38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</row>
    <row r="628" spans="1:38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</row>
    <row r="629" spans="1:38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</row>
    <row r="630" spans="1:38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</row>
    <row r="631" spans="1:38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</row>
    <row r="632" spans="1:38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</row>
    <row r="633" spans="1:38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</row>
    <row r="634" spans="1:38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</row>
    <row r="635" spans="1:38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</row>
    <row r="636" spans="1:38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</row>
    <row r="637" spans="1:38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</row>
    <row r="638" spans="1:38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</row>
    <row r="639" spans="1:38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</row>
    <row r="640" spans="1:38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</row>
    <row r="641" spans="1:38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</row>
    <row r="642" spans="1:38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</row>
    <row r="643" spans="1:38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</row>
    <row r="644" spans="1:38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</row>
    <row r="645" spans="1:38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</row>
    <row r="646" spans="1:38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</row>
    <row r="647" spans="1:38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</row>
    <row r="648" spans="1:38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</row>
    <row r="649" spans="1:38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</row>
    <row r="650" spans="1:38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</row>
    <row r="651" spans="1:38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</row>
    <row r="652" spans="1:38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</row>
    <row r="653" spans="1:38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</row>
    <row r="654" spans="1:38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</row>
    <row r="655" spans="1:38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</row>
    <row r="656" spans="1:38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</row>
    <row r="657" spans="1:38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</row>
    <row r="658" spans="1:38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</row>
    <row r="659" spans="1:38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</row>
    <row r="660" spans="1:38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</row>
    <row r="661" spans="1:38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</row>
    <row r="662" spans="1:38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</row>
    <row r="663" spans="1:38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</row>
    <row r="664" spans="1:38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</row>
    <row r="665" spans="1:38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</row>
    <row r="666" spans="1:38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</row>
    <row r="667" spans="1:38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</row>
    <row r="668" spans="1:38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</row>
    <row r="669" spans="1:38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</row>
    <row r="670" spans="1:38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</row>
    <row r="671" spans="1:38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</row>
    <row r="672" spans="1:38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</row>
    <row r="673" spans="1:38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</row>
    <row r="674" spans="1:38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</row>
    <row r="675" spans="1:38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</row>
    <row r="676" spans="1:38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</row>
    <row r="677" spans="1:38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</row>
    <row r="678" spans="1:38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</row>
    <row r="679" spans="1:38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</row>
    <row r="680" spans="1:38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</row>
    <row r="681" spans="1:38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</row>
    <row r="682" spans="1:38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</row>
    <row r="683" spans="1:38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</row>
    <row r="684" spans="1:38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</row>
    <row r="685" spans="1:38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</row>
    <row r="686" spans="1:38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</row>
    <row r="687" spans="1:38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</row>
    <row r="688" spans="1:38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</row>
    <row r="689" spans="1:38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</row>
    <row r="690" spans="1:38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</row>
    <row r="691" spans="1:38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</row>
    <row r="692" spans="1:38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</row>
    <row r="693" spans="1:38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</row>
    <row r="694" spans="1:38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</row>
    <row r="695" spans="1:38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</row>
    <row r="696" spans="1:38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</row>
    <row r="697" spans="1:38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</row>
    <row r="698" spans="1:38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</row>
    <row r="699" spans="1:38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</row>
    <row r="700" spans="1:38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</row>
    <row r="701" spans="1:38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</row>
    <row r="702" spans="1:38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</row>
    <row r="703" spans="1:38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</row>
    <row r="704" spans="1:38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</row>
    <row r="705" spans="1:38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</row>
    <row r="706" spans="1:38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</row>
    <row r="707" spans="1:38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</row>
    <row r="708" spans="1:38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</row>
    <row r="709" spans="1:38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</row>
    <row r="710" spans="1:38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</row>
    <row r="711" spans="1:38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</row>
    <row r="712" spans="1:38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</row>
    <row r="713" spans="1:38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</row>
    <row r="714" spans="1:38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</row>
    <row r="715" spans="1:38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</row>
    <row r="716" spans="1:38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</row>
    <row r="717" spans="1:38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</row>
    <row r="718" spans="1:38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</row>
    <row r="719" spans="1:38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</row>
    <row r="720" spans="1:38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</row>
    <row r="721" spans="1:38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</row>
    <row r="722" spans="1:38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</row>
    <row r="723" spans="1:38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</row>
    <row r="724" spans="1:38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</row>
    <row r="725" spans="1:38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</row>
    <row r="726" spans="1:38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</row>
    <row r="727" spans="1:38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</row>
    <row r="728" spans="1:38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</row>
    <row r="729" spans="1:38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</row>
    <row r="730" spans="1:38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</row>
    <row r="731" spans="1:38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</row>
    <row r="732" spans="1:38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</row>
    <row r="733" spans="1:38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</row>
    <row r="734" spans="1:38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</row>
    <row r="735" spans="1:38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</row>
    <row r="736" spans="1:38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</row>
    <row r="737" spans="1:38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</row>
    <row r="738" spans="1:38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</row>
    <row r="739" spans="1:38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</row>
    <row r="740" spans="1:38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</row>
    <row r="741" spans="1:38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</row>
    <row r="742" spans="1:38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</row>
    <row r="743" spans="1:38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</row>
    <row r="744" spans="1:38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</row>
    <row r="745" spans="1:38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</row>
    <row r="746" spans="1:38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</row>
    <row r="747" spans="1:38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</row>
    <row r="748" spans="1:38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</row>
    <row r="749" spans="1:38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</row>
    <row r="750" spans="1:38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</row>
    <row r="751" spans="1:38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</row>
    <row r="752" spans="1:38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</row>
    <row r="753" spans="1:38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</row>
    <row r="754" spans="1:38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</row>
    <row r="755" spans="1:38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</row>
    <row r="756" spans="1:38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</row>
    <row r="757" spans="1:38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</row>
    <row r="758" spans="1:38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</row>
    <row r="759" spans="1:38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</row>
    <row r="760" spans="1:38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</row>
    <row r="761" spans="1:38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</row>
    <row r="762" spans="1:38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</row>
    <row r="763" spans="1:38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</row>
    <row r="764" spans="1:38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</row>
    <row r="765" spans="1:38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</row>
    <row r="766" spans="1:38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</row>
    <row r="767" spans="1:38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</row>
    <row r="768" spans="1:38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</row>
    <row r="769" spans="1:38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</row>
    <row r="770" spans="1:38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</row>
    <row r="771" spans="1:38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</row>
    <row r="772" spans="1:38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</row>
    <row r="773" spans="1:38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</row>
    <row r="774" spans="1:38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</row>
    <row r="775" spans="1:38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</row>
    <row r="776" spans="1:38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</row>
    <row r="777" spans="1:38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</row>
    <row r="778" spans="1:38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</row>
    <row r="779" spans="1:38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</row>
    <row r="780" spans="1:38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</row>
    <row r="781" spans="1:38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</row>
    <row r="782" spans="1:38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</row>
    <row r="783" spans="1:38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</row>
    <row r="784" spans="1:38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</row>
    <row r="785" spans="1:38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</row>
    <row r="786" spans="1:38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</row>
    <row r="787" spans="1:38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</row>
    <row r="788" spans="1:38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</row>
    <row r="789" spans="1:38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</row>
    <row r="790" spans="1:38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</row>
    <row r="791" spans="1:38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</row>
    <row r="792" spans="1:38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</row>
    <row r="793" spans="1:38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</row>
    <row r="794" spans="1:38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</row>
    <row r="795" spans="1:38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</row>
    <row r="796" spans="1:38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</row>
    <row r="797" spans="1:38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</row>
    <row r="798" spans="1:38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</row>
    <row r="799" spans="1:38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</row>
    <row r="800" spans="1:38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</row>
    <row r="801" spans="1:38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</row>
    <row r="802" spans="1:38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</row>
    <row r="803" spans="1:38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</row>
    <row r="804" spans="1:38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</row>
    <row r="805" spans="1:38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</row>
    <row r="806" spans="1:38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</row>
    <row r="807" spans="1:38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</row>
    <row r="808" spans="1:38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</row>
    <row r="809" spans="1:38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</row>
    <row r="810" spans="1:38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</row>
    <row r="811" spans="1:38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</row>
    <row r="812" spans="1:38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</row>
    <row r="813" spans="1:38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</row>
    <row r="814" spans="1:38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</row>
    <row r="815" spans="1:38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</row>
    <row r="816" spans="1:38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</row>
    <row r="817" spans="1:38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</row>
    <row r="818" spans="1:38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</row>
    <row r="819" spans="1:38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</row>
    <row r="820" spans="1:38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</row>
    <row r="821" spans="1:38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</row>
    <row r="822" spans="1:38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</row>
    <row r="823" spans="1:38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</row>
    <row r="824" spans="1:38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</row>
    <row r="825" spans="1:38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</row>
    <row r="826" spans="1:38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</row>
    <row r="827" spans="1:38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</row>
    <row r="828" spans="1:38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</row>
    <row r="829" spans="1:38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</row>
    <row r="830" spans="1:38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</row>
    <row r="831" spans="1:38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</row>
    <row r="832" spans="1:38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</row>
    <row r="833" spans="1:38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</row>
    <row r="834" spans="1:38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</row>
    <row r="835" spans="1:38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</row>
    <row r="836" spans="1:38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</row>
    <row r="837" spans="1:38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</row>
    <row r="838" spans="1:38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</row>
    <row r="839" spans="1:38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</row>
    <row r="840" spans="1:38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</row>
    <row r="841" spans="1:38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</row>
    <row r="842" spans="1:38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</row>
    <row r="843" spans="1:38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</row>
    <row r="844" spans="1:38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</row>
    <row r="845" spans="1:38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</row>
    <row r="846" spans="1:38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</row>
    <row r="847" spans="1:38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</row>
    <row r="848" spans="1:38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</row>
    <row r="849" spans="1:38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</row>
    <row r="850" spans="1:38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</row>
    <row r="851" spans="1:38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</row>
    <row r="852" spans="1:38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</row>
    <row r="853" spans="1:38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</row>
    <row r="854" spans="1:38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</row>
    <row r="855" spans="1:38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</row>
    <row r="856" spans="1:38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</row>
    <row r="857" spans="1:38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</row>
    <row r="858" spans="1:38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</row>
    <row r="859" spans="1:38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</row>
    <row r="860" spans="1:38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</row>
    <row r="861" spans="1:38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</row>
    <row r="862" spans="1:38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</row>
    <row r="863" spans="1:38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</row>
    <row r="864" spans="1:38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</row>
    <row r="865" spans="1:38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</row>
    <row r="866" spans="1:38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</row>
    <row r="867" spans="1:38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</row>
    <row r="868" spans="1:38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</row>
    <row r="869" spans="1:38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</row>
    <row r="870" spans="1:38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</row>
    <row r="871" spans="1:38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</row>
    <row r="872" spans="1:38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</row>
    <row r="873" spans="1:38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</row>
    <row r="874" spans="1:38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</row>
    <row r="875" spans="1:38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</row>
    <row r="876" spans="1:38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</row>
    <row r="877" spans="1:38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</row>
    <row r="878" spans="1:38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</row>
    <row r="879" spans="1:38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</row>
    <row r="880" spans="1:38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</row>
    <row r="881" spans="1:38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</row>
    <row r="882" spans="1:38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</row>
    <row r="883" spans="1:38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</row>
    <row r="884" spans="1:38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</row>
    <row r="885" spans="1:38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</row>
    <row r="886" spans="1:38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</row>
    <row r="887" spans="1:38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</row>
    <row r="888" spans="1:38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</row>
    <row r="889" spans="1:38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</row>
    <row r="890" spans="1:38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</row>
    <row r="891" spans="1:38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</row>
    <row r="892" spans="1:38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</row>
    <row r="893" spans="1:38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</row>
    <row r="894" spans="1:38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</row>
    <row r="895" spans="1:38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</row>
    <row r="896" spans="1:38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</row>
    <row r="897" spans="1:38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</row>
    <row r="898" spans="1:38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</row>
    <row r="899" spans="1:38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</row>
    <row r="900" spans="1:38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</row>
    <row r="901" spans="1:38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</row>
    <row r="902" spans="1:38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</row>
    <row r="903" spans="1:38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</row>
    <row r="904" spans="1:38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</row>
    <row r="905" spans="1:38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</row>
    <row r="906" spans="1:38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</row>
    <row r="907" spans="1:38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</row>
    <row r="908" spans="1:38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</row>
    <row r="909" spans="1:38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</row>
    <row r="910" spans="1:38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</row>
    <row r="911" spans="1:38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</row>
    <row r="912" spans="1:38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</row>
    <row r="913" spans="1:38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</row>
    <row r="914" spans="1:38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</row>
    <row r="915" spans="1:38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</row>
    <row r="916" spans="1:38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</row>
    <row r="917" spans="1:38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</row>
    <row r="918" spans="1:38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</row>
    <row r="919" spans="1:38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</row>
    <row r="920" spans="1:38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</row>
    <row r="921" spans="1:38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</row>
    <row r="922" spans="1:38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</row>
    <row r="923" spans="1:38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</row>
    <row r="924" spans="1:38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</row>
    <row r="925" spans="1:38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</row>
    <row r="926" spans="1:38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</row>
    <row r="927" spans="1:38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</row>
    <row r="928" spans="1:38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</row>
    <row r="929" spans="1:38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</row>
    <row r="930" spans="1:38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</row>
    <row r="931" spans="1:38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</row>
    <row r="932" spans="1:38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</row>
    <row r="933" spans="1:38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</row>
    <row r="934" spans="1:38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</row>
    <row r="935" spans="1:38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</row>
    <row r="936" spans="1:38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</row>
    <row r="937" spans="1:38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</row>
    <row r="938" spans="1:38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</row>
    <row r="939" spans="1:38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</row>
    <row r="940" spans="1:38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</row>
    <row r="941" spans="1:38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</row>
    <row r="942" spans="1:38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</row>
    <row r="943" spans="1:38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</row>
    <row r="944" spans="1:38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</row>
    <row r="945" spans="1:38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</row>
    <row r="946" spans="1:38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</row>
    <row r="947" spans="1:38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</row>
    <row r="948" spans="1:38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</row>
    <row r="949" spans="1:38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</row>
    <row r="950" spans="1:38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</row>
    <row r="951" spans="1:38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</row>
    <row r="952" spans="1:38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</row>
    <row r="953" spans="1:38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</row>
    <row r="954" spans="1:38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</row>
    <row r="955" spans="1:38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</row>
    <row r="956" spans="1:38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</row>
    <row r="957" spans="1:38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</row>
    <row r="958" spans="1:38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</row>
    <row r="959" spans="1:38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</row>
    <row r="960" spans="1:38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</row>
    <row r="961" spans="1:38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</row>
    <row r="962" spans="1:38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</row>
    <row r="963" spans="1:38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</row>
    <row r="964" spans="1:38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</row>
    <row r="965" spans="1:38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</row>
    <row r="966" spans="1:38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</row>
    <row r="967" spans="1:38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</row>
    <row r="968" spans="1:38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</row>
    <row r="969" spans="1:38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</row>
    <row r="970" spans="1:38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</row>
    <row r="971" spans="1:38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</row>
    <row r="972" spans="1:38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</row>
    <row r="973" spans="1:38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</row>
    <row r="974" spans="1:38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</row>
    <row r="975" spans="1:38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</row>
    <row r="976" spans="1:38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</row>
    <row r="977" spans="1:38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</row>
    <row r="978" spans="1:38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</row>
    <row r="979" spans="1:38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</row>
    <row r="980" spans="1:38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</row>
    <row r="981" spans="1:38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</row>
    <row r="982" spans="1:38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</row>
    <row r="983" spans="1:38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</row>
    <row r="984" spans="1:38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</row>
    <row r="985" spans="1:38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</row>
    <row r="986" spans="1:38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</row>
    <row r="987" spans="1:38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</row>
    <row r="988" spans="1:38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</row>
    <row r="989" spans="1:38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</row>
    <row r="990" spans="1:38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</row>
    <row r="991" spans="1:38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</row>
    <row r="992" spans="1:38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</row>
    <row r="993" spans="1:38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</row>
    <row r="994" spans="1:38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</row>
    <row r="995" spans="1:38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</row>
    <row r="996" spans="1:38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</row>
    <row r="997" spans="1:38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</row>
    <row r="998" spans="1:38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</row>
    <row r="999" spans="1:38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</row>
    <row r="1000" spans="1:38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</row>
    <row r="1001" spans="1:38" x14ac:dyDescent="0.2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</row>
    <row r="1002" spans="1:38" x14ac:dyDescent="0.2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</row>
    <row r="1003" spans="1:38" x14ac:dyDescent="0.2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</row>
    <row r="1004" spans="1:38" x14ac:dyDescent="0.2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</row>
    <row r="1005" spans="1:38" x14ac:dyDescent="0.2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</row>
    <row r="1006" spans="1:38" x14ac:dyDescent="0.2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</row>
    <row r="1007" spans="1:38" x14ac:dyDescent="0.2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</row>
    <row r="1008" spans="1:38" x14ac:dyDescent="0.2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</row>
    <row r="1009" spans="1:38" x14ac:dyDescent="0.2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</row>
    <row r="1010" spans="1:38" x14ac:dyDescent="0.2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</row>
    <row r="1011" spans="1:38" x14ac:dyDescent="0.2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</row>
    <row r="1012" spans="1:38" x14ac:dyDescent="0.2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</row>
    <row r="1013" spans="1:38" x14ac:dyDescent="0.2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</row>
    <row r="1014" spans="1:38" x14ac:dyDescent="0.2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</row>
    <row r="1015" spans="1:38" x14ac:dyDescent="0.2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</row>
    <row r="1016" spans="1:38" x14ac:dyDescent="0.2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</row>
    <row r="1017" spans="1:38" x14ac:dyDescent="0.2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</vt:vector>
  </HeadingPairs>
  <TitlesOfParts>
    <vt:vector size="5" baseType="lpstr">
      <vt:lpstr>P&amp;L for duration Of Project </vt:lpstr>
      <vt:lpstr>Projections</vt:lpstr>
      <vt:lpstr>Year 1 Net Profit Sales Revenue</vt:lpstr>
      <vt:lpstr>Net Profit Graph Over time </vt:lpstr>
      <vt:lpstr>Volume of Sales Over time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Calum Armstrong</dc:creator>
  <cp:lastModifiedBy>Emmanuel Olutayo</cp:lastModifiedBy>
  <dcterms:created xsi:type="dcterms:W3CDTF">2015-05-28T13:53:01Z</dcterms:created>
  <dcterms:modified xsi:type="dcterms:W3CDTF">2015-06-02T13:04:58Z</dcterms:modified>
</cp:coreProperties>
</file>