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Trotter\Desktop\MSF-MRED\Financial Modeling\"/>
    </mc:Choice>
  </mc:AlternateContent>
  <xr:revisionPtr revIDLastSave="0" documentId="13_ncr:1_{C422B7AE-C27C-42A4-BBFF-526E3A620DCC}" xr6:coauthVersionLast="47" xr6:coauthVersionMax="47" xr10:uidLastSave="{00000000-0000-0000-0000-000000000000}"/>
  <bookViews>
    <workbookView xWindow="-120" yWindow="-120" windowWidth="20730" windowHeight="11160" tabRatio="813" activeTab="1" xr2:uid="{3478A54F-D538-4DE2-B2D5-EC67F5778C61}"/>
  </bookViews>
  <sheets>
    <sheet name="Inputs" sheetId="16" r:id="rId1"/>
    <sheet name="Analysis" sheetId="38" r:id="rId2"/>
    <sheet name="Annual Summary" sheetId="37" r:id="rId3"/>
    <sheet name="BalanceSheet" sheetId="35" r:id="rId4"/>
    <sheet name="Cash Flows Statement" sheetId="36" r:id="rId5"/>
    <sheet name="CapEx" sheetId="33" r:id="rId6"/>
    <sheet name="CompanyP&amp;L" sheetId="32" r:id="rId7"/>
    <sheet name="Interest Expense" sheetId="34" r:id="rId8"/>
    <sheet name="G&amp;A" sheetId="31" r:id="rId9"/>
    <sheet name="ControlSheet" sheetId="8" r:id="rId10"/>
    <sheet name="All Stores--&gt;&gt;" sheetId="30" r:id="rId11"/>
    <sheet name="Existing Stores--&gt;&gt;" sheetId="20" r:id="rId12"/>
    <sheet name="In" sheetId="21" r:id="rId13"/>
    <sheet name="Is_Store1" sheetId="25" r:id="rId14"/>
    <sheet name="Is_Store2" sheetId="26" r:id="rId15"/>
    <sheet name="Is_Store3" sheetId="27" r:id="rId16"/>
    <sheet name="Is_Store4" sheetId="28" r:id="rId17"/>
    <sheet name="Is_Store5" sheetId="29" r:id="rId18"/>
    <sheet name="Out" sheetId="22" r:id="rId19"/>
    <sheet name="IS_Existing" sheetId="24" r:id="rId20"/>
    <sheet name="Inc_Stm_New_Stores---&gt;&gt;" sheetId="17" r:id="rId21"/>
    <sheet name="IS_NewStore" sheetId="18" r:id="rId22"/>
    <sheet name="Is_NewStore_Trend" sheetId="19" r:id="rId23"/>
  </sheets>
  <definedNames>
    <definedName name="ExistingColumns">IS_Existing!$B$11:$H$11</definedName>
    <definedName name="ExistingRow">IS_Existing!$B$11:$B$58</definedName>
    <definedName name="ExistingStoreColumn">#REF!</definedName>
    <definedName name="ExistingStoreRow">#REF!</definedName>
    <definedName name="ExistingStoreTable">#REF!</definedName>
    <definedName name="ExistingTable">IS_Existing!$B$11:$H$58</definedName>
    <definedName name="NSO1Column">Inputs!$B$26:$E$26</definedName>
    <definedName name="NSO1Row">Inputs!$B$26:$B$29</definedName>
    <definedName name="NSO1Table">Inputs!$B$26:$E$29</definedName>
    <definedName name="NSO2Column">Inputs!$B$32:$E$32</definedName>
    <definedName name="NSO2Row">Inputs!$B$32:$B$35</definedName>
    <definedName name="NSO2Table">Inputs!$B$32:$E$35</definedName>
    <definedName name="ScheduleColumn">Inputs!$B$17:$G$17</definedName>
    <definedName name="ScheduleRow">Inputs!$B$17:$B$21</definedName>
    <definedName name="ScheduleTable">Inputs!$B$17:$G$21</definedName>
    <definedName name="solver_adj" localSheetId="2" hidden="1">'Annual Summary'!$J$85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'Annual Summary'!$C$8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StoreExpenseColumn">Inputs!$B$38:$E$38</definedName>
    <definedName name="StoreExpenseRow">Inputs!$B$38:$B$58</definedName>
    <definedName name="StoreExpenseTable">Inputs!$B$38:$E$58</definedName>
    <definedName name="StoreList">ControlSheet!$B$1:$B$5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52" i="16" l="1"/>
  <c r="AG84" i="37"/>
  <c r="H90" i="24"/>
  <c r="I6" i="24"/>
  <c r="I5" i="24"/>
  <c r="G28" i="16"/>
  <c r="G34" i="16"/>
  <c r="L26" i="24"/>
  <c r="F36" i="16"/>
  <c r="F30" i="16"/>
  <c r="U10" i="38"/>
  <c r="F35" i="16"/>
  <c r="F29" i="16"/>
  <c r="L25" i="24"/>
  <c r="L23" i="24"/>
  <c r="F34" i="16"/>
  <c r="F28" i="16"/>
  <c r="G5" i="24"/>
  <c r="E30" i="16"/>
  <c r="D30" i="16"/>
  <c r="C30" i="16"/>
  <c r="D36" i="16"/>
  <c r="E36" i="16"/>
  <c r="C36" i="16"/>
  <c r="N42" i="38"/>
  <c r="N40" i="38"/>
  <c r="M23" i="24"/>
  <c r="L24" i="24"/>
  <c r="Q93" i="16"/>
  <c r="C2" i="37"/>
  <c r="O9" i="38"/>
  <c r="D4" i="16"/>
  <c r="F2" i="16"/>
  <c r="Q11" i="16"/>
  <c r="S9" i="16"/>
  <c r="D12" i="24"/>
  <c r="E12" i="24"/>
  <c r="C5" i="24"/>
  <c r="C23" i="35"/>
  <c r="B23" i="35"/>
  <c r="B40" i="37"/>
  <c r="B38" i="37"/>
  <c r="B36" i="37"/>
  <c r="B34" i="37"/>
  <c r="B32" i="37"/>
  <c r="B30" i="37"/>
  <c r="B28" i="37"/>
  <c r="B26" i="37"/>
  <c r="B24" i="37"/>
  <c r="B22" i="37"/>
  <c r="B20" i="37"/>
  <c r="B18" i="37"/>
  <c r="K1" i="32"/>
  <c r="O1" i="32"/>
  <c r="S1" i="32"/>
  <c r="W1" i="32"/>
  <c r="J1" i="32"/>
  <c r="N1" i="32"/>
  <c r="R1" i="32"/>
  <c r="V1" i="32"/>
  <c r="I1" i="32"/>
  <c r="M1" i="32"/>
  <c r="Q1" i="32"/>
  <c r="U1" i="32"/>
  <c r="H1" i="32"/>
  <c r="L1" i="32"/>
  <c r="P1" i="32"/>
  <c r="T1" i="32"/>
  <c r="K1" i="36"/>
  <c r="O1" i="36"/>
  <c r="S1" i="36"/>
  <c r="W1" i="36"/>
  <c r="J1" i="36"/>
  <c r="N1" i="36"/>
  <c r="R1" i="36"/>
  <c r="V1" i="36"/>
  <c r="I1" i="36"/>
  <c r="M1" i="36"/>
  <c r="Q1" i="36"/>
  <c r="U1" i="36"/>
  <c r="H1" i="36"/>
  <c r="L1" i="36"/>
  <c r="P1" i="36"/>
  <c r="T1" i="36"/>
  <c r="J1" i="35"/>
  <c r="K1" i="35"/>
  <c r="L1" i="35"/>
  <c r="M1" i="35"/>
  <c r="Q1" i="35"/>
  <c r="U1" i="35"/>
  <c r="N1" i="35"/>
  <c r="O1" i="35"/>
  <c r="P1" i="35"/>
  <c r="R1" i="35"/>
  <c r="S1" i="35"/>
  <c r="T1" i="35"/>
  <c r="V1" i="35"/>
  <c r="W1" i="35"/>
  <c r="X1" i="35"/>
  <c r="I1" i="35"/>
  <c r="C7" i="34"/>
  <c r="D30" i="35"/>
  <c r="D28" i="35"/>
  <c r="D27" i="35"/>
  <c r="D26" i="35"/>
  <c r="P9" i="38"/>
  <c r="Q9" i="38"/>
  <c r="D24" i="35"/>
  <c r="D21" i="35"/>
  <c r="D20" i="35"/>
  <c r="C20" i="35"/>
  <c r="D19" i="35"/>
  <c r="C19" i="35"/>
  <c r="D18" i="35"/>
  <c r="C18" i="35"/>
  <c r="D16" i="35"/>
  <c r="D15" i="35"/>
  <c r="D13" i="35"/>
  <c r="D12" i="35"/>
  <c r="C12" i="35"/>
  <c r="D11" i="35"/>
  <c r="C11" i="35"/>
  <c r="D10" i="35"/>
  <c r="C10" i="35"/>
  <c r="D9" i="35"/>
  <c r="D30" i="36"/>
  <c r="Y30" i="36"/>
  <c r="D92" i="37"/>
  <c r="E10" i="33"/>
  <c r="C3" i="33"/>
  <c r="C2" i="33"/>
  <c r="B20" i="32"/>
  <c r="B18" i="32"/>
  <c r="B28" i="32"/>
  <c r="B26" i="32"/>
  <c r="B24" i="32"/>
  <c r="B22" i="32"/>
  <c r="B16" i="32"/>
  <c r="B14" i="32"/>
  <c r="B12" i="32"/>
  <c r="B10" i="32"/>
  <c r="B8" i="32"/>
  <c r="B6" i="32"/>
  <c r="E76" i="31"/>
  <c r="C35" i="31"/>
  <c r="E34" i="31"/>
  <c r="R34" i="31"/>
  <c r="D34" i="31"/>
  <c r="E33" i="31"/>
  <c r="D33" i="31"/>
  <c r="D32" i="31"/>
  <c r="E31" i="31"/>
  <c r="D31" i="31"/>
  <c r="E30" i="31"/>
  <c r="T30" i="31"/>
  <c r="D30" i="31"/>
  <c r="D29" i="31"/>
  <c r="E28" i="31"/>
  <c r="W28" i="31"/>
  <c r="D28" i="31"/>
  <c r="E27" i="31"/>
  <c r="M27" i="31"/>
  <c r="D27" i="31"/>
  <c r="D26" i="31"/>
  <c r="E25" i="31"/>
  <c r="S25" i="31"/>
  <c r="D25" i="31"/>
  <c r="E24" i="31"/>
  <c r="T24" i="31"/>
  <c r="D24" i="31"/>
  <c r="E23" i="31"/>
  <c r="P23" i="31"/>
  <c r="D23" i="31"/>
  <c r="E22" i="31"/>
  <c r="O22" i="31"/>
  <c r="D22" i="31"/>
  <c r="E21" i="31"/>
  <c r="U21" i="31"/>
  <c r="D21" i="31"/>
  <c r="E20" i="31"/>
  <c r="H20" i="31"/>
  <c r="D20" i="31"/>
  <c r="E19" i="31"/>
  <c r="U19" i="31"/>
  <c r="D19" i="31"/>
  <c r="D18" i="31"/>
  <c r="E17" i="31"/>
  <c r="R17" i="31"/>
  <c r="D17" i="31"/>
  <c r="E16" i="31"/>
  <c r="S16" i="31"/>
  <c r="D16" i="31"/>
  <c r="E15" i="31"/>
  <c r="D15" i="31"/>
  <c r="D14" i="31"/>
  <c r="E13" i="31"/>
  <c r="D13" i="31"/>
  <c r="E12" i="31"/>
  <c r="R12" i="31"/>
  <c r="D12" i="31"/>
  <c r="E11" i="31"/>
  <c r="H11" i="31"/>
  <c r="D11" i="31"/>
  <c r="E10" i="31"/>
  <c r="N10" i="31"/>
  <c r="D10" i="31"/>
  <c r="E75" i="31"/>
  <c r="E74" i="31"/>
  <c r="E73" i="31"/>
  <c r="E70" i="31"/>
  <c r="T48" i="31"/>
  <c r="E69" i="31"/>
  <c r="P47" i="31"/>
  <c r="E68" i="31"/>
  <c r="E67" i="31"/>
  <c r="X45" i="31"/>
  <c r="E66" i="31"/>
  <c r="X44" i="31"/>
  <c r="E65" i="31"/>
  <c r="E64" i="31"/>
  <c r="E62" i="31"/>
  <c r="E61" i="31"/>
  <c r="E60" i="31"/>
  <c r="E58" i="31"/>
  <c r="Z34" i="31"/>
  <c r="V34" i="31"/>
  <c r="N34" i="31"/>
  <c r="M34" i="31"/>
  <c r="O27" i="31"/>
  <c r="L27" i="31"/>
  <c r="S24" i="31"/>
  <c r="J24" i="31"/>
  <c r="K22" i="31"/>
  <c r="T16" i="31"/>
  <c r="P16" i="31"/>
  <c r="K16" i="31"/>
  <c r="J16" i="31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E37" i="29"/>
  <c r="E36" i="29"/>
  <c r="E33" i="29"/>
  <c r="E32" i="29"/>
  <c r="E31" i="29"/>
  <c r="E30" i="29"/>
  <c r="E29" i="29"/>
  <c r="E26" i="29"/>
  <c r="E25" i="29"/>
  <c r="E21" i="29"/>
  <c r="E20" i="29"/>
  <c r="E19" i="29"/>
  <c r="E18" i="29"/>
  <c r="E17" i="29"/>
  <c r="E16" i="29"/>
  <c r="E13" i="29"/>
  <c r="E12" i="29"/>
  <c r="C7" i="29"/>
  <c r="C6" i="29"/>
  <c r="E37" i="28"/>
  <c r="E36" i="28"/>
  <c r="E33" i="28"/>
  <c r="E32" i="28"/>
  <c r="E31" i="28"/>
  <c r="E30" i="28"/>
  <c r="E29" i="28"/>
  <c r="E26" i="28"/>
  <c r="E25" i="28"/>
  <c r="E21" i="28"/>
  <c r="E20" i="28"/>
  <c r="E19" i="28"/>
  <c r="E18" i="28"/>
  <c r="E17" i="28"/>
  <c r="E16" i="28"/>
  <c r="E13" i="28"/>
  <c r="E12" i="28"/>
  <c r="C7" i="28"/>
  <c r="C6" i="28"/>
  <c r="E37" i="27"/>
  <c r="E36" i="27"/>
  <c r="E33" i="27"/>
  <c r="E32" i="27"/>
  <c r="E31" i="27"/>
  <c r="E30" i="27"/>
  <c r="E29" i="27"/>
  <c r="E26" i="27"/>
  <c r="E25" i="27"/>
  <c r="E21" i="27"/>
  <c r="E20" i="27"/>
  <c r="E19" i="27"/>
  <c r="E18" i="27"/>
  <c r="E17" i="27"/>
  <c r="E16" i="27"/>
  <c r="E13" i="27"/>
  <c r="E12" i="27"/>
  <c r="C7" i="27"/>
  <c r="C6" i="27"/>
  <c r="E37" i="26"/>
  <c r="E36" i="26"/>
  <c r="E33" i="26"/>
  <c r="E32" i="26"/>
  <c r="E31" i="26"/>
  <c r="E30" i="26"/>
  <c r="E29" i="26"/>
  <c r="E26" i="26"/>
  <c r="E25" i="26"/>
  <c r="E21" i="26"/>
  <c r="E20" i="26"/>
  <c r="E19" i="26"/>
  <c r="E18" i="26"/>
  <c r="E17" i="26"/>
  <c r="E16" i="26"/>
  <c r="E13" i="26"/>
  <c r="E12" i="26"/>
  <c r="C7" i="26"/>
  <c r="C6" i="26"/>
  <c r="C7" i="25"/>
  <c r="C6" i="25"/>
  <c r="E37" i="25"/>
  <c r="E36" i="25"/>
  <c r="E33" i="25"/>
  <c r="E32" i="25"/>
  <c r="E31" i="25"/>
  <c r="E30" i="25"/>
  <c r="E29" i="25"/>
  <c r="E26" i="25"/>
  <c r="E25" i="25"/>
  <c r="E21" i="25"/>
  <c r="E20" i="25"/>
  <c r="E19" i="25"/>
  <c r="E18" i="25"/>
  <c r="E17" i="25"/>
  <c r="E16" i="25"/>
  <c r="E13" i="25"/>
  <c r="E12" i="25"/>
  <c r="E13" i="24"/>
  <c r="F12" i="24"/>
  <c r="G12" i="24"/>
  <c r="G13" i="24"/>
  <c r="C10" i="28"/>
  <c r="H12" i="24"/>
  <c r="H13" i="24"/>
  <c r="C10" i="29"/>
  <c r="D10" i="29"/>
  <c r="D13" i="24"/>
  <c r="C10" i="25"/>
  <c r="C31" i="24"/>
  <c r="H16" i="17"/>
  <c r="I17" i="17"/>
  <c r="J18" i="17"/>
  <c r="K19" i="17"/>
  <c r="L20" i="17"/>
  <c r="M21" i="17"/>
  <c r="N22" i="17"/>
  <c r="O23" i="17"/>
  <c r="P24" i="17"/>
  <c r="Q25" i="17"/>
  <c r="R26" i="17"/>
  <c r="S27" i="17"/>
  <c r="T28" i="17"/>
  <c r="U29" i="17"/>
  <c r="V30" i="17"/>
  <c r="W31" i="17"/>
  <c r="X32" i="17"/>
  <c r="Y33" i="17"/>
  <c r="H17" i="17"/>
  <c r="I18" i="17"/>
  <c r="J19" i="17"/>
  <c r="K20" i="17"/>
  <c r="L21" i="17"/>
  <c r="M22" i="17"/>
  <c r="N23" i="17"/>
  <c r="O24" i="17"/>
  <c r="P25" i="17"/>
  <c r="Q26" i="17"/>
  <c r="R27" i="17"/>
  <c r="S28" i="17"/>
  <c r="T29" i="17"/>
  <c r="U30" i="17"/>
  <c r="V31" i="17"/>
  <c r="W32" i="17"/>
  <c r="X33" i="17"/>
  <c r="H18" i="17"/>
  <c r="I19" i="17"/>
  <c r="J20" i="17"/>
  <c r="K21" i="17"/>
  <c r="L22" i="17"/>
  <c r="M23" i="17"/>
  <c r="N24" i="17"/>
  <c r="O25" i="17"/>
  <c r="P26" i="17"/>
  <c r="Q27" i="17"/>
  <c r="R28" i="17"/>
  <c r="S29" i="17"/>
  <c r="T30" i="17"/>
  <c r="U31" i="17"/>
  <c r="V32" i="17"/>
  <c r="W33" i="17"/>
  <c r="H19" i="17"/>
  <c r="I20" i="17"/>
  <c r="J21" i="17"/>
  <c r="K22" i="17"/>
  <c r="L23" i="17"/>
  <c r="M24" i="17"/>
  <c r="N25" i="17"/>
  <c r="O26" i="17"/>
  <c r="P27" i="17"/>
  <c r="Q28" i="17"/>
  <c r="R29" i="17"/>
  <c r="S30" i="17"/>
  <c r="T31" i="17"/>
  <c r="U32" i="17"/>
  <c r="V33" i="17"/>
  <c r="H20" i="17"/>
  <c r="I21" i="17"/>
  <c r="J22" i="17"/>
  <c r="K23" i="17"/>
  <c r="L24" i="17"/>
  <c r="M25" i="17"/>
  <c r="N26" i="17"/>
  <c r="O27" i="17"/>
  <c r="P28" i="17"/>
  <c r="Q29" i="17"/>
  <c r="R30" i="17"/>
  <c r="S31" i="17"/>
  <c r="T32" i="17"/>
  <c r="U33" i="17"/>
  <c r="H21" i="17"/>
  <c r="I22" i="17"/>
  <c r="J23" i="17"/>
  <c r="K24" i="17"/>
  <c r="L25" i="17"/>
  <c r="M26" i="17"/>
  <c r="N27" i="17"/>
  <c r="O28" i="17"/>
  <c r="P29" i="17"/>
  <c r="Q30" i="17"/>
  <c r="R31" i="17"/>
  <c r="S32" i="17"/>
  <c r="T33" i="17"/>
  <c r="H22" i="17"/>
  <c r="I23" i="17"/>
  <c r="J24" i="17"/>
  <c r="K25" i="17"/>
  <c r="L26" i="17"/>
  <c r="M27" i="17"/>
  <c r="N28" i="17"/>
  <c r="O29" i="17"/>
  <c r="P30" i="17"/>
  <c r="Q31" i="17"/>
  <c r="R32" i="17"/>
  <c r="S33" i="17"/>
  <c r="H23" i="17"/>
  <c r="I24" i="17"/>
  <c r="J25" i="17"/>
  <c r="K26" i="17"/>
  <c r="L27" i="17"/>
  <c r="M28" i="17"/>
  <c r="N29" i="17"/>
  <c r="O30" i="17"/>
  <c r="P31" i="17"/>
  <c r="Q32" i="17"/>
  <c r="R33" i="17"/>
  <c r="H24" i="17"/>
  <c r="I25" i="17"/>
  <c r="J26" i="17"/>
  <c r="K27" i="17"/>
  <c r="L28" i="17"/>
  <c r="M29" i="17"/>
  <c r="N30" i="17"/>
  <c r="O31" i="17"/>
  <c r="P32" i="17"/>
  <c r="Q33" i="17"/>
  <c r="H25" i="17"/>
  <c r="I26" i="17"/>
  <c r="J27" i="17"/>
  <c r="K28" i="17"/>
  <c r="L29" i="17"/>
  <c r="M30" i="17"/>
  <c r="N31" i="17"/>
  <c r="O32" i="17"/>
  <c r="P33" i="17"/>
  <c r="H26" i="17"/>
  <c r="I27" i="17"/>
  <c r="J28" i="17"/>
  <c r="K29" i="17"/>
  <c r="L30" i="17"/>
  <c r="M31" i="17"/>
  <c r="N32" i="17"/>
  <c r="O33" i="17"/>
  <c r="H27" i="17"/>
  <c r="I28" i="17"/>
  <c r="J29" i="17"/>
  <c r="K30" i="17"/>
  <c r="L31" i="17"/>
  <c r="M32" i="17"/>
  <c r="N33" i="17"/>
  <c r="H28" i="17"/>
  <c r="I29" i="17"/>
  <c r="J30" i="17"/>
  <c r="K31" i="17"/>
  <c r="L32" i="17"/>
  <c r="M33" i="17"/>
  <c r="H29" i="17"/>
  <c r="I30" i="17"/>
  <c r="J31" i="17"/>
  <c r="K32" i="17"/>
  <c r="L33" i="17"/>
  <c r="H30" i="17"/>
  <c r="I31" i="17"/>
  <c r="J32" i="17"/>
  <c r="K33" i="17"/>
  <c r="H31" i="17"/>
  <c r="I32" i="17"/>
  <c r="J33" i="17"/>
  <c r="H32" i="17"/>
  <c r="I33" i="17"/>
  <c r="H33" i="17"/>
  <c r="I14" i="17"/>
  <c r="J15" i="17"/>
  <c r="K16" i="17"/>
  <c r="L17" i="17"/>
  <c r="M18" i="17"/>
  <c r="N19" i="17"/>
  <c r="O20" i="17"/>
  <c r="P21" i="17"/>
  <c r="Q22" i="17"/>
  <c r="R23" i="17"/>
  <c r="S24" i="17"/>
  <c r="T25" i="17"/>
  <c r="U26" i="17"/>
  <c r="V27" i="17"/>
  <c r="W28" i="17"/>
  <c r="X29" i="17"/>
  <c r="Y30" i="17"/>
  <c r="Z31" i="17"/>
  <c r="I10" i="17"/>
  <c r="G7" i="33"/>
  <c r="J10" i="17"/>
  <c r="H7" i="33"/>
  <c r="H10" i="17"/>
  <c r="F7" i="33"/>
  <c r="L1" i="17"/>
  <c r="M1" i="17"/>
  <c r="N1" i="17"/>
  <c r="N2" i="17"/>
  <c r="P1" i="17"/>
  <c r="Q1" i="17"/>
  <c r="R1" i="17"/>
  <c r="R2" i="17"/>
  <c r="T1" i="17"/>
  <c r="U1" i="17"/>
  <c r="Y1" i="17"/>
  <c r="Y2" i="17"/>
  <c r="V1" i="17"/>
  <c r="V2" i="17"/>
  <c r="X1" i="17"/>
  <c r="X2" i="17"/>
  <c r="L2" i="17"/>
  <c r="M2" i="17"/>
  <c r="P2" i="17"/>
  <c r="Q2" i="17"/>
  <c r="T2" i="17"/>
  <c r="U2" i="17"/>
  <c r="K1" i="17"/>
  <c r="K2" i="17"/>
  <c r="H2" i="17"/>
  <c r="H14" i="17"/>
  <c r="I15" i="17"/>
  <c r="I2" i="17"/>
  <c r="J2" i="17"/>
  <c r="J14" i="17"/>
  <c r="K15" i="17"/>
  <c r="G2" i="17"/>
  <c r="G10" i="17"/>
  <c r="G11" i="17"/>
  <c r="H9" i="17"/>
  <c r="E11" i="19"/>
  <c r="E14" i="19"/>
  <c r="E15" i="19"/>
  <c r="E16" i="19"/>
  <c r="E17" i="19"/>
  <c r="E18" i="19"/>
  <c r="E19" i="19"/>
  <c r="E23" i="19"/>
  <c r="E24" i="19"/>
  <c r="E27" i="19"/>
  <c r="E28" i="19"/>
  <c r="E29" i="19"/>
  <c r="E30" i="19"/>
  <c r="E31" i="19"/>
  <c r="E34" i="19"/>
  <c r="E35" i="19"/>
  <c r="E10" i="19"/>
  <c r="C5" i="19"/>
  <c r="C5" i="18"/>
  <c r="C17" i="18"/>
  <c r="C4" i="18"/>
  <c r="E14" i="18"/>
  <c r="D14" i="18"/>
  <c r="F14" i="18"/>
  <c r="O16" i="31"/>
  <c r="T25" i="31"/>
  <c r="L16" i="31"/>
  <c r="R16" i="31"/>
  <c r="I27" i="31"/>
  <c r="P27" i="31"/>
  <c r="Q34" i="31"/>
  <c r="H16" i="31"/>
  <c r="N16" i="31"/>
  <c r="K27" i="31"/>
  <c r="I34" i="31"/>
  <c r="U34" i="31"/>
  <c r="Y16" i="31"/>
  <c r="X27" i="31"/>
  <c r="Y34" i="31"/>
  <c r="Y10" i="31"/>
  <c r="X16" i="31"/>
  <c r="J10" i="31"/>
  <c r="I16" i="31"/>
  <c r="M16" i="31"/>
  <c r="Q16" i="31"/>
  <c r="N22" i="31"/>
  <c r="O24" i="31"/>
  <c r="H27" i="31"/>
  <c r="J34" i="31"/>
  <c r="J12" i="31"/>
  <c r="H23" i="31"/>
  <c r="U12" i="31"/>
  <c r="K21" i="31"/>
  <c r="S23" i="31"/>
  <c r="K25" i="31"/>
  <c r="I48" i="31"/>
  <c r="I11" i="31"/>
  <c r="V16" i="31"/>
  <c r="U10" i="31"/>
  <c r="I10" i="31"/>
  <c r="M12" i="31"/>
  <c r="Y12" i="31"/>
  <c r="W16" i="31"/>
  <c r="Q19" i="31"/>
  <c r="L21" i="31"/>
  <c r="M22" i="31"/>
  <c r="K23" i="31"/>
  <c r="H24" i="31"/>
  <c r="R24" i="31"/>
  <c r="L25" i="31"/>
  <c r="W25" i="31"/>
  <c r="Z24" i="31"/>
  <c r="Y31" i="31"/>
  <c r="Y48" i="31"/>
  <c r="T10" i="31"/>
  <c r="Q12" i="31"/>
  <c r="Z12" i="31"/>
  <c r="O23" i="31"/>
  <c r="O25" i="31"/>
  <c r="O30" i="31"/>
  <c r="O47" i="31"/>
  <c r="I12" i="31"/>
  <c r="AA16" i="31"/>
  <c r="K20" i="31"/>
  <c r="I22" i="31"/>
  <c r="V22" i="31"/>
  <c r="L24" i="31"/>
  <c r="W24" i="31"/>
  <c r="N26" i="35"/>
  <c r="F26" i="35"/>
  <c r="R26" i="35"/>
  <c r="J26" i="35"/>
  <c r="U26" i="35"/>
  <c r="V26" i="35"/>
  <c r="L40" i="31"/>
  <c r="L41" i="31"/>
  <c r="K40" i="31"/>
  <c r="K41" i="31"/>
  <c r="S40" i="31"/>
  <c r="S41" i="31"/>
  <c r="AA40" i="31"/>
  <c r="AA41" i="31"/>
  <c r="V45" i="31"/>
  <c r="K45" i="31"/>
  <c r="S45" i="31"/>
  <c r="L10" i="31"/>
  <c r="Q10" i="31"/>
  <c r="V10" i="31"/>
  <c r="H10" i="31"/>
  <c r="M10" i="31"/>
  <c r="R10" i="31"/>
  <c r="X10" i="31"/>
  <c r="X12" i="31"/>
  <c r="T12" i="31"/>
  <c r="P12" i="31"/>
  <c r="L12" i="31"/>
  <c r="H12" i="31"/>
  <c r="AA12" i="31"/>
  <c r="W12" i="31"/>
  <c r="S12" i="31"/>
  <c r="O12" i="31"/>
  <c r="K12" i="31"/>
  <c r="M19" i="31"/>
  <c r="Y19" i="31"/>
  <c r="I19" i="31"/>
  <c r="Q21" i="31"/>
  <c r="J21" i="31"/>
  <c r="M21" i="31"/>
  <c r="I21" i="31"/>
  <c r="Y23" i="31"/>
  <c r="R23" i="31"/>
  <c r="N23" i="31"/>
  <c r="J23" i="31"/>
  <c r="U23" i="31"/>
  <c r="Q23" i="31"/>
  <c r="M23" i="31"/>
  <c r="I23" i="31"/>
  <c r="Z25" i="31"/>
  <c r="V25" i="31"/>
  <c r="R25" i="31"/>
  <c r="N25" i="31"/>
  <c r="J25" i="31"/>
  <c r="Y25" i="31"/>
  <c r="U25" i="31"/>
  <c r="Q25" i="31"/>
  <c r="M25" i="31"/>
  <c r="I25" i="31"/>
  <c r="X25" i="31"/>
  <c r="AA30" i="31"/>
  <c r="S30" i="31"/>
  <c r="N30" i="31"/>
  <c r="J30" i="31"/>
  <c r="X30" i="31"/>
  <c r="Q30" i="31"/>
  <c r="M30" i="31"/>
  <c r="I30" i="31"/>
  <c r="W30" i="31"/>
  <c r="P30" i="31"/>
  <c r="L30" i="31"/>
  <c r="H30" i="31"/>
  <c r="M26" i="35"/>
  <c r="Z10" i="31"/>
  <c r="P10" i="31"/>
  <c r="N12" i="31"/>
  <c r="V12" i="31"/>
  <c r="H21" i="31"/>
  <c r="Y21" i="31"/>
  <c r="L23" i="31"/>
  <c r="T23" i="31"/>
  <c r="H25" i="31"/>
  <c r="P25" i="31"/>
  <c r="K30" i="31"/>
  <c r="AA43" i="31"/>
  <c r="Y43" i="31"/>
  <c r="Q43" i="31"/>
  <c r="I43" i="31"/>
  <c r="E11" i="33"/>
  <c r="D21" i="32"/>
  <c r="D7" i="36"/>
  <c r="H11" i="17"/>
  <c r="I9" i="17"/>
  <c r="I11" i="17"/>
  <c r="J9" i="17"/>
  <c r="J11" i="17"/>
  <c r="K9" i="17"/>
  <c r="G10" i="25"/>
  <c r="Z16" i="31"/>
  <c r="J22" i="31"/>
  <c r="N24" i="31"/>
  <c r="Q27" i="31"/>
  <c r="K10" i="31"/>
  <c r="X19" i="31"/>
  <c r="X21" i="31"/>
  <c r="X23" i="31"/>
  <c r="K44" i="31"/>
  <c r="D32" i="35"/>
  <c r="W46" i="31"/>
  <c r="Z46" i="31"/>
  <c r="P46" i="31"/>
  <c r="U46" i="31"/>
  <c r="K46" i="31"/>
  <c r="S46" i="31"/>
  <c r="V46" i="31"/>
  <c r="L46" i="31"/>
  <c r="T46" i="31"/>
  <c r="V11" i="31"/>
  <c r="Z11" i="31"/>
  <c r="J11" i="31"/>
  <c r="I13" i="31"/>
  <c r="Y13" i="31"/>
  <c r="Q13" i="31"/>
  <c r="Y15" i="31"/>
  <c r="L15" i="31"/>
  <c r="H15" i="31"/>
  <c r="U15" i="31"/>
  <c r="K15" i="31"/>
  <c r="Q15" i="31"/>
  <c r="J15" i="31"/>
  <c r="U17" i="31"/>
  <c r="Q17" i="31"/>
  <c r="M17" i="31"/>
  <c r="I17" i="31"/>
  <c r="T17" i="31"/>
  <c r="P17" i="31"/>
  <c r="L17" i="31"/>
  <c r="H17" i="31"/>
  <c r="S17" i="31"/>
  <c r="O17" i="31"/>
  <c r="K17" i="31"/>
  <c r="Z20" i="31"/>
  <c r="T20" i="31"/>
  <c r="O20" i="31"/>
  <c r="J20" i="31"/>
  <c r="X20" i="31"/>
  <c r="S20" i="31"/>
  <c r="N20" i="31"/>
  <c r="W20" i="31"/>
  <c r="R20" i="31"/>
  <c r="L20" i="31"/>
  <c r="AA22" i="31"/>
  <c r="U22" i="31"/>
  <c r="Z22" i="31"/>
  <c r="S22" i="31"/>
  <c r="W22" i="31"/>
  <c r="R22" i="31"/>
  <c r="Z28" i="31"/>
  <c r="V28" i="31"/>
  <c r="R28" i="31"/>
  <c r="N28" i="31"/>
  <c r="J28" i="31"/>
  <c r="Y28" i="31"/>
  <c r="U28" i="31"/>
  <c r="Q28" i="31"/>
  <c r="M28" i="31"/>
  <c r="I28" i="31"/>
  <c r="X28" i="31"/>
  <c r="T28" i="31"/>
  <c r="P28" i="31"/>
  <c r="L28" i="31"/>
  <c r="H28" i="31"/>
  <c r="M33" i="31"/>
  <c r="Y33" i="31"/>
  <c r="I33" i="31"/>
  <c r="U33" i="31"/>
  <c r="O46" i="31"/>
  <c r="Y46" i="31"/>
  <c r="M13" i="31"/>
  <c r="Y17" i="31"/>
  <c r="P20" i="31"/>
  <c r="X24" i="31"/>
  <c r="K28" i="31"/>
  <c r="AA28" i="31"/>
  <c r="U31" i="31"/>
  <c r="I15" i="31"/>
  <c r="J17" i="31"/>
  <c r="V20" i="31"/>
  <c r="O28" i="31"/>
  <c r="Q33" i="31"/>
  <c r="N11" i="31"/>
  <c r="M15" i="31"/>
  <c r="N17" i="31"/>
  <c r="AA20" i="31"/>
  <c r="Q22" i="31"/>
  <c r="S28" i="31"/>
  <c r="F13" i="24"/>
  <c r="C10" i="27"/>
  <c r="G10" i="27"/>
  <c r="I12" i="24"/>
  <c r="K12" i="24"/>
  <c r="U13" i="31"/>
  <c r="Y20" i="31"/>
  <c r="X22" i="31"/>
  <c r="Z40" i="31"/>
  <c r="Z42" i="31"/>
  <c r="R40" i="31"/>
  <c r="R42" i="31"/>
  <c r="J40" i="31"/>
  <c r="J42" i="31"/>
  <c r="L43" i="31"/>
  <c r="T43" i="31"/>
  <c r="H44" i="31"/>
  <c r="P45" i="31"/>
  <c r="T44" i="31"/>
  <c r="W47" i="31"/>
  <c r="U45" i="31"/>
  <c r="P48" i="31"/>
  <c r="AA25" i="31"/>
  <c r="W40" i="31"/>
  <c r="W42" i="31"/>
  <c r="O40" i="31"/>
  <c r="O41" i="31"/>
  <c r="M43" i="31"/>
  <c r="U43" i="31"/>
  <c r="H47" i="31"/>
  <c r="O45" i="31"/>
  <c r="S44" i="31"/>
  <c r="V47" i="31"/>
  <c r="AA44" i="31"/>
  <c r="Q48" i="31"/>
  <c r="X15" i="31"/>
  <c r="X17" i="31"/>
  <c r="X33" i="31"/>
  <c r="V40" i="31"/>
  <c r="V42" i="31"/>
  <c r="N40" i="31"/>
  <c r="N41" i="31"/>
  <c r="H43" i="31"/>
  <c r="P43" i="31"/>
  <c r="X43" i="31"/>
  <c r="T45" i="31"/>
  <c r="L45" i="31"/>
  <c r="L44" i="31"/>
  <c r="Y45" i="31"/>
  <c r="H48" i="31"/>
  <c r="X48" i="31"/>
  <c r="E7" i="33"/>
  <c r="E8" i="33"/>
  <c r="E12" i="33"/>
  <c r="D21" i="36"/>
  <c r="G26" i="35"/>
  <c r="S3" i="16"/>
  <c r="E26" i="35"/>
  <c r="Q26" i="35"/>
  <c r="I26" i="35"/>
  <c r="C6" i="37"/>
  <c r="C10" i="26"/>
  <c r="D10" i="26"/>
  <c r="X26" i="35"/>
  <c r="AD26" i="35"/>
  <c r="H60" i="37"/>
  <c r="T26" i="35"/>
  <c r="AC26" i="35"/>
  <c r="G60" i="37"/>
  <c r="P26" i="35"/>
  <c r="AB26" i="35"/>
  <c r="F60" i="37"/>
  <c r="L26" i="35"/>
  <c r="AA26" i="35"/>
  <c r="E60" i="37"/>
  <c r="H26" i="35"/>
  <c r="Z26" i="35"/>
  <c r="D60" i="37"/>
  <c r="W26" i="35"/>
  <c r="S26" i="35"/>
  <c r="O26" i="35"/>
  <c r="K26" i="35"/>
  <c r="F8" i="33"/>
  <c r="F12" i="33"/>
  <c r="E21" i="36"/>
  <c r="E22" i="36"/>
  <c r="G8" i="33"/>
  <c r="G12" i="33"/>
  <c r="F21" i="36"/>
  <c r="F22" i="36"/>
  <c r="H8" i="33"/>
  <c r="H12" i="33"/>
  <c r="G21" i="36"/>
  <c r="G22" i="36"/>
  <c r="D10" i="28"/>
  <c r="G10" i="28"/>
  <c r="H10" i="28"/>
  <c r="I10" i="28"/>
  <c r="X47" i="31"/>
  <c r="I47" i="31"/>
  <c r="M47" i="31"/>
  <c r="Q47" i="31"/>
  <c r="U47" i="31"/>
  <c r="Y47" i="31"/>
  <c r="J47" i="31"/>
  <c r="N47" i="31"/>
  <c r="R47" i="31"/>
  <c r="Y24" i="31"/>
  <c r="U24" i="31"/>
  <c r="Q24" i="31"/>
  <c r="M24" i="31"/>
  <c r="I24" i="31"/>
  <c r="Q31" i="31"/>
  <c r="M31" i="31"/>
  <c r="T47" i="31"/>
  <c r="L47" i="31"/>
  <c r="P44" i="31"/>
  <c r="AA47" i="31"/>
  <c r="L48" i="31"/>
  <c r="R11" i="31"/>
  <c r="U16" i="31"/>
  <c r="I20" i="31"/>
  <c r="M20" i="31"/>
  <c r="Q20" i="31"/>
  <c r="U20" i="31"/>
  <c r="H22" i="31"/>
  <c r="L22" i="31"/>
  <c r="P22" i="31"/>
  <c r="T22" i="31"/>
  <c r="Y22" i="31"/>
  <c r="K24" i="31"/>
  <c r="P24" i="31"/>
  <c r="V24" i="31"/>
  <c r="AA24" i="31"/>
  <c r="Y27" i="31"/>
  <c r="I31" i="31"/>
  <c r="U44" i="31"/>
  <c r="Y44" i="31"/>
  <c r="I44" i="31"/>
  <c r="M44" i="31"/>
  <c r="Q44" i="31"/>
  <c r="V44" i="31"/>
  <c r="Z44" i="31"/>
  <c r="J44" i="31"/>
  <c r="N44" i="31"/>
  <c r="R44" i="31"/>
  <c r="AA48" i="31"/>
  <c r="W48" i="31"/>
  <c r="S48" i="31"/>
  <c r="O48" i="31"/>
  <c r="K48" i="31"/>
  <c r="Z48" i="31"/>
  <c r="V48" i="31"/>
  <c r="R48" i="31"/>
  <c r="N48" i="31"/>
  <c r="J48" i="31"/>
  <c r="U27" i="31"/>
  <c r="N27" i="31"/>
  <c r="J27" i="31"/>
  <c r="Z30" i="31"/>
  <c r="V30" i="31"/>
  <c r="R30" i="31"/>
  <c r="Y30" i="31"/>
  <c r="U30" i="31"/>
  <c r="X34" i="31"/>
  <c r="T34" i="31"/>
  <c r="P34" i="31"/>
  <c r="L34" i="31"/>
  <c r="H34" i="31"/>
  <c r="AA34" i="31"/>
  <c r="W34" i="31"/>
  <c r="S34" i="31"/>
  <c r="O34" i="31"/>
  <c r="K34" i="31"/>
  <c r="S47" i="31"/>
  <c r="K47" i="31"/>
  <c r="O44" i="31"/>
  <c r="Z47" i="31"/>
  <c r="W44" i="31"/>
  <c r="M48" i="31"/>
  <c r="U48" i="31"/>
  <c r="Y40" i="31"/>
  <c r="Y41" i="31"/>
  <c r="U40" i="31"/>
  <c r="Q40" i="31"/>
  <c r="Q41" i="31"/>
  <c r="M40" i="31"/>
  <c r="I40" i="31"/>
  <c r="I41" i="31"/>
  <c r="J43" i="31"/>
  <c r="N43" i="31"/>
  <c r="R43" i="31"/>
  <c r="V43" i="31"/>
  <c r="Z43" i="31"/>
  <c r="H46" i="31"/>
  <c r="R46" i="31"/>
  <c r="N46" i="31"/>
  <c r="J46" i="31"/>
  <c r="R45" i="31"/>
  <c r="N45" i="31"/>
  <c r="J45" i="31"/>
  <c r="X46" i="31"/>
  <c r="AA45" i="31"/>
  <c r="W45" i="31"/>
  <c r="K11" i="31"/>
  <c r="X13" i="31"/>
  <c r="X31" i="31"/>
  <c r="H40" i="31"/>
  <c r="H41" i="31"/>
  <c r="X40" i="31"/>
  <c r="X41" i="31"/>
  <c r="T40" i="31"/>
  <c r="T41" i="31"/>
  <c r="P40" i="31"/>
  <c r="P41" i="31"/>
  <c r="W41" i="31"/>
  <c r="K43" i="31"/>
  <c r="O43" i="31"/>
  <c r="S43" i="31"/>
  <c r="W43" i="31"/>
  <c r="H45" i="31"/>
  <c r="Q46" i="31"/>
  <c r="M46" i="31"/>
  <c r="I46" i="31"/>
  <c r="Q45" i="31"/>
  <c r="M45" i="31"/>
  <c r="I45" i="31"/>
  <c r="AA46" i="31"/>
  <c r="Z45" i="31"/>
  <c r="Y11" i="31"/>
  <c r="U11" i="31"/>
  <c r="Q11" i="31"/>
  <c r="M11" i="31"/>
  <c r="J13" i="31"/>
  <c r="N13" i="31"/>
  <c r="R13" i="31"/>
  <c r="V13" i="31"/>
  <c r="Z13" i="31"/>
  <c r="N15" i="31"/>
  <c r="R15" i="31"/>
  <c r="V15" i="31"/>
  <c r="Z15" i="31"/>
  <c r="V17" i="31"/>
  <c r="Z17" i="31"/>
  <c r="J19" i="31"/>
  <c r="N19" i="31"/>
  <c r="R19" i="31"/>
  <c r="V19" i="31"/>
  <c r="Z19" i="31"/>
  <c r="N21" i="31"/>
  <c r="R21" i="31"/>
  <c r="V21" i="31"/>
  <c r="Z21" i="31"/>
  <c r="V23" i="31"/>
  <c r="Z23" i="31"/>
  <c r="R27" i="31"/>
  <c r="V27" i="31"/>
  <c r="Z27" i="31"/>
  <c r="J31" i="31"/>
  <c r="N31" i="31"/>
  <c r="R31" i="31"/>
  <c r="V31" i="31"/>
  <c r="Z31" i="31"/>
  <c r="J33" i="31"/>
  <c r="N33" i="31"/>
  <c r="R33" i="31"/>
  <c r="V33" i="31"/>
  <c r="Z33" i="31"/>
  <c r="X11" i="31"/>
  <c r="T11" i="31"/>
  <c r="P11" i="31"/>
  <c r="L11" i="31"/>
  <c r="K13" i="31"/>
  <c r="O13" i="31"/>
  <c r="S13" i="31"/>
  <c r="W13" i="31"/>
  <c r="AA13" i="31"/>
  <c r="O15" i="31"/>
  <c r="S15" i="31"/>
  <c r="W15" i="31"/>
  <c r="AA15" i="31"/>
  <c r="W17" i="31"/>
  <c r="AA17" i="31"/>
  <c r="K19" i="31"/>
  <c r="O19" i="31"/>
  <c r="S19" i="31"/>
  <c r="W19" i="31"/>
  <c r="AA19" i="31"/>
  <c r="O21" i="31"/>
  <c r="S21" i="31"/>
  <c r="W21" i="31"/>
  <c r="AA21" i="31"/>
  <c r="W23" i="31"/>
  <c r="AA23" i="31"/>
  <c r="S27" i="31"/>
  <c r="W27" i="31"/>
  <c r="AA27" i="31"/>
  <c r="K31" i="31"/>
  <c r="O31" i="31"/>
  <c r="S31" i="31"/>
  <c r="W31" i="31"/>
  <c r="AA31" i="31"/>
  <c r="K33" i="31"/>
  <c r="O33" i="31"/>
  <c r="S33" i="31"/>
  <c r="W33" i="31"/>
  <c r="AA33" i="31"/>
  <c r="AA11" i="31"/>
  <c r="W11" i="31"/>
  <c r="S11" i="31"/>
  <c r="O11" i="31"/>
  <c r="H13" i="31"/>
  <c r="L13" i="31"/>
  <c r="P13" i="31"/>
  <c r="T13" i="31"/>
  <c r="P15" i="31"/>
  <c r="T15" i="31"/>
  <c r="H19" i="31"/>
  <c r="L19" i="31"/>
  <c r="P19" i="31"/>
  <c r="T19" i="31"/>
  <c r="P21" i="31"/>
  <c r="T21" i="31"/>
  <c r="T27" i="31"/>
  <c r="H31" i="31"/>
  <c r="L31" i="31"/>
  <c r="P31" i="31"/>
  <c r="T31" i="31"/>
  <c r="H33" i="31"/>
  <c r="L33" i="31"/>
  <c r="P33" i="31"/>
  <c r="T33" i="31"/>
  <c r="AA10" i="31"/>
  <c r="W10" i="31"/>
  <c r="S10" i="31"/>
  <c r="O10" i="31"/>
  <c r="G10" i="29"/>
  <c r="H10" i="29"/>
  <c r="C20" i="24"/>
  <c r="C21" i="24"/>
  <c r="C49" i="24"/>
  <c r="C42" i="24"/>
  <c r="C32" i="24"/>
  <c r="C54" i="24"/>
  <c r="C47" i="24"/>
  <c r="C34" i="24"/>
  <c r="C17" i="24"/>
  <c r="C50" i="24"/>
  <c r="C46" i="24"/>
  <c r="C33" i="24"/>
  <c r="C29" i="24"/>
  <c r="C16" i="24"/>
  <c r="C30" i="24"/>
  <c r="C23" i="24"/>
  <c r="C41" i="24"/>
  <c r="C48" i="24"/>
  <c r="C55" i="24"/>
  <c r="L16" i="17"/>
  <c r="M17" i="17"/>
  <c r="N18" i="17"/>
  <c r="O19" i="17"/>
  <c r="P20" i="17"/>
  <c r="Q21" i="17"/>
  <c r="R22" i="17"/>
  <c r="S23" i="17"/>
  <c r="T24" i="17"/>
  <c r="U25" i="17"/>
  <c r="V26" i="17"/>
  <c r="W27" i="17"/>
  <c r="X28" i="17"/>
  <c r="Y29" i="17"/>
  <c r="Z30" i="17"/>
  <c r="J16" i="17"/>
  <c r="O1" i="17"/>
  <c r="Z1" i="17"/>
  <c r="Z2" i="17"/>
  <c r="G14" i="17"/>
  <c r="H15" i="17"/>
  <c r="C16" i="18"/>
  <c r="G16" i="18"/>
  <c r="C49" i="18"/>
  <c r="G49" i="18"/>
  <c r="C32" i="18"/>
  <c r="C47" i="18"/>
  <c r="C30" i="18"/>
  <c r="G30" i="18"/>
  <c r="C42" i="18"/>
  <c r="C23" i="18"/>
  <c r="C54" i="18"/>
  <c r="G54" i="18"/>
  <c r="C34" i="18"/>
  <c r="C55" i="18"/>
  <c r="G55" i="18"/>
  <c r="C48" i="18"/>
  <c r="C41" i="18"/>
  <c r="C31" i="18"/>
  <c r="C20" i="18"/>
  <c r="C21" i="18"/>
  <c r="C50" i="18"/>
  <c r="G50" i="18"/>
  <c r="C46" i="18"/>
  <c r="C33" i="18"/>
  <c r="C29" i="18"/>
  <c r="C22" i="16"/>
  <c r="K42" i="31"/>
  <c r="L42" i="31"/>
  <c r="O42" i="31"/>
  <c r="S42" i="31"/>
  <c r="R41" i="31"/>
  <c r="I60" i="37"/>
  <c r="U35" i="31"/>
  <c r="U36" i="31"/>
  <c r="U39" i="31"/>
  <c r="V41" i="31"/>
  <c r="AA42" i="31"/>
  <c r="D10" i="27"/>
  <c r="J41" i="31"/>
  <c r="P42" i="31"/>
  <c r="J35" i="31"/>
  <c r="J36" i="31"/>
  <c r="J39" i="31"/>
  <c r="Y35" i="31"/>
  <c r="Y36" i="31"/>
  <c r="Y39" i="31"/>
  <c r="Z41" i="31"/>
  <c r="I35" i="31"/>
  <c r="I36" i="31"/>
  <c r="I39" i="31"/>
  <c r="X35" i="31"/>
  <c r="X36" i="31"/>
  <c r="X39" i="31"/>
  <c r="D22" i="36"/>
  <c r="Y22" i="36"/>
  <c r="D84" i="37"/>
  <c r="Y21" i="36"/>
  <c r="D83" i="37"/>
  <c r="E13" i="33"/>
  <c r="F10" i="33"/>
  <c r="F11" i="33"/>
  <c r="P35" i="31"/>
  <c r="P36" i="31"/>
  <c r="P39" i="31"/>
  <c r="Z35" i="31"/>
  <c r="Z36" i="31"/>
  <c r="Z39" i="31"/>
  <c r="Q35" i="31"/>
  <c r="Q36" i="31"/>
  <c r="Q39" i="31"/>
  <c r="N42" i="31"/>
  <c r="M35" i="31"/>
  <c r="M36" i="31"/>
  <c r="M39" i="31"/>
  <c r="I13" i="24"/>
  <c r="F10" i="24"/>
  <c r="G10" i="26"/>
  <c r="G10" i="20"/>
  <c r="T35" i="31"/>
  <c r="T36" i="31"/>
  <c r="T39" i="31"/>
  <c r="L35" i="31"/>
  <c r="L36" i="31"/>
  <c r="L39" i="31"/>
  <c r="L49" i="31"/>
  <c r="L51" i="31"/>
  <c r="H17" i="32"/>
  <c r="K35" i="31"/>
  <c r="K36" i="31"/>
  <c r="K39" i="31"/>
  <c r="K49" i="31"/>
  <c r="K51" i="31"/>
  <c r="G17" i="32"/>
  <c r="V35" i="31"/>
  <c r="V36" i="31"/>
  <c r="V39" i="31"/>
  <c r="Y42" i="31"/>
  <c r="T42" i="31"/>
  <c r="U41" i="31"/>
  <c r="U42" i="31"/>
  <c r="H35" i="31"/>
  <c r="H36" i="31"/>
  <c r="H39" i="31"/>
  <c r="N35" i="31"/>
  <c r="N36" i="31"/>
  <c r="N39" i="31"/>
  <c r="M42" i="31"/>
  <c r="M41" i="31"/>
  <c r="Q42" i="31"/>
  <c r="H42" i="31"/>
  <c r="X42" i="31"/>
  <c r="I42" i="31"/>
  <c r="R35" i="31"/>
  <c r="R36" i="31"/>
  <c r="R39" i="31"/>
  <c r="AA35" i="31"/>
  <c r="AA36" i="31"/>
  <c r="AA39" i="31"/>
  <c r="AA49" i="31"/>
  <c r="AA51" i="31"/>
  <c r="W17" i="32"/>
  <c r="O35" i="31"/>
  <c r="O36" i="31"/>
  <c r="O39" i="31"/>
  <c r="W35" i="31"/>
  <c r="W36" i="31"/>
  <c r="W39" i="31"/>
  <c r="W49" i="31"/>
  <c r="W51" i="31"/>
  <c r="S17" i="32"/>
  <c r="S35" i="31"/>
  <c r="S36" i="31"/>
  <c r="S39" i="31"/>
  <c r="S49" i="31"/>
  <c r="S51" i="31"/>
  <c r="O17" i="32"/>
  <c r="I10" i="29"/>
  <c r="J10" i="28"/>
  <c r="H10" i="27"/>
  <c r="D25" i="24"/>
  <c r="C15" i="19"/>
  <c r="Y15" i="19"/>
  <c r="F42" i="24"/>
  <c r="E42" i="24"/>
  <c r="D42" i="24"/>
  <c r="H42" i="24"/>
  <c r="G42" i="24"/>
  <c r="G41" i="24"/>
  <c r="E41" i="24"/>
  <c r="D41" i="24"/>
  <c r="F41" i="24"/>
  <c r="H41" i="24"/>
  <c r="C31" i="19"/>
  <c r="Y31" i="19"/>
  <c r="H55" i="24"/>
  <c r="D55" i="24"/>
  <c r="G55" i="24"/>
  <c r="E55" i="24"/>
  <c r="F55" i="24"/>
  <c r="E46" i="24"/>
  <c r="F46" i="24"/>
  <c r="D46" i="24"/>
  <c r="G46" i="24"/>
  <c r="H46" i="24"/>
  <c r="H47" i="24"/>
  <c r="D47" i="24"/>
  <c r="F47" i="24"/>
  <c r="G47" i="24"/>
  <c r="E47" i="24"/>
  <c r="C30" i="29"/>
  <c r="D30" i="29"/>
  <c r="G30" i="29"/>
  <c r="F49" i="24"/>
  <c r="H49" i="24"/>
  <c r="G49" i="24"/>
  <c r="E49" i="24"/>
  <c r="D49" i="24"/>
  <c r="C30" i="19"/>
  <c r="Y30" i="19"/>
  <c r="C35" i="19"/>
  <c r="Y35" i="19"/>
  <c r="G48" i="24"/>
  <c r="F48" i="24"/>
  <c r="E48" i="24"/>
  <c r="D48" i="24"/>
  <c r="H48" i="24"/>
  <c r="E50" i="24"/>
  <c r="H50" i="24"/>
  <c r="F50" i="24"/>
  <c r="D50" i="24"/>
  <c r="G50" i="24"/>
  <c r="E54" i="24"/>
  <c r="H54" i="24"/>
  <c r="G54" i="24"/>
  <c r="F54" i="24"/>
  <c r="D54" i="24"/>
  <c r="F16" i="24"/>
  <c r="F17" i="24"/>
  <c r="G16" i="24"/>
  <c r="G17" i="24"/>
  <c r="E16" i="24"/>
  <c r="E17" i="24"/>
  <c r="D16" i="24"/>
  <c r="D17" i="24"/>
  <c r="H16" i="24"/>
  <c r="H17" i="24"/>
  <c r="H25" i="24"/>
  <c r="E25" i="24"/>
  <c r="F25" i="24"/>
  <c r="G25" i="24"/>
  <c r="D30" i="24"/>
  <c r="H30" i="24"/>
  <c r="G30" i="24"/>
  <c r="E30" i="24"/>
  <c r="F30" i="24"/>
  <c r="G56" i="18"/>
  <c r="C34" i="19"/>
  <c r="K17" i="17"/>
  <c r="I16" i="17"/>
  <c r="O2" i="17"/>
  <c r="S1" i="17"/>
  <c r="G25" i="18"/>
  <c r="G17" i="18"/>
  <c r="G18" i="18"/>
  <c r="E28" i="16"/>
  <c r="D28" i="16"/>
  <c r="C28" i="16"/>
  <c r="D21" i="16"/>
  <c r="D20" i="16"/>
  <c r="D19" i="16"/>
  <c r="D18" i="16"/>
  <c r="E41" i="16"/>
  <c r="D41" i="16"/>
  <c r="C41" i="16"/>
  <c r="O49" i="31"/>
  <c r="O51" i="31"/>
  <c r="K17" i="32"/>
  <c r="V49" i="31"/>
  <c r="V51" i="31"/>
  <c r="R17" i="32"/>
  <c r="N49" i="31"/>
  <c r="N51" i="31"/>
  <c r="J17" i="32"/>
  <c r="P49" i="31"/>
  <c r="P51" i="31"/>
  <c r="L17" i="32"/>
  <c r="R49" i="31"/>
  <c r="R51" i="31"/>
  <c r="N17" i="32"/>
  <c r="X49" i="31"/>
  <c r="X51" i="31"/>
  <c r="T17" i="32"/>
  <c r="Q49" i="31"/>
  <c r="Q51" i="31"/>
  <c r="M17" i="32"/>
  <c r="V31" i="19"/>
  <c r="J15" i="19"/>
  <c r="S30" i="19"/>
  <c r="N30" i="19"/>
  <c r="M30" i="19"/>
  <c r="P15" i="19"/>
  <c r="Y49" i="31"/>
  <c r="Y51" i="31"/>
  <c r="U17" i="32"/>
  <c r="G30" i="19"/>
  <c r="Q30" i="19"/>
  <c r="T15" i="19"/>
  <c r="D10" i="24"/>
  <c r="K30" i="19"/>
  <c r="V15" i="19"/>
  <c r="H56" i="24"/>
  <c r="U49" i="31"/>
  <c r="U51" i="31"/>
  <c r="Q17" i="32"/>
  <c r="H10" i="24"/>
  <c r="J49" i="31"/>
  <c r="J51" i="31"/>
  <c r="F17" i="32"/>
  <c r="G10" i="24"/>
  <c r="J30" i="19"/>
  <c r="P30" i="19"/>
  <c r="R15" i="19"/>
  <c r="O15" i="19"/>
  <c r="M15" i="19"/>
  <c r="C37" i="29"/>
  <c r="O37" i="29"/>
  <c r="H49" i="31"/>
  <c r="H51" i="31"/>
  <c r="D17" i="32"/>
  <c r="R30" i="19"/>
  <c r="T30" i="19"/>
  <c r="K15" i="19"/>
  <c r="W15" i="19"/>
  <c r="Q15" i="19"/>
  <c r="C32" i="29"/>
  <c r="Q32" i="29"/>
  <c r="I49" i="31"/>
  <c r="I51" i="31"/>
  <c r="E17" i="32"/>
  <c r="Z49" i="31"/>
  <c r="Z51" i="31"/>
  <c r="V17" i="32"/>
  <c r="G43" i="24"/>
  <c r="M49" i="31"/>
  <c r="M51" i="31"/>
  <c r="I17" i="32"/>
  <c r="Z17" i="32"/>
  <c r="E29" i="37"/>
  <c r="E15" i="35"/>
  <c r="E10" i="24"/>
  <c r="H43" i="24"/>
  <c r="C26" i="29"/>
  <c r="D26" i="29"/>
  <c r="G26" i="29"/>
  <c r="H10" i="26"/>
  <c r="I10" i="26"/>
  <c r="C17" i="29"/>
  <c r="P17" i="29"/>
  <c r="C31" i="29"/>
  <c r="D31" i="29"/>
  <c r="H31" i="29"/>
  <c r="C13" i="29"/>
  <c r="D13" i="29"/>
  <c r="G13" i="29"/>
  <c r="F13" i="33"/>
  <c r="E21" i="32"/>
  <c r="K14" i="17"/>
  <c r="L15" i="17"/>
  <c r="M16" i="17"/>
  <c r="N17" i="17"/>
  <c r="K10" i="17"/>
  <c r="E19" i="16"/>
  <c r="L10" i="17"/>
  <c r="J7" i="33"/>
  <c r="J8" i="33"/>
  <c r="J12" i="33"/>
  <c r="I21" i="36"/>
  <c r="I22" i="36"/>
  <c r="L14" i="17"/>
  <c r="M15" i="17"/>
  <c r="N16" i="17"/>
  <c r="O17" i="17"/>
  <c r="P18" i="17"/>
  <c r="Q19" i="17"/>
  <c r="R20" i="17"/>
  <c r="S21" i="17"/>
  <c r="T22" i="17"/>
  <c r="U23" i="17"/>
  <c r="V24" i="17"/>
  <c r="W25" i="17"/>
  <c r="X26" i="17"/>
  <c r="Y27" i="17"/>
  <c r="Z28" i="17"/>
  <c r="C29" i="29"/>
  <c r="D29" i="29"/>
  <c r="I29" i="29"/>
  <c r="T49" i="31"/>
  <c r="T51" i="31"/>
  <c r="P17" i="32"/>
  <c r="C18" i="24"/>
  <c r="C18" i="18"/>
  <c r="C33" i="29"/>
  <c r="D33" i="29"/>
  <c r="E20" i="16"/>
  <c r="M14" i="17"/>
  <c r="N15" i="17"/>
  <c r="O16" i="17"/>
  <c r="P17" i="17"/>
  <c r="Q18" i="17"/>
  <c r="R19" i="17"/>
  <c r="S20" i="17"/>
  <c r="T21" i="17"/>
  <c r="U22" i="17"/>
  <c r="V23" i="17"/>
  <c r="W24" i="17"/>
  <c r="X25" i="17"/>
  <c r="Y26" i="17"/>
  <c r="Z27" i="17"/>
  <c r="M10" i="17"/>
  <c r="K7" i="33"/>
  <c r="K8" i="33"/>
  <c r="K12" i="33"/>
  <c r="J21" i="36"/>
  <c r="J22" i="36"/>
  <c r="E21" i="16"/>
  <c r="N10" i="17"/>
  <c r="L7" i="33"/>
  <c r="L8" i="33"/>
  <c r="L12" i="33"/>
  <c r="K21" i="36"/>
  <c r="K22" i="36"/>
  <c r="N14" i="17"/>
  <c r="O15" i="17"/>
  <c r="P16" i="17"/>
  <c r="Q17" i="17"/>
  <c r="R18" i="17"/>
  <c r="S19" i="17"/>
  <c r="T20" i="17"/>
  <c r="U21" i="17"/>
  <c r="V22" i="17"/>
  <c r="W23" i="17"/>
  <c r="X24" i="17"/>
  <c r="Y25" i="17"/>
  <c r="Z26" i="17"/>
  <c r="C25" i="28"/>
  <c r="D25" i="28"/>
  <c r="C25" i="29"/>
  <c r="O31" i="19"/>
  <c r="H30" i="29"/>
  <c r="P31" i="19"/>
  <c r="C36" i="28"/>
  <c r="T36" i="28"/>
  <c r="C36" i="29"/>
  <c r="R31" i="19"/>
  <c r="M31" i="19"/>
  <c r="J10" i="29"/>
  <c r="I30" i="29"/>
  <c r="C17" i="27"/>
  <c r="D17" i="27"/>
  <c r="C17" i="28"/>
  <c r="C32" i="27"/>
  <c r="D32" i="27"/>
  <c r="C32" i="28"/>
  <c r="V35" i="19"/>
  <c r="C31" i="27"/>
  <c r="D31" i="27"/>
  <c r="G31" i="27"/>
  <c r="C31" i="28"/>
  <c r="D31" i="28"/>
  <c r="J31" i="28"/>
  <c r="C29" i="27"/>
  <c r="D29" i="27"/>
  <c r="G29" i="27"/>
  <c r="C29" i="28"/>
  <c r="K10" i="28"/>
  <c r="C26" i="27"/>
  <c r="D26" i="27"/>
  <c r="G26" i="27"/>
  <c r="C26" i="28"/>
  <c r="D26" i="28"/>
  <c r="J26" i="28"/>
  <c r="G35" i="19"/>
  <c r="C13" i="27"/>
  <c r="D13" i="27"/>
  <c r="G13" i="27"/>
  <c r="C13" i="28"/>
  <c r="D13" i="28"/>
  <c r="J13" i="28"/>
  <c r="C33" i="27"/>
  <c r="K33" i="27"/>
  <c r="C33" i="28"/>
  <c r="C30" i="27"/>
  <c r="D30" i="27"/>
  <c r="G30" i="27"/>
  <c r="C30" i="28"/>
  <c r="D30" i="28"/>
  <c r="J30" i="28"/>
  <c r="M35" i="19"/>
  <c r="C37" i="27"/>
  <c r="S37" i="27"/>
  <c r="C37" i="28"/>
  <c r="N35" i="19"/>
  <c r="E43" i="24"/>
  <c r="C25" i="27"/>
  <c r="K31" i="19"/>
  <c r="J31" i="19"/>
  <c r="W31" i="19"/>
  <c r="T31" i="19"/>
  <c r="Q31" i="19"/>
  <c r="S31" i="19"/>
  <c r="Z31" i="19"/>
  <c r="H31" i="19"/>
  <c r="X31" i="19"/>
  <c r="U31" i="19"/>
  <c r="E56" i="24"/>
  <c r="C36" i="27"/>
  <c r="I10" i="27"/>
  <c r="L35" i="19"/>
  <c r="N31" i="19"/>
  <c r="G31" i="19"/>
  <c r="L31" i="19"/>
  <c r="I31" i="19"/>
  <c r="F43" i="24"/>
  <c r="O30" i="19"/>
  <c r="Z30" i="19"/>
  <c r="H30" i="19"/>
  <c r="X30" i="19"/>
  <c r="U30" i="19"/>
  <c r="S15" i="19"/>
  <c r="Z15" i="19"/>
  <c r="H15" i="19"/>
  <c r="X15" i="19"/>
  <c r="U15" i="19"/>
  <c r="I25" i="24"/>
  <c r="C31" i="26"/>
  <c r="D31" i="26"/>
  <c r="G31" i="26"/>
  <c r="C31" i="25"/>
  <c r="D31" i="25"/>
  <c r="C25" i="26"/>
  <c r="C25" i="25"/>
  <c r="D25" i="25"/>
  <c r="C26" i="26"/>
  <c r="D26" i="26"/>
  <c r="G26" i="26"/>
  <c r="C26" i="25"/>
  <c r="D26" i="25"/>
  <c r="C13" i="26"/>
  <c r="D13" i="26"/>
  <c r="G13" i="26"/>
  <c r="C13" i="25"/>
  <c r="D13" i="25"/>
  <c r="G56" i="24"/>
  <c r="C33" i="26"/>
  <c r="C33" i="25"/>
  <c r="U33" i="25"/>
  <c r="C37" i="26"/>
  <c r="C37" i="25"/>
  <c r="Y37" i="25"/>
  <c r="W30" i="19"/>
  <c r="V30" i="19"/>
  <c r="L30" i="19"/>
  <c r="I30" i="19"/>
  <c r="N15" i="19"/>
  <c r="G15" i="19"/>
  <c r="L15" i="19"/>
  <c r="I15" i="19"/>
  <c r="C17" i="26"/>
  <c r="C17" i="25"/>
  <c r="S17" i="25"/>
  <c r="D56" i="24"/>
  <c r="C36" i="26"/>
  <c r="C36" i="25"/>
  <c r="I49" i="24"/>
  <c r="C32" i="26"/>
  <c r="C32" i="25"/>
  <c r="J32" i="25"/>
  <c r="C30" i="26"/>
  <c r="D30" i="26"/>
  <c r="G30" i="26"/>
  <c r="C30" i="25"/>
  <c r="D30" i="25"/>
  <c r="C29" i="26"/>
  <c r="C29" i="25"/>
  <c r="D29" i="25"/>
  <c r="I17" i="24"/>
  <c r="D51" i="24"/>
  <c r="J35" i="19"/>
  <c r="K35" i="19"/>
  <c r="P35" i="19"/>
  <c r="O35" i="19"/>
  <c r="Q35" i="19"/>
  <c r="C36" i="19"/>
  <c r="I54" i="24"/>
  <c r="F56" i="24"/>
  <c r="D10" i="25"/>
  <c r="F51" i="24"/>
  <c r="I42" i="24"/>
  <c r="Z35" i="19"/>
  <c r="S35" i="19"/>
  <c r="T35" i="19"/>
  <c r="W35" i="19"/>
  <c r="U35" i="19"/>
  <c r="I30" i="24"/>
  <c r="I16" i="24"/>
  <c r="I50" i="24"/>
  <c r="H51" i="24"/>
  <c r="E51" i="24"/>
  <c r="I55" i="24"/>
  <c r="D43" i="24"/>
  <c r="I41" i="24"/>
  <c r="R35" i="19"/>
  <c r="H35" i="19"/>
  <c r="X35" i="19"/>
  <c r="I35" i="19"/>
  <c r="F18" i="24"/>
  <c r="F27" i="24"/>
  <c r="E18" i="24"/>
  <c r="I48" i="24"/>
  <c r="I47" i="24"/>
  <c r="I46" i="24"/>
  <c r="G51" i="24"/>
  <c r="G18" i="24"/>
  <c r="G27" i="24"/>
  <c r="H18" i="24"/>
  <c r="H27" i="24"/>
  <c r="D18" i="24"/>
  <c r="C10" i="19"/>
  <c r="C11" i="19"/>
  <c r="Y34" i="19"/>
  <c r="Y36" i="19"/>
  <c r="U34" i="19"/>
  <c r="Q34" i="19"/>
  <c r="M34" i="19"/>
  <c r="I34" i="19"/>
  <c r="S34" i="19"/>
  <c r="K34" i="19"/>
  <c r="X34" i="19"/>
  <c r="T34" i="19"/>
  <c r="P34" i="19"/>
  <c r="L34" i="19"/>
  <c r="H34" i="19"/>
  <c r="W34" i="19"/>
  <c r="O34" i="19"/>
  <c r="G34" i="19"/>
  <c r="R34" i="19"/>
  <c r="V34" i="19"/>
  <c r="N34" i="19"/>
  <c r="Z34" i="19"/>
  <c r="J34" i="19"/>
  <c r="L18" i="17"/>
  <c r="J17" i="17"/>
  <c r="S2" i="17"/>
  <c r="W1" i="17"/>
  <c r="W2" i="17"/>
  <c r="G27" i="18"/>
  <c r="G33" i="18"/>
  <c r="E18" i="16"/>
  <c r="E22" i="16"/>
  <c r="D22" i="16"/>
  <c r="F21" i="16"/>
  <c r="F20" i="16"/>
  <c r="E33" i="16"/>
  <c r="D33" i="16"/>
  <c r="C33" i="16"/>
  <c r="E12" i="18"/>
  <c r="F12" i="18"/>
  <c r="D12" i="18"/>
  <c r="AA17" i="32"/>
  <c r="F29" i="37"/>
  <c r="AC17" i="32"/>
  <c r="H29" i="37"/>
  <c r="D37" i="29"/>
  <c r="AB17" i="32"/>
  <c r="G29" i="37"/>
  <c r="H26" i="29"/>
  <c r="L32" i="29"/>
  <c r="R37" i="29"/>
  <c r="I37" i="29"/>
  <c r="Q37" i="29"/>
  <c r="V37" i="29"/>
  <c r="X17" i="29"/>
  <c r="L37" i="29"/>
  <c r="G37" i="29"/>
  <c r="M37" i="29"/>
  <c r="S37" i="29"/>
  <c r="N37" i="29"/>
  <c r="X37" i="29"/>
  <c r="W37" i="29"/>
  <c r="U37" i="29"/>
  <c r="J37" i="29"/>
  <c r="Y37" i="29"/>
  <c r="K37" i="29"/>
  <c r="V32" i="29"/>
  <c r="G32" i="29"/>
  <c r="X32" i="29"/>
  <c r="Z32" i="29"/>
  <c r="P37" i="29"/>
  <c r="Z37" i="29"/>
  <c r="H37" i="29"/>
  <c r="T37" i="29"/>
  <c r="Y17" i="32"/>
  <c r="D29" i="37"/>
  <c r="I29" i="37"/>
  <c r="U32" i="29"/>
  <c r="I32" i="29"/>
  <c r="S32" i="29"/>
  <c r="W32" i="29"/>
  <c r="J32" i="29"/>
  <c r="K32" i="29"/>
  <c r="R32" i="29"/>
  <c r="Y32" i="29"/>
  <c r="P32" i="29"/>
  <c r="T32" i="29"/>
  <c r="D32" i="29"/>
  <c r="H32" i="29"/>
  <c r="O32" i="29"/>
  <c r="N32" i="29"/>
  <c r="M32" i="29"/>
  <c r="I26" i="29"/>
  <c r="E7" i="36"/>
  <c r="O14" i="17"/>
  <c r="P15" i="17"/>
  <c r="Q16" i="17"/>
  <c r="K11" i="17"/>
  <c r="L9" i="17"/>
  <c r="L11" i="17"/>
  <c r="M9" i="17"/>
  <c r="M11" i="17"/>
  <c r="N9" i="17"/>
  <c r="N11" i="17"/>
  <c r="O9" i="17"/>
  <c r="I7" i="33"/>
  <c r="I8" i="33"/>
  <c r="I12" i="33"/>
  <c r="H21" i="36"/>
  <c r="T17" i="29"/>
  <c r="K17" i="29"/>
  <c r="Z17" i="29"/>
  <c r="Q33" i="29"/>
  <c r="H33" i="25"/>
  <c r="G33" i="29"/>
  <c r="Y33" i="29"/>
  <c r="J33" i="29"/>
  <c r="R33" i="29"/>
  <c r="S33" i="29"/>
  <c r="S17" i="29"/>
  <c r="G17" i="29"/>
  <c r="I17" i="29"/>
  <c r="H17" i="29"/>
  <c r="G31" i="29"/>
  <c r="N17" i="27"/>
  <c r="Z17" i="27"/>
  <c r="Z33" i="29"/>
  <c r="M33" i="29"/>
  <c r="I31" i="29"/>
  <c r="N33" i="29"/>
  <c r="X33" i="29"/>
  <c r="I17" i="27"/>
  <c r="I33" i="29"/>
  <c r="U33" i="29"/>
  <c r="L33" i="29"/>
  <c r="H33" i="29"/>
  <c r="W33" i="29"/>
  <c r="H13" i="29"/>
  <c r="S17" i="27"/>
  <c r="I13" i="29"/>
  <c r="T33" i="29"/>
  <c r="P33" i="29"/>
  <c r="V33" i="29"/>
  <c r="O33" i="29"/>
  <c r="K33" i="29"/>
  <c r="H37" i="25"/>
  <c r="I33" i="27"/>
  <c r="M17" i="27"/>
  <c r="O17" i="29"/>
  <c r="V17" i="29"/>
  <c r="D17" i="29"/>
  <c r="S37" i="25"/>
  <c r="R32" i="25"/>
  <c r="H31" i="26"/>
  <c r="D33" i="27"/>
  <c r="P32" i="25"/>
  <c r="J37" i="25"/>
  <c r="C12" i="29"/>
  <c r="C14" i="29"/>
  <c r="I32" i="25"/>
  <c r="P33" i="27"/>
  <c r="V36" i="28"/>
  <c r="R17" i="29"/>
  <c r="N17" i="29"/>
  <c r="J17" i="29"/>
  <c r="M17" i="29"/>
  <c r="L17" i="29"/>
  <c r="J36" i="19"/>
  <c r="O37" i="25"/>
  <c r="U32" i="25"/>
  <c r="R32" i="27"/>
  <c r="Y17" i="29"/>
  <c r="U17" i="29"/>
  <c r="Q17" i="29"/>
  <c r="W17" i="29"/>
  <c r="C34" i="29"/>
  <c r="D34" i="29"/>
  <c r="Z32" i="27"/>
  <c r="V37" i="25"/>
  <c r="T37" i="25"/>
  <c r="M37" i="25"/>
  <c r="G32" i="25"/>
  <c r="N32" i="25"/>
  <c r="L37" i="25"/>
  <c r="G37" i="25"/>
  <c r="Q37" i="25"/>
  <c r="L32" i="25"/>
  <c r="W32" i="25"/>
  <c r="D32" i="25"/>
  <c r="P32" i="27"/>
  <c r="G10" i="33"/>
  <c r="G11" i="33"/>
  <c r="F15" i="35"/>
  <c r="C27" i="28"/>
  <c r="D27" i="28"/>
  <c r="V36" i="19"/>
  <c r="Z33" i="27"/>
  <c r="X33" i="27"/>
  <c r="Q17" i="27"/>
  <c r="T17" i="27"/>
  <c r="H17" i="27"/>
  <c r="P17" i="27"/>
  <c r="G17" i="27"/>
  <c r="Q14" i="17"/>
  <c r="R15" i="17"/>
  <c r="S16" i="17"/>
  <c r="T17" i="17"/>
  <c r="U18" i="17"/>
  <c r="V19" i="17"/>
  <c r="W20" i="17"/>
  <c r="X21" i="17"/>
  <c r="Y22" i="17"/>
  <c r="Z23" i="17"/>
  <c r="Q10" i="17"/>
  <c r="O7" i="33"/>
  <c r="O8" i="33"/>
  <c r="O12" i="33"/>
  <c r="N21" i="36"/>
  <c r="N22" i="36"/>
  <c r="F19" i="16"/>
  <c r="P14" i="17"/>
  <c r="Q15" i="17"/>
  <c r="R16" i="17"/>
  <c r="S17" i="17"/>
  <c r="T18" i="17"/>
  <c r="U19" i="17"/>
  <c r="V20" i="17"/>
  <c r="W21" i="17"/>
  <c r="X22" i="17"/>
  <c r="Y23" i="17"/>
  <c r="Z24" i="17"/>
  <c r="P10" i="17"/>
  <c r="N7" i="33"/>
  <c r="N8" i="33"/>
  <c r="N12" i="33"/>
  <c r="M21" i="36"/>
  <c r="M22" i="36"/>
  <c r="D34" i="16"/>
  <c r="E34" i="16"/>
  <c r="U10" i="17"/>
  <c r="S7" i="33"/>
  <c r="S8" i="33"/>
  <c r="S12" i="33"/>
  <c r="R21" i="36"/>
  <c r="R22" i="36"/>
  <c r="U14" i="17"/>
  <c r="V15" i="17"/>
  <c r="W16" i="17"/>
  <c r="X17" i="17"/>
  <c r="Y18" i="17"/>
  <c r="Z19" i="17"/>
  <c r="O10" i="17"/>
  <c r="H36" i="19"/>
  <c r="M36" i="19"/>
  <c r="M32" i="25"/>
  <c r="K32" i="25"/>
  <c r="U33" i="27"/>
  <c r="L33" i="27"/>
  <c r="S33" i="27"/>
  <c r="H29" i="27"/>
  <c r="X17" i="27"/>
  <c r="R17" i="27"/>
  <c r="V17" i="27"/>
  <c r="O17" i="27"/>
  <c r="W17" i="27"/>
  <c r="R10" i="17"/>
  <c r="P7" i="33"/>
  <c r="P8" i="33"/>
  <c r="P12" i="33"/>
  <c r="O21" i="36"/>
  <c r="O22" i="36"/>
  <c r="R14" i="17"/>
  <c r="S15" i="17"/>
  <c r="T16" i="17"/>
  <c r="U17" i="17"/>
  <c r="V18" i="17"/>
  <c r="W19" i="17"/>
  <c r="X20" i="17"/>
  <c r="Y21" i="17"/>
  <c r="Z22" i="17"/>
  <c r="C34" i="16"/>
  <c r="V10" i="17"/>
  <c r="T7" i="33"/>
  <c r="T8" i="33"/>
  <c r="T12" i="33"/>
  <c r="S21" i="36"/>
  <c r="S22" i="36"/>
  <c r="V14" i="17"/>
  <c r="W15" i="17"/>
  <c r="X16" i="17"/>
  <c r="Y17" i="17"/>
  <c r="Z18" i="17"/>
  <c r="E27" i="24"/>
  <c r="E29" i="24"/>
  <c r="T33" i="27"/>
  <c r="N33" i="27"/>
  <c r="G33" i="27"/>
  <c r="L17" i="27"/>
  <c r="J17" i="27"/>
  <c r="U17" i="27"/>
  <c r="Y17" i="27"/>
  <c r="K17" i="27"/>
  <c r="J36" i="28"/>
  <c r="O36" i="28"/>
  <c r="Q36" i="28"/>
  <c r="N36" i="28"/>
  <c r="G32" i="27"/>
  <c r="V32" i="27"/>
  <c r="J32" i="27"/>
  <c r="H13" i="27"/>
  <c r="K32" i="27"/>
  <c r="O32" i="27"/>
  <c r="H30" i="27"/>
  <c r="H32" i="27"/>
  <c r="L32" i="27"/>
  <c r="L36" i="28"/>
  <c r="H36" i="28"/>
  <c r="S36" i="28"/>
  <c r="G36" i="28"/>
  <c r="R36" i="28"/>
  <c r="K10" i="29"/>
  <c r="J13" i="29"/>
  <c r="J30" i="29"/>
  <c r="J29" i="29"/>
  <c r="J26" i="29"/>
  <c r="J31" i="29"/>
  <c r="C27" i="29"/>
  <c r="D27" i="29"/>
  <c r="D25" i="29"/>
  <c r="J25" i="29"/>
  <c r="L36" i="19"/>
  <c r="J33" i="27"/>
  <c r="V33" i="27"/>
  <c r="R33" i="27"/>
  <c r="H33" i="27"/>
  <c r="W33" i="27"/>
  <c r="W32" i="27"/>
  <c r="X32" i="27"/>
  <c r="M32" i="27"/>
  <c r="I32" i="27"/>
  <c r="N32" i="27"/>
  <c r="K36" i="28"/>
  <c r="I36" i="28"/>
  <c r="U36" i="28"/>
  <c r="P36" i="28"/>
  <c r="W36" i="28"/>
  <c r="D36" i="28"/>
  <c r="H29" i="29"/>
  <c r="G29" i="29"/>
  <c r="R36" i="19"/>
  <c r="I43" i="24"/>
  <c r="Q17" i="25"/>
  <c r="Q33" i="27"/>
  <c r="M33" i="27"/>
  <c r="Y33" i="27"/>
  <c r="O33" i="27"/>
  <c r="H26" i="27"/>
  <c r="S32" i="27"/>
  <c r="Q32" i="27"/>
  <c r="U32" i="27"/>
  <c r="T32" i="27"/>
  <c r="Y32" i="27"/>
  <c r="C38" i="28"/>
  <c r="D38" i="28"/>
  <c r="X36" i="28"/>
  <c r="Y36" i="28"/>
  <c r="Z36" i="28"/>
  <c r="M36" i="28"/>
  <c r="D36" i="29"/>
  <c r="N36" i="29"/>
  <c r="Z36" i="29"/>
  <c r="J36" i="29"/>
  <c r="R36" i="29"/>
  <c r="C38" i="29"/>
  <c r="D38" i="29"/>
  <c r="Y36" i="29"/>
  <c r="I36" i="29"/>
  <c r="L36" i="29"/>
  <c r="O36" i="29"/>
  <c r="O38" i="29"/>
  <c r="U36" i="29"/>
  <c r="X36" i="29"/>
  <c r="X38" i="29"/>
  <c r="H36" i="29"/>
  <c r="K36" i="29"/>
  <c r="Q36" i="29"/>
  <c r="T36" i="29"/>
  <c r="W36" i="29"/>
  <c r="W38" i="29"/>
  <c r="G36" i="29"/>
  <c r="M36" i="29"/>
  <c r="P36" i="29"/>
  <c r="S36" i="29"/>
  <c r="V36" i="29"/>
  <c r="K36" i="19"/>
  <c r="C12" i="27"/>
  <c r="C14" i="27"/>
  <c r="C12" i="28"/>
  <c r="R37" i="25"/>
  <c r="Z37" i="25"/>
  <c r="K37" i="25"/>
  <c r="D37" i="25"/>
  <c r="U37" i="25"/>
  <c r="V32" i="25"/>
  <c r="O32" i="25"/>
  <c r="T32" i="25"/>
  <c r="H32" i="25"/>
  <c r="Z32" i="25"/>
  <c r="I56" i="24"/>
  <c r="C34" i="27"/>
  <c r="D34" i="27"/>
  <c r="H59" i="17" a="1"/>
  <c r="H59" i="17"/>
  <c r="J37" i="27"/>
  <c r="X37" i="27"/>
  <c r="P37" i="27"/>
  <c r="U37" i="27"/>
  <c r="K37" i="27"/>
  <c r="H26" i="28"/>
  <c r="G26" i="28"/>
  <c r="I26" i="28"/>
  <c r="D29" i="28"/>
  <c r="K29" i="28"/>
  <c r="C34" i="28"/>
  <c r="D34" i="28"/>
  <c r="N37" i="27"/>
  <c r="I37" i="27"/>
  <c r="Q37" i="27"/>
  <c r="R37" i="27"/>
  <c r="W37" i="27"/>
  <c r="D37" i="27"/>
  <c r="D33" i="28"/>
  <c r="K33" i="28"/>
  <c r="W33" i="28"/>
  <c r="G33" i="28"/>
  <c r="S33" i="28"/>
  <c r="O33" i="28"/>
  <c r="H33" i="28"/>
  <c r="X33" i="28"/>
  <c r="I33" i="28"/>
  <c r="Y33" i="28"/>
  <c r="R33" i="28"/>
  <c r="U33" i="28"/>
  <c r="Z33" i="28"/>
  <c r="L33" i="28"/>
  <c r="M33" i="28"/>
  <c r="V33" i="28"/>
  <c r="P33" i="28"/>
  <c r="Q33" i="28"/>
  <c r="J33" i="28"/>
  <c r="T33" i="28"/>
  <c r="N33" i="28"/>
  <c r="D32" i="28"/>
  <c r="J32" i="28"/>
  <c r="Z32" i="28"/>
  <c r="N32" i="28"/>
  <c r="U32" i="28"/>
  <c r="X32" i="28"/>
  <c r="H32" i="28"/>
  <c r="K32" i="28"/>
  <c r="R32" i="28"/>
  <c r="Q32" i="28"/>
  <c r="T32" i="28"/>
  <c r="W32" i="28"/>
  <c r="G32" i="28"/>
  <c r="Y32" i="28"/>
  <c r="L32" i="28"/>
  <c r="M32" i="28"/>
  <c r="P32" i="28"/>
  <c r="S32" i="28"/>
  <c r="V32" i="28"/>
  <c r="I32" i="28"/>
  <c r="O32" i="28"/>
  <c r="P37" i="25"/>
  <c r="X37" i="25"/>
  <c r="N37" i="25"/>
  <c r="W37" i="25"/>
  <c r="I37" i="25"/>
  <c r="S32" i="25"/>
  <c r="Y32" i="25"/>
  <c r="Q32" i="25"/>
  <c r="X32" i="25"/>
  <c r="H26" i="26"/>
  <c r="I43" i="17" a="1"/>
  <c r="I43" i="17"/>
  <c r="G58" i="17" a="1"/>
  <c r="G58" i="17"/>
  <c r="V37" i="27"/>
  <c r="H37" i="27"/>
  <c r="M37" i="27"/>
  <c r="T37" i="27"/>
  <c r="O37" i="27"/>
  <c r="I25" i="28"/>
  <c r="H25" i="28"/>
  <c r="G25" i="28"/>
  <c r="H30" i="28"/>
  <c r="G30" i="28"/>
  <c r="I30" i="28"/>
  <c r="I13" i="28"/>
  <c r="H13" i="28"/>
  <c r="G13" i="28"/>
  <c r="K30" i="28"/>
  <c r="K26" i="28"/>
  <c r="L10" i="28"/>
  <c r="K25" i="28"/>
  <c r="K31" i="28"/>
  <c r="K13" i="28"/>
  <c r="Y17" i="28"/>
  <c r="I17" i="28"/>
  <c r="M17" i="28"/>
  <c r="U17" i="28"/>
  <c r="Q17" i="28"/>
  <c r="D17" i="28"/>
  <c r="J17" i="28"/>
  <c r="Z17" i="28"/>
  <c r="K17" i="28"/>
  <c r="T17" i="28"/>
  <c r="N17" i="28"/>
  <c r="O17" i="28"/>
  <c r="H17" i="28"/>
  <c r="G17" i="28"/>
  <c r="P17" i="28"/>
  <c r="X17" i="28"/>
  <c r="R17" i="28"/>
  <c r="S17" i="28"/>
  <c r="L17" i="28"/>
  <c r="V17" i="28"/>
  <c r="W17" i="28"/>
  <c r="H31" i="27"/>
  <c r="Y37" i="27"/>
  <c r="Z37" i="27"/>
  <c r="L37" i="27"/>
  <c r="G37" i="27"/>
  <c r="D37" i="28"/>
  <c r="S37" i="28"/>
  <c r="O37" i="28"/>
  <c r="K37" i="28"/>
  <c r="W37" i="28"/>
  <c r="G37" i="28"/>
  <c r="Z37" i="28"/>
  <c r="T37" i="28"/>
  <c r="T38" i="28"/>
  <c r="U37" i="28"/>
  <c r="R37" i="28"/>
  <c r="H37" i="28"/>
  <c r="X37" i="28"/>
  <c r="I37" i="28"/>
  <c r="Y37" i="28"/>
  <c r="V37" i="28"/>
  <c r="P37" i="28"/>
  <c r="Q37" i="28"/>
  <c r="L37" i="28"/>
  <c r="M37" i="28"/>
  <c r="J37" i="28"/>
  <c r="N37" i="28"/>
  <c r="J25" i="28"/>
  <c r="J27" i="28"/>
  <c r="H31" i="28"/>
  <c r="G31" i="28"/>
  <c r="I31" i="28"/>
  <c r="I59" i="17" a="1"/>
  <c r="I59" i="17"/>
  <c r="N36" i="19"/>
  <c r="P36" i="19"/>
  <c r="G33" i="25"/>
  <c r="T17" i="25"/>
  <c r="H58" i="17" a="1"/>
  <c r="H58" i="17"/>
  <c r="G59" i="17" a="1"/>
  <c r="G59" i="17"/>
  <c r="J33" i="25"/>
  <c r="I33" i="25"/>
  <c r="H17" i="25"/>
  <c r="D36" i="27"/>
  <c r="C38" i="27"/>
  <c r="D38" i="27"/>
  <c r="R36" i="27"/>
  <c r="U36" i="27"/>
  <c r="X36" i="27"/>
  <c r="H36" i="27"/>
  <c r="K36" i="27"/>
  <c r="Z36" i="27"/>
  <c r="N36" i="27"/>
  <c r="M36" i="27"/>
  <c r="S36" i="27"/>
  <c r="S38" i="27"/>
  <c r="I36" i="27"/>
  <c r="Q36" i="27"/>
  <c r="T36" i="27"/>
  <c r="W36" i="27"/>
  <c r="G36" i="27"/>
  <c r="P36" i="27"/>
  <c r="V36" i="27"/>
  <c r="Y36" i="27"/>
  <c r="L36" i="27"/>
  <c r="O36" i="27"/>
  <c r="J36" i="27"/>
  <c r="C27" i="27"/>
  <c r="D27" i="27"/>
  <c r="D25" i="27"/>
  <c r="I25" i="27"/>
  <c r="X36" i="19"/>
  <c r="L33" i="25"/>
  <c r="Y33" i="25"/>
  <c r="R17" i="25"/>
  <c r="Z17" i="25"/>
  <c r="I30" i="27"/>
  <c r="I31" i="27"/>
  <c r="I26" i="27"/>
  <c r="J10" i="27"/>
  <c r="I13" i="27"/>
  <c r="I29" i="27"/>
  <c r="D25" i="26"/>
  <c r="I25" i="26"/>
  <c r="C27" i="26"/>
  <c r="D27" i="26"/>
  <c r="Z36" i="19"/>
  <c r="V33" i="25"/>
  <c r="Z33" i="25"/>
  <c r="M33" i="25"/>
  <c r="P17" i="25"/>
  <c r="M17" i="25"/>
  <c r="K17" i="25"/>
  <c r="D17" i="26"/>
  <c r="Z17" i="26"/>
  <c r="R17" i="26"/>
  <c r="J17" i="26"/>
  <c r="K17" i="26"/>
  <c r="S17" i="26"/>
  <c r="U17" i="26"/>
  <c r="X17" i="26"/>
  <c r="H17" i="26"/>
  <c r="W17" i="26"/>
  <c r="P17" i="26"/>
  <c r="I17" i="26"/>
  <c r="Q17" i="26"/>
  <c r="T17" i="26"/>
  <c r="N17" i="26"/>
  <c r="M17" i="26"/>
  <c r="V17" i="26"/>
  <c r="G17" i="26"/>
  <c r="Y17" i="26"/>
  <c r="L17" i="26"/>
  <c r="O17" i="26"/>
  <c r="G32" i="18"/>
  <c r="I58" i="17" a="1"/>
  <c r="I58" i="17"/>
  <c r="U36" i="19"/>
  <c r="D27" i="24"/>
  <c r="D34" i="24"/>
  <c r="C12" i="26"/>
  <c r="C12" i="25"/>
  <c r="G63" i="17" a="1"/>
  <c r="G63" i="17"/>
  <c r="G43" i="17" a="1"/>
  <c r="G43" i="17"/>
  <c r="P33" i="25"/>
  <c r="N33" i="25"/>
  <c r="S33" i="25"/>
  <c r="K33" i="25"/>
  <c r="Q33" i="25"/>
  <c r="O17" i="25"/>
  <c r="V17" i="25"/>
  <c r="N17" i="25"/>
  <c r="J17" i="25"/>
  <c r="D17" i="25"/>
  <c r="C34" i="25"/>
  <c r="D34" i="25"/>
  <c r="D36" i="26"/>
  <c r="C38" i="26"/>
  <c r="D38" i="26"/>
  <c r="R36" i="26"/>
  <c r="M36" i="26"/>
  <c r="P36" i="26"/>
  <c r="S36" i="26"/>
  <c r="V36" i="26"/>
  <c r="N36" i="26"/>
  <c r="U36" i="26"/>
  <c r="H36" i="26"/>
  <c r="J36" i="26"/>
  <c r="Q36" i="26"/>
  <c r="W36" i="26"/>
  <c r="Y36" i="26"/>
  <c r="I36" i="26"/>
  <c r="L36" i="26"/>
  <c r="O36" i="26"/>
  <c r="X36" i="26"/>
  <c r="K36" i="26"/>
  <c r="T36" i="26"/>
  <c r="G36" i="26"/>
  <c r="Z36" i="26"/>
  <c r="I30" i="26"/>
  <c r="I31" i="26"/>
  <c r="I26" i="26"/>
  <c r="J10" i="26"/>
  <c r="I13" i="26"/>
  <c r="H43" i="17" a="1"/>
  <c r="H43" i="17"/>
  <c r="T33" i="25"/>
  <c r="W33" i="25"/>
  <c r="Y17" i="25"/>
  <c r="I17" i="25"/>
  <c r="X17" i="25"/>
  <c r="C38" i="25"/>
  <c r="D38" i="25"/>
  <c r="Z36" i="25"/>
  <c r="N36" i="25"/>
  <c r="T36" i="25"/>
  <c r="D36" i="25"/>
  <c r="H36" i="25"/>
  <c r="G36" i="25"/>
  <c r="J36" i="25"/>
  <c r="U36" i="25"/>
  <c r="O36" i="25"/>
  <c r="W36" i="25"/>
  <c r="K36" i="25"/>
  <c r="M36" i="25"/>
  <c r="L36" i="25"/>
  <c r="Y36" i="25"/>
  <c r="S36" i="25"/>
  <c r="V36" i="25"/>
  <c r="Q36" i="25"/>
  <c r="R36" i="25"/>
  <c r="X36" i="25"/>
  <c r="I36" i="25"/>
  <c r="P36" i="25"/>
  <c r="D33" i="26"/>
  <c r="K33" i="26"/>
  <c r="W33" i="26"/>
  <c r="G33" i="26"/>
  <c r="S33" i="26"/>
  <c r="O33" i="26"/>
  <c r="Z33" i="26"/>
  <c r="L33" i="26"/>
  <c r="U33" i="26"/>
  <c r="N33" i="26"/>
  <c r="T33" i="26"/>
  <c r="V33" i="26"/>
  <c r="X33" i="26"/>
  <c r="P33" i="26"/>
  <c r="I33" i="26"/>
  <c r="Y33" i="26"/>
  <c r="R33" i="26"/>
  <c r="M33" i="26"/>
  <c r="H33" i="26"/>
  <c r="Q33" i="26"/>
  <c r="J33" i="26"/>
  <c r="W36" i="19"/>
  <c r="R33" i="25"/>
  <c r="X33" i="25"/>
  <c r="O33" i="25"/>
  <c r="D33" i="25"/>
  <c r="U17" i="25"/>
  <c r="L17" i="25"/>
  <c r="W17" i="25"/>
  <c r="G17" i="25"/>
  <c r="H13" i="26"/>
  <c r="H30" i="26"/>
  <c r="D29" i="26"/>
  <c r="C34" i="26"/>
  <c r="D34" i="26"/>
  <c r="D32" i="26"/>
  <c r="N32" i="26"/>
  <c r="J32" i="26"/>
  <c r="Z32" i="26"/>
  <c r="Y32" i="26"/>
  <c r="I32" i="26"/>
  <c r="L32" i="26"/>
  <c r="O32" i="26"/>
  <c r="Q32" i="26"/>
  <c r="W32" i="26"/>
  <c r="R32" i="26"/>
  <c r="M32" i="26"/>
  <c r="S32" i="26"/>
  <c r="U32" i="26"/>
  <c r="X32" i="26"/>
  <c r="H32" i="26"/>
  <c r="K32" i="26"/>
  <c r="T32" i="26"/>
  <c r="G32" i="26"/>
  <c r="P32" i="26"/>
  <c r="V32" i="26"/>
  <c r="D37" i="26"/>
  <c r="S37" i="26"/>
  <c r="O37" i="26"/>
  <c r="K37" i="26"/>
  <c r="W37" i="26"/>
  <c r="G37" i="26"/>
  <c r="H37" i="26"/>
  <c r="X37" i="26"/>
  <c r="Q37" i="26"/>
  <c r="N37" i="26"/>
  <c r="I37" i="26"/>
  <c r="M37" i="26"/>
  <c r="J37" i="26"/>
  <c r="Z37" i="26"/>
  <c r="L37" i="26"/>
  <c r="U37" i="26"/>
  <c r="R37" i="26"/>
  <c r="P37" i="26"/>
  <c r="Y37" i="26"/>
  <c r="V37" i="26"/>
  <c r="T37" i="26"/>
  <c r="C27" i="25"/>
  <c r="D27" i="25"/>
  <c r="H63" i="17" a="1"/>
  <c r="H63" i="17"/>
  <c r="Q36" i="19"/>
  <c r="O36" i="19"/>
  <c r="S36" i="19"/>
  <c r="G31" i="25"/>
  <c r="G29" i="25"/>
  <c r="G13" i="25"/>
  <c r="H10" i="25"/>
  <c r="H10" i="20"/>
  <c r="G25" i="25"/>
  <c r="G26" i="25"/>
  <c r="G30" i="25"/>
  <c r="I51" i="24"/>
  <c r="I63" i="17" a="1"/>
  <c r="I63" i="17"/>
  <c r="C12" i="19"/>
  <c r="G34" i="18"/>
  <c r="T36" i="19"/>
  <c r="I36" i="19"/>
  <c r="I18" i="24"/>
  <c r="H31" i="24"/>
  <c r="H29" i="24"/>
  <c r="H33" i="24"/>
  <c r="H32" i="24"/>
  <c r="H34" i="24"/>
  <c r="F31" i="24"/>
  <c r="F32" i="24"/>
  <c r="F33" i="24"/>
  <c r="F29" i="24"/>
  <c r="F34" i="24"/>
  <c r="G31" i="24"/>
  <c r="G34" i="24"/>
  <c r="G29" i="24"/>
  <c r="G32" i="24"/>
  <c r="G33" i="24"/>
  <c r="G36" i="19"/>
  <c r="G62" i="17" a="1"/>
  <c r="G62" i="17"/>
  <c r="H62" i="17" a="1"/>
  <c r="H62" i="17"/>
  <c r="G31" i="18"/>
  <c r="C18" i="19"/>
  <c r="I62" i="17" a="1"/>
  <c r="I62" i="17"/>
  <c r="J62" i="17" a="1"/>
  <c r="J62" i="17"/>
  <c r="J63" i="17" a="1"/>
  <c r="J63" i="17"/>
  <c r="M19" i="17"/>
  <c r="J59" i="17" a="1"/>
  <c r="J59" i="17"/>
  <c r="J58" i="17" a="1"/>
  <c r="J58" i="17"/>
  <c r="K18" i="17"/>
  <c r="J43" i="17" a="1"/>
  <c r="J43" i="17"/>
  <c r="O18" i="17"/>
  <c r="G29" i="18"/>
  <c r="F18" i="16"/>
  <c r="F22" i="16"/>
  <c r="G20" i="16"/>
  <c r="G21" i="16"/>
  <c r="D13" i="18"/>
  <c r="F13" i="18"/>
  <c r="E13" i="18"/>
  <c r="Z38" i="29"/>
  <c r="Q38" i="29"/>
  <c r="Y38" i="29"/>
  <c r="U38" i="29"/>
  <c r="S38" i="29"/>
  <c r="R38" i="29"/>
  <c r="P38" i="29"/>
  <c r="G38" i="29"/>
  <c r="L38" i="29"/>
  <c r="I38" i="29"/>
  <c r="J38" i="29"/>
  <c r="V38" i="29"/>
  <c r="M38" i="29"/>
  <c r="K38" i="29"/>
  <c r="D31" i="24"/>
  <c r="C18" i="25"/>
  <c r="D18" i="25"/>
  <c r="G18" i="25"/>
  <c r="N38" i="29"/>
  <c r="T38" i="29"/>
  <c r="H38" i="29"/>
  <c r="E34" i="24"/>
  <c r="C21" i="26"/>
  <c r="D21" i="26"/>
  <c r="J21" i="26"/>
  <c r="E32" i="24"/>
  <c r="C19" i="29"/>
  <c r="D19" i="29"/>
  <c r="J19" i="29"/>
  <c r="E33" i="24"/>
  <c r="C20" i="26"/>
  <c r="D20" i="26"/>
  <c r="J20" i="26"/>
  <c r="E31" i="24"/>
  <c r="C18" i="26"/>
  <c r="D18" i="26"/>
  <c r="J18" i="26"/>
  <c r="O11" i="17"/>
  <c r="P9" i="17"/>
  <c r="P11" i="17"/>
  <c r="Q9" i="17"/>
  <c r="Q11" i="17"/>
  <c r="R9" i="17"/>
  <c r="R11" i="17"/>
  <c r="S9" i="17"/>
  <c r="M7" i="33"/>
  <c r="M8" i="33"/>
  <c r="M12" i="33"/>
  <c r="L21" i="36"/>
  <c r="H22" i="36"/>
  <c r="Z22" i="36"/>
  <c r="E84" i="37"/>
  <c r="Z21" i="36"/>
  <c r="E83" i="37"/>
  <c r="C18" i="29"/>
  <c r="D18" i="29"/>
  <c r="I18" i="29"/>
  <c r="G34" i="29"/>
  <c r="H34" i="29"/>
  <c r="I34" i="29"/>
  <c r="H37" i="20"/>
  <c r="H37" i="30"/>
  <c r="I38" i="27"/>
  <c r="G13" i="20"/>
  <c r="Y17" i="20"/>
  <c r="U38" i="27"/>
  <c r="G30" i="20"/>
  <c r="G26" i="20"/>
  <c r="V38" i="27"/>
  <c r="V37" i="20"/>
  <c r="H33" i="20"/>
  <c r="H33" i="30"/>
  <c r="P32" i="20"/>
  <c r="G38" i="27"/>
  <c r="V38" i="28"/>
  <c r="H38" i="28"/>
  <c r="H34" i="27"/>
  <c r="G31" i="20"/>
  <c r="Y37" i="20"/>
  <c r="L37" i="20"/>
  <c r="O37" i="20"/>
  <c r="O38" i="27"/>
  <c r="P38" i="27"/>
  <c r="Q38" i="27"/>
  <c r="N38" i="27"/>
  <c r="U38" i="28"/>
  <c r="S37" i="20"/>
  <c r="W17" i="20"/>
  <c r="U33" i="20"/>
  <c r="Z38" i="27"/>
  <c r="J32" i="20"/>
  <c r="J32" i="30"/>
  <c r="W38" i="27"/>
  <c r="D12" i="29"/>
  <c r="J12" i="29"/>
  <c r="J14" i="29"/>
  <c r="K36" i="20"/>
  <c r="U32" i="20"/>
  <c r="W32" i="20"/>
  <c r="G34" i="27"/>
  <c r="R17" i="20"/>
  <c r="G37" i="20"/>
  <c r="G37" i="30"/>
  <c r="G32" i="20"/>
  <c r="G32" i="30"/>
  <c r="R32" i="20"/>
  <c r="V17" i="20"/>
  <c r="K17" i="20"/>
  <c r="Z38" i="28"/>
  <c r="L32" i="20"/>
  <c r="S33" i="20"/>
  <c r="Z33" i="20"/>
  <c r="J38" i="28"/>
  <c r="C20" i="29"/>
  <c r="D20" i="29"/>
  <c r="K20" i="29"/>
  <c r="T37" i="20"/>
  <c r="J37" i="20"/>
  <c r="J37" i="30"/>
  <c r="Q37" i="20"/>
  <c r="I32" i="20"/>
  <c r="I32" i="30"/>
  <c r="N32" i="20"/>
  <c r="X33" i="20"/>
  <c r="O36" i="20"/>
  <c r="D33" i="24"/>
  <c r="I33" i="24"/>
  <c r="I27" i="24"/>
  <c r="M37" i="20"/>
  <c r="U17" i="20"/>
  <c r="R33" i="20"/>
  <c r="S17" i="20"/>
  <c r="J38" i="27"/>
  <c r="M38" i="27"/>
  <c r="G13" i="33"/>
  <c r="F21" i="32"/>
  <c r="G13" i="18"/>
  <c r="H31" i="18"/>
  <c r="P38" i="25"/>
  <c r="P36" i="20"/>
  <c r="L38" i="25"/>
  <c r="L36" i="20"/>
  <c r="H38" i="25"/>
  <c r="H36" i="20"/>
  <c r="H36" i="30"/>
  <c r="Q32" i="20"/>
  <c r="O32" i="20"/>
  <c r="K32" i="20"/>
  <c r="S14" i="17"/>
  <c r="T15" i="17"/>
  <c r="U16" i="17"/>
  <c r="G17" i="20"/>
  <c r="G17" i="30"/>
  <c r="O38" i="25"/>
  <c r="I38" i="25"/>
  <c r="I36" i="20"/>
  <c r="I36" i="30"/>
  <c r="V38" i="25"/>
  <c r="V36" i="20"/>
  <c r="M38" i="25"/>
  <c r="M36" i="20"/>
  <c r="U38" i="25"/>
  <c r="U36" i="20"/>
  <c r="W33" i="20"/>
  <c r="O17" i="20"/>
  <c r="N33" i="20"/>
  <c r="M17" i="20"/>
  <c r="V33" i="20"/>
  <c r="Y33" i="20"/>
  <c r="H17" i="20"/>
  <c r="H17" i="30"/>
  <c r="Y32" i="20"/>
  <c r="N37" i="20"/>
  <c r="Z32" i="20"/>
  <c r="V32" i="20"/>
  <c r="Z37" i="20"/>
  <c r="Q17" i="20"/>
  <c r="M32" i="20"/>
  <c r="G19" i="16"/>
  <c r="T10" i="17"/>
  <c r="R7" i="33"/>
  <c r="R8" i="33"/>
  <c r="R12" i="33"/>
  <c r="Q21" i="36"/>
  <c r="Q22" i="36"/>
  <c r="T14" i="17"/>
  <c r="U15" i="17"/>
  <c r="V16" i="17"/>
  <c r="W17" i="17"/>
  <c r="X18" i="17"/>
  <c r="Y19" i="17"/>
  <c r="Z20" i="17"/>
  <c r="Z38" i="25"/>
  <c r="Z36" i="20"/>
  <c r="I27" i="27"/>
  <c r="W37" i="20"/>
  <c r="K37" i="20"/>
  <c r="S10" i="17"/>
  <c r="C16" i="29"/>
  <c r="D16" i="29"/>
  <c r="K16" i="29"/>
  <c r="O33" i="20"/>
  <c r="X38" i="25"/>
  <c r="X36" i="20"/>
  <c r="S38" i="25"/>
  <c r="S36" i="20"/>
  <c r="J38" i="25"/>
  <c r="J36" i="20"/>
  <c r="J36" i="30"/>
  <c r="T38" i="25"/>
  <c r="T36" i="20"/>
  <c r="X17" i="20"/>
  <c r="T33" i="20"/>
  <c r="J17" i="20"/>
  <c r="J17" i="30"/>
  <c r="Q33" i="20"/>
  <c r="P33" i="20"/>
  <c r="P17" i="20"/>
  <c r="L33" i="20"/>
  <c r="T38" i="27"/>
  <c r="I33" i="20"/>
  <c r="I33" i="30"/>
  <c r="T17" i="20"/>
  <c r="O38" i="28"/>
  <c r="S32" i="20"/>
  <c r="X37" i="20"/>
  <c r="H32" i="20"/>
  <c r="H32" i="30"/>
  <c r="U37" i="20"/>
  <c r="R37" i="20"/>
  <c r="Q38" i="25"/>
  <c r="Q36" i="20"/>
  <c r="Z10" i="17"/>
  <c r="X7" i="33"/>
  <c r="X8" i="33"/>
  <c r="X12" i="33"/>
  <c r="W21" i="36"/>
  <c r="W22" i="36"/>
  <c r="Z14" i="17"/>
  <c r="Y10" i="17"/>
  <c r="W7" i="33"/>
  <c r="W8" i="33"/>
  <c r="W12" i="33"/>
  <c r="V21" i="36"/>
  <c r="V22" i="36"/>
  <c r="Y14" i="17"/>
  <c r="Z15" i="17"/>
  <c r="C21" i="29"/>
  <c r="D21" i="29"/>
  <c r="G21" i="29"/>
  <c r="L17" i="20"/>
  <c r="R38" i="25"/>
  <c r="R36" i="20"/>
  <c r="Y38" i="25"/>
  <c r="Y36" i="20"/>
  <c r="W38" i="25"/>
  <c r="W36" i="20"/>
  <c r="G38" i="25"/>
  <c r="G36" i="20"/>
  <c r="G36" i="30"/>
  <c r="N38" i="25"/>
  <c r="N36" i="20"/>
  <c r="I17" i="20"/>
  <c r="I17" i="30"/>
  <c r="N17" i="20"/>
  <c r="K33" i="20"/>
  <c r="M33" i="20"/>
  <c r="Z17" i="20"/>
  <c r="J33" i="20"/>
  <c r="J33" i="30"/>
  <c r="G33" i="20"/>
  <c r="G33" i="30"/>
  <c r="L38" i="28"/>
  <c r="R38" i="28"/>
  <c r="X32" i="20"/>
  <c r="I37" i="20"/>
  <c r="I37" i="30"/>
  <c r="P37" i="20"/>
  <c r="T32" i="20"/>
  <c r="J34" i="29"/>
  <c r="J27" i="29"/>
  <c r="N38" i="28"/>
  <c r="Q38" i="28"/>
  <c r="I38" i="28"/>
  <c r="W38" i="28"/>
  <c r="G27" i="28"/>
  <c r="M38" i="28"/>
  <c r="Y38" i="28"/>
  <c r="S38" i="28"/>
  <c r="X38" i="28"/>
  <c r="K38" i="28"/>
  <c r="K38" i="27"/>
  <c r="D12" i="27"/>
  <c r="H12" i="27"/>
  <c r="H14" i="27"/>
  <c r="H38" i="27"/>
  <c r="D14" i="29"/>
  <c r="X38" i="27"/>
  <c r="G38" i="28"/>
  <c r="H27" i="28"/>
  <c r="L10" i="29"/>
  <c r="K29" i="29"/>
  <c r="K25" i="29"/>
  <c r="K13" i="29"/>
  <c r="K26" i="29"/>
  <c r="K30" i="29"/>
  <c r="K31" i="29"/>
  <c r="D32" i="24"/>
  <c r="C19" i="25"/>
  <c r="D19" i="25"/>
  <c r="I34" i="27"/>
  <c r="L38" i="27"/>
  <c r="K38" i="25"/>
  <c r="R38" i="27"/>
  <c r="P38" i="28"/>
  <c r="G25" i="29"/>
  <c r="G27" i="29"/>
  <c r="H25" i="29"/>
  <c r="H27" i="29"/>
  <c r="I25" i="29"/>
  <c r="I27" i="29"/>
  <c r="C19" i="27"/>
  <c r="D19" i="27"/>
  <c r="G19" i="27"/>
  <c r="C19" i="28"/>
  <c r="D19" i="28"/>
  <c r="L19" i="28"/>
  <c r="C18" i="27"/>
  <c r="D18" i="27"/>
  <c r="I18" i="27"/>
  <c r="C18" i="28"/>
  <c r="D18" i="28"/>
  <c r="L18" i="28"/>
  <c r="C20" i="27"/>
  <c r="D20" i="27"/>
  <c r="I20" i="27"/>
  <c r="C20" i="28"/>
  <c r="D20" i="28"/>
  <c r="L20" i="28"/>
  <c r="K27" i="28"/>
  <c r="C14" i="28"/>
  <c r="D12" i="28"/>
  <c r="L12" i="28"/>
  <c r="C16" i="27"/>
  <c r="C16" i="28"/>
  <c r="Y38" i="27"/>
  <c r="I27" i="28"/>
  <c r="C21" i="27"/>
  <c r="D21" i="27"/>
  <c r="G21" i="27"/>
  <c r="C21" i="28"/>
  <c r="D21" i="28"/>
  <c r="M10" i="28"/>
  <c r="L26" i="28"/>
  <c r="L30" i="28"/>
  <c r="L13" i="28"/>
  <c r="L29" i="28"/>
  <c r="L25" i="28"/>
  <c r="L31" i="28"/>
  <c r="K34" i="28"/>
  <c r="H29" i="28"/>
  <c r="H34" i="28"/>
  <c r="G29" i="28"/>
  <c r="G34" i="28"/>
  <c r="I29" i="28"/>
  <c r="I34" i="28"/>
  <c r="J29" i="28"/>
  <c r="J34" i="28"/>
  <c r="G25" i="27"/>
  <c r="G27" i="27"/>
  <c r="H25" i="27"/>
  <c r="H27" i="27"/>
  <c r="K38" i="26"/>
  <c r="V38" i="26"/>
  <c r="K10" i="27"/>
  <c r="J25" i="27"/>
  <c r="J30" i="27"/>
  <c r="J13" i="27"/>
  <c r="J26" i="27"/>
  <c r="J29" i="27"/>
  <c r="J31" i="27"/>
  <c r="D14" i="27"/>
  <c r="I27" i="26"/>
  <c r="I38" i="26"/>
  <c r="T38" i="26"/>
  <c r="L38" i="26"/>
  <c r="Q38" i="26"/>
  <c r="M38" i="26"/>
  <c r="C21" i="25"/>
  <c r="D21" i="25"/>
  <c r="G21" i="25"/>
  <c r="N38" i="26"/>
  <c r="J38" i="26"/>
  <c r="R38" i="26"/>
  <c r="C19" i="19"/>
  <c r="D29" i="24"/>
  <c r="Z38" i="26"/>
  <c r="X38" i="26"/>
  <c r="Y38" i="26"/>
  <c r="H38" i="26"/>
  <c r="S38" i="26"/>
  <c r="G29" i="26"/>
  <c r="G34" i="26"/>
  <c r="H29" i="26"/>
  <c r="H34" i="26"/>
  <c r="C14" i="26"/>
  <c r="D12" i="26"/>
  <c r="J12" i="26"/>
  <c r="G25" i="26"/>
  <c r="G27" i="26"/>
  <c r="H25" i="26"/>
  <c r="H27" i="26"/>
  <c r="C17" i="19"/>
  <c r="J64" i="17" a="1"/>
  <c r="J64" i="17"/>
  <c r="I29" i="26"/>
  <c r="I34" i="26"/>
  <c r="J25" i="26"/>
  <c r="K10" i="26"/>
  <c r="J31" i="26"/>
  <c r="J13" i="26"/>
  <c r="J29" i="26"/>
  <c r="J26" i="26"/>
  <c r="J30" i="26"/>
  <c r="G38" i="26"/>
  <c r="O38" i="26"/>
  <c r="W38" i="26"/>
  <c r="U38" i="26"/>
  <c r="P38" i="26"/>
  <c r="C14" i="25"/>
  <c r="D12" i="25"/>
  <c r="G12" i="25"/>
  <c r="G27" i="25"/>
  <c r="H30" i="25"/>
  <c r="H30" i="20"/>
  <c r="H26" i="25"/>
  <c r="H26" i="20"/>
  <c r="I10" i="25"/>
  <c r="I10" i="20"/>
  <c r="H25" i="25"/>
  <c r="H13" i="25"/>
  <c r="H13" i="20"/>
  <c r="H29" i="25"/>
  <c r="H31" i="25"/>
  <c r="H31" i="20"/>
  <c r="G34" i="25"/>
  <c r="G35" i="24"/>
  <c r="G37" i="24"/>
  <c r="F35" i="24"/>
  <c r="F37" i="24"/>
  <c r="F58" i="24"/>
  <c r="F60" i="24"/>
  <c r="H35" i="24"/>
  <c r="H37" i="24"/>
  <c r="H58" i="24"/>
  <c r="C16" i="19"/>
  <c r="C14" i="19"/>
  <c r="G64" i="17" a="1"/>
  <c r="G64" i="17"/>
  <c r="H64" i="17" a="1"/>
  <c r="H64" i="17"/>
  <c r="I64" i="17" a="1"/>
  <c r="I64" i="17"/>
  <c r="K62" i="17" a="1"/>
  <c r="K62" i="17"/>
  <c r="K63" i="17" a="1"/>
  <c r="K63" i="17"/>
  <c r="K64" i="17" a="1"/>
  <c r="K64" i="17"/>
  <c r="K58" i="17" a="1"/>
  <c r="K58" i="17"/>
  <c r="K59" i="17" a="1"/>
  <c r="K59" i="17"/>
  <c r="N20" i="17"/>
  <c r="P19" i="17"/>
  <c r="L19" i="17"/>
  <c r="K43" i="17" a="1"/>
  <c r="K43" i="17"/>
  <c r="R17" i="17"/>
  <c r="G35" i="18"/>
  <c r="G18" i="16"/>
  <c r="G22" i="16"/>
  <c r="G58" i="24"/>
  <c r="C20" i="25"/>
  <c r="D20" i="25"/>
  <c r="G20" i="25"/>
  <c r="I34" i="24"/>
  <c r="G19" i="29"/>
  <c r="H18" i="29"/>
  <c r="I31" i="24"/>
  <c r="C19" i="26"/>
  <c r="D19" i="26"/>
  <c r="J19" i="26"/>
  <c r="H19" i="29"/>
  <c r="K19" i="29"/>
  <c r="I19" i="29"/>
  <c r="E35" i="24"/>
  <c r="E37" i="24"/>
  <c r="E58" i="24"/>
  <c r="E60" i="24"/>
  <c r="K17" i="30"/>
  <c r="J18" i="29"/>
  <c r="G18" i="29"/>
  <c r="K18" i="29"/>
  <c r="H60" i="24"/>
  <c r="S11" i="17"/>
  <c r="T9" i="17"/>
  <c r="T11" i="17"/>
  <c r="U9" i="17"/>
  <c r="U11" i="17"/>
  <c r="V9" i="17"/>
  <c r="V11" i="17"/>
  <c r="W9" i="17"/>
  <c r="Q7" i="33"/>
  <c r="Q8" i="33"/>
  <c r="Q12" i="33"/>
  <c r="P21" i="36"/>
  <c r="F7" i="36"/>
  <c r="L22" i="36"/>
  <c r="AA22" i="36"/>
  <c r="F84" i="37"/>
  <c r="AA21" i="36"/>
  <c r="F83" i="37"/>
  <c r="I32" i="24"/>
  <c r="H12" i="29"/>
  <c r="H14" i="29"/>
  <c r="G20" i="29"/>
  <c r="K33" i="30"/>
  <c r="K36" i="30"/>
  <c r="H25" i="20"/>
  <c r="J20" i="29"/>
  <c r="I12" i="29"/>
  <c r="I14" i="29"/>
  <c r="G12" i="29"/>
  <c r="G14" i="29"/>
  <c r="I20" i="29"/>
  <c r="K12" i="29"/>
  <c r="K14" i="29"/>
  <c r="K37" i="30"/>
  <c r="H21" i="27"/>
  <c r="G27" i="20"/>
  <c r="C22" i="29"/>
  <c r="D22" i="29"/>
  <c r="Z38" i="20"/>
  <c r="K32" i="30"/>
  <c r="H18" i="27"/>
  <c r="J21" i="29"/>
  <c r="H20" i="29"/>
  <c r="I21" i="29"/>
  <c r="G34" i="20"/>
  <c r="L14" i="28"/>
  <c r="K38" i="20"/>
  <c r="K38" i="30"/>
  <c r="H13" i="32"/>
  <c r="K21" i="29"/>
  <c r="H21" i="29"/>
  <c r="M38" i="20"/>
  <c r="I38" i="20"/>
  <c r="I38" i="30"/>
  <c r="F13" i="32"/>
  <c r="H10" i="33"/>
  <c r="H11" i="33"/>
  <c r="G15" i="35"/>
  <c r="H34" i="18"/>
  <c r="H32" i="18"/>
  <c r="H29" i="18"/>
  <c r="G25" i="20"/>
  <c r="H29" i="20"/>
  <c r="G14" i="25"/>
  <c r="J21" i="27"/>
  <c r="G12" i="27"/>
  <c r="G14" i="27"/>
  <c r="G38" i="20"/>
  <c r="G38" i="30"/>
  <c r="D13" i="32"/>
  <c r="Y38" i="20"/>
  <c r="Q38" i="20"/>
  <c r="J38" i="20"/>
  <c r="J38" i="30"/>
  <c r="G13" i="32"/>
  <c r="X38" i="20"/>
  <c r="O38" i="20"/>
  <c r="H38" i="20"/>
  <c r="H38" i="30"/>
  <c r="E13" i="32"/>
  <c r="P38" i="20"/>
  <c r="W14" i="17"/>
  <c r="X15" i="17"/>
  <c r="Y16" i="17"/>
  <c r="Z17" i="17"/>
  <c r="W10" i="17"/>
  <c r="J19" i="27"/>
  <c r="H19" i="27"/>
  <c r="K27" i="29"/>
  <c r="U38" i="20"/>
  <c r="V38" i="20"/>
  <c r="G29" i="20"/>
  <c r="I12" i="27"/>
  <c r="I14" i="27"/>
  <c r="N38" i="20"/>
  <c r="W38" i="20"/>
  <c r="R38" i="20"/>
  <c r="T38" i="20"/>
  <c r="S38" i="20"/>
  <c r="X14" i="17"/>
  <c r="Y15" i="17"/>
  <c r="Z16" i="17"/>
  <c r="X10" i="17"/>
  <c r="V7" i="33"/>
  <c r="V8" i="33"/>
  <c r="V12" i="33"/>
  <c r="U21" i="36"/>
  <c r="U22" i="36"/>
  <c r="L38" i="20"/>
  <c r="H14" i="18"/>
  <c r="H38" i="18"/>
  <c r="H15" i="18"/>
  <c r="H55" i="18"/>
  <c r="H20" i="18"/>
  <c r="H40" i="18"/>
  <c r="H45" i="18"/>
  <c r="G46" i="18"/>
  <c r="H22" i="18"/>
  <c r="H50" i="18"/>
  <c r="H19" i="18"/>
  <c r="H21" i="18"/>
  <c r="H24" i="18"/>
  <c r="H49" i="18"/>
  <c r="G41" i="18"/>
  <c r="H53" i="18"/>
  <c r="H36" i="18"/>
  <c r="H44" i="18"/>
  <c r="H54" i="18"/>
  <c r="H23" i="18"/>
  <c r="H28" i="18"/>
  <c r="G48" i="18"/>
  <c r="H13" i="18"/>
  <c r="H39" i="18"/>
  <c r="H16" i="18"/>
  <c r="G47" i="18"/>
  <c r="C8" i="19"/>
  <c r="D16" i="19"/>
  <c r="H26" i="18"/>
  <c r="H57" i="18"/>
  <c r="H52" i="18"/>
  <c r="G42" i="18"/>
  <c r="H30" i="18"/>
  <c r="H56" i="18"/>
  <c r="H25" i="18"/>
  <c r="H17" i="18"/>
  <c r="H18" i="18"/>
  <c r="H27" i="18"/>
  <c r="H33" i="18"/>
  <c r="J12" i="27"/>
  <c r="J14" i="27"/>
  <c r="J18" i="27"/>
  <c r="J20" i="27"/>
  <c r="G18" i="27"/>
  <c r="D35" i="24"/>
  <c r="D37" i="24"/>
  <c r="D58" i="24"/>
  <c r="H20" i="27"/>
  <c r="I19" i="27"/>
  <c r="G16" i="29"/>
  <c r="H16" i="29"/>
  <c r="I16" i="29"/>
  <c r="J16" i="29"/>
  <c r="L25" i="29"/>
  <c r="L18" i="29"/>
  <c r="M10" i="29"/>
  <c r="L26" i="29"/>
  <c r="L21" i="29"/>
  <c r="L30" i="29"/>
  <c r="L13" i="29"/>
  <c r="L20" i="29"/>
  <c r="L12" i="29"/>
  <c r="L29" i="29"/>
  <c r="L31" i="29"/>
  <c r="L19" i="29"/>
  <c r="L16" i="29"/>
  <c r="G20" i="27"/>
  <c r="L34" i="28"/>
  <c r="C22" i="27"/>
  <c r="D22" i="27"/>
  <c r="K34" i="29"/>
  <c r="J34" i="27"/>
  <c r="D16" i="27"/>
  <c r="J16" i="27"/>
  <c r="I21" i="27"/>
  <c r="D14" i="28"/>
  <c r="H18" i="28"/>
  <c r="G18" i="28"/>
  <c r="I18" i="28"/>
  <c r="J18" i="28"/>
  <c r="K18" i="28"/>
  <c r="L27" i="28"/>
  <c r="H21" i="28"/>
  <c r="G21" i="28"/>
  <c r="I21" i="28"/>
  <c r="J21" i="28"/>
  <c r="K21" i="28"/>
  <c r="D16" i="28"/>
  <c r="M16" i="28"/>
  <c r="C22" i="28"/>
  <c r="D22" i="28"/>
  <c r="H20" i="28"/>
  <c r="G20" i="28"/>
  <c r="I20" i="28"/>
  <c r="J20" i="28"/>
  <c r="K20" i="28"/>
  <c r="I19" i="28"/>
  <c r="H19" i="28"/>
  <c r="G19" i="28"/>
  <c r="J19" i="28"/>
  <c r="K19" i="28"/>
  <c r="L21" i="28"/>
  <c r="M30" i="28"/>
  <c r="M31" i="28"/>
  <c r="M26" i="28"/>
  <c r="M20" i="28"/>
  <c r="M12" i="28"/>
  <c r="M21" i="28"/>
  <c r="N10" i="28"/>
  <c r="M13" i="28"/>
  <c r="M19" i="28"/>
  <c r="M29" i="28"/>
  <c r="M18" i="28"/>
  <c r="M25" i="28"/>
  <c r="H12" i="28"/>
  <c r="H14" i="28"/>
  <c r="G12" i="28"/>
  <c r="G14" i="28"/>
  <c r="I12" i="28"/>
  <c r="I14" i="28"/>
  <c r="J12" i="28"/>
  <c r="J14" i="28"/>
  <c r="K12" i="28"/>
  <c r="K14" i="28"/>
  <c r="I29" i="24"/>
  <c r="H12" i="25"/>
  <c r="J27" i="27"/>
  <c r="K30" i="27"/>
  <c r="K18" i="27"/>
  <c r="K26" i="27"/>
  <c r="K29" i="27"/>
  <c r="L10" i="27"/>
  <c r="K21" i="27"/>
  <c r="K13" i="27"/>
  <c r="K12" i="27"/>
  <c r="K31" i="27"/>
  <c r="K20" i="27"/>
  <c r="K25" i="27"/>
  <c r="K19" i="27"/>
  <c r="J34" i="26"/>
  <c r="J27" i="26"/>
  <c r="G19" i="25"/>
  <c r="H19" i="25"/>
  <c r="H18" i="25"/>
  <c r="G12" i="26"/>
  <c r="G14" i="26"/>
  <c r="H12" i="26"/>
  <c r="H14" i="26"/>
  <c r="I12" i="26"/>
  <c r="I14" i="26"/>
  <c r="D14" i="25"/>
  <c r="K26" i="26"/>
  <c r="L10" i="26"/>
  <c r="K18" i="26"/>
  <c r="K30" i="26"/>
  <c r="K29" i="26"/>
  <c r="K13" i="26"/>
  <c r="K31" i="26"/>
  <c r="K21" i="26"/>
  <c r="K12" i="26"/>
  <c r="K25" i="26"/>
  <c r="K20" i="26"/>
  <c r="H21" i="25"/>
  <c r="J14" i="26"/>
  <c r="D14" i="26"/>
  <c r="G18" i="26"/>
  <c r="H18" i="26"/>
  <c r="I18" i="26"/>
  <c r="C16" i="26"/>
  <c r="C16" i="25"/>
  <c r="G20" i="26"/>
  <c r="H20" i="26"/>
  <c r="I20" i="26"/>
  <c r="G21" i="26"/>
  <c r="H21" i="26"/>
  <c r="I21" i="26"/>
  <c r="H27" i="25"/>
  <c r="H27" i="20"/>
  <c r="H34" i="25"/>
  <c r="H34" i="20"/>
  <c r="I31" i="25"/>
  <c r="I31" i="20"/>
  <c r="I19" i="25"/>
  <c r="I29" i="25"/>
  <c r="I29" i="20"/>
  <c r="I13" i="25"/>
  <c r="I13" i="20"/>
  <c r="I25" i="25"/>
  <c r="I25" i="20"/>
  <c r="J10" i="25"/>
  <c r="J10" i="20"/>
  <c r="I12" i="25"/>
  <c r="I26" i="25"/>
  <c r="I26" i="20"/>
  <c r="I18" i="25"/>
  <c r="I21" i="25"/>
  <c r="I30" i="25"/>
  <c r="I30" i="20"/>
  <c r="C20" i="19"/>
  <c r="L63" i="17" a="1"/>
  <c r="L63" i="17"/>
  <c r="L37" i="30"/>
  <c r="L62" i="17" a="1"/>
  <c r="L62" i="17"/>
  <c r="L36" i="30"/>
  <c r="L64" i="17" a="1"/>
  <c r="L64" i="17"/>
  <c r="L59" i="17" a="1"/>
  <c r="L59" i="17"/>
  <c r="L33" i="30"/>
  <c r="L58" i="17" a="1"/>
  <c r="L58" i="17"/>
  <c r="L32" i="30"/>
  <c r="O21" i="17"/>
  <c r="M20" i="17"/>
  <c r="L43" i="17" a="1"/>
  <c r="L43" i="17"/>
  <c r="L17" i="30"/>
  <c r="Q20" i="17"/>
  <c r="V17" i="17"/>
  <c r="S18" i="17"/>
  <c r="G37" i="18"/>
  <c r="H35" i="18"/>
  <c r="D60" i="24"/>
  <c r="J62" i="24"/>
  <c r="G60" i="24"/>
  <c r="I20" i="25"/>
  <c r="I20" i="20"/>
  <c r="K27" i="27"/>
  <c r="H20" i="25"/>
  <c r="H20" i="20"/>
  <c r="K19" i="26"/>
  <c r="H19" i="26"/>
  <c r="H19" i="20"/>
  <c r="I19" i="26"/>
  <c r="I19" i="20"/>
  <c r="G19" i="26"/>
  <c r="G19" i="20"/>
  <c r="G22" i="29"/>
  <c r="G23" i="29"/>
  <c r="G40" i="29"/>
  <c r="K22" i="29"/>
  <c r="K23" i="29"/>
  <c r="K40" i="29"/>
  <c r="W11" i="17"/>
  <c r="X9" i="17"/>
  <c r="U7" i="33"/>
  <c r="U8" i="33"/>
  <c r="U12" i="33"/>
  <c r="T21" i="36"/>
  <c r="P22" i="36"/>
  <c r="AB22" i="36"/>
  <c r="G84" i="37"/>
  <c r="AB21" i="36"/>
  <c r="G83" i="37"/>
  <c r="I37" i="24"/>
  <c r="I18" i="20"/>
  <c r="G20" i="20"/>
  <c r="I58" i="24"/>
  <c r="H61" i="24"/>
  <c r="L38" i="30"/>
  <c r="I13" i="32"/>
  <c r="I12" i="20"/>
  <c r="J22" i="29"/>
  <c r="J23" i="29"/>
  <c r="J40" i="29"/>
  <c r="C23" i="29"/>
  <c r="C40" i="29"/>
  <c r="D40" i="29"/>
  <c r="H22" i="29"/>
  <c r="H23" i="29"/>
  <c r="H40" i="29"/>
  <c r="I21" i="20"/>
  <c r="J22" i="27"/>
  <c r="J23" i="27"/>
  <c r="J40" i="27"/>
  <c r="G21" i="20"/>
  <c r="G18" i="20"/>
  <c r="I16" i="27"/>
  <c r="I22" i="27"/>
  <c r="I23" i="27"/>
  <c r="I40" i="27"/>
  <c r="I22" i="29"/>
  <c r="I23" i="29"/>
  <c r="I40" i="29"/>
  <c r="G16" i="27"/>
  <c r="G22" i="27"/>
  <c r="G23" i="27"/>
  <c r="G40" i="27"/>
  <c r="Y13" i="32"/>
  <c r="D25" i="37"/>
  <c r="H13" i="33"/>
  <c r="G21" i="32"/>
  <c r="D20" i="19"/>
  <c r="D14" i="19"/>
  <c r="D19" i="19"/>
  <c r="H47" i="18"/>
  <c r="C28" i="19"/>
  <c r="D28" i="19"/>
  <c r="H18" i="20"/>
  <c r="G14" i="20"/>
  <c r="H21" i="20"/>
  <c r="C27" i="19"/>
  <c r="D27" i="19"/>
  <c r="H46" i="18"/>
  <c r="G51" i="18"/>
  <c r="H14" i="25"/>
  <c r="H14" i="20"/>
  <c r="H12" i="20"/>
  <c r="H48" i="18"/>
  <c r="C29" i="19"/>
  <c r="D29" i="19"/>
  <c r="C23" i="27"/>
  <c r="L14" i="29"/>
  <c r="L27" i="29"/>
  <c r="H42" i="18"/>
  <c r="C24" i="19"/>
  <c r="D24" i="19"/>
  <c r="G8" i="19"/>
  <c r="D8" i="19"/>
  <c r="D35" i="19"/>
  <c r="D34" i="19"/>
  <c r="D15" i="19"/>
  <c r="D31" i="19"/>
  <c r="D30" i="19"/>
  <c r="D10" i="19"/>
  <c r="D36" i="19"/>
  <c r="D11" i="19"/>
  <c r="D12" i="19"/>
  <c r="D18" i="19"/>
  <c r="G43" i="18"/>
  <c r="H41" i="18"/>
  <c r="C23" i="19"/>
  <c r="D23" i="19"/>
  <c r="X11" i="17"/>
  <c r="Y9" i="17"/>
  <c r="Y11" i="17"/>
  <c r="Z9" i="17"/>
  <c r="Z11" i="17"/>
  <c r="D17" i="19"/>
  <c r="G12" i="20"/>
  <c r="L22" i="29"/>
  <c r="M27" i="28"/>
  <c r="H16" i="27"/>
  <c r="H22" i="27"/>
  <c r="H23" i="27"/>
  <c r="H40" i="27"/>
  <c r="K16" i="27"/>
  <c r="K22" i="27"/>
  <c r="M29" i="29"/>
  <c r="M31" i="29"/>
  <c r="M20" i="29"/>
  <c r="M16" i="29"/>
  <c r="M12" i="29"/>
  <c r="M25" i="29"/>
  <c r="N10" i="29"/>
  <c r="M18" i="29"/>
  <c r="M21" i="29"/>
  <c r="M26" i="29"/>
  <c r="M19" i="29"/>
  <c r="M13" i="29"/>
  <c r="M30" i="29"/>
  <c r="I35" i="24"/>
  <c r="L34" i="29"/>
  <c r="M34" i="28"/>
  <c r="K34" i="27"/>
  <c r="M14" i="28"/>
  <c r="G16" i="28"/>
  <c r="G22" i="28"/>
  <c r="G23" i="28"/>
  <c r="G40" i="28"/>
  <c r="H16" i="28"/>
  <c r="H22" i="28"/>
  <c r="H23" i="28"/>
  <c r="H40" i="28"/>
  <c r="I16" i="28"/>
  <c r="I22" i="28"/>
  <c r="I23" i="28"/>
  <c r="I40" i="28"/>
  <c r="J16" i="28"/>
  <c r="J22" i="28"/>
  <c r="J23" i="28"/>
  <c r="J40" i="28"/>
  <c r="K16" i="28"/>
  <c r="K22" i="28"/>
  <c r="K23" i="28"/>
  <c r="K40" i="28"/>
  <c r="L16" i="28"/>
  <c r="L22" i="28"/>
  <c r="L23" i="28"/>
  <c r="L40" i="28"/>
  <c r="C23" i="28"/>
  <c r="M22" i="28"/>
  <c r="O10" i="28"/>
  <c r="N25" i="28"/>
  <c r="N21" i="28"/>
  <c r="N31" i="28"/>
  <c r="N30" i="28"/>
  <c r="N13" i="28"/>
  <c r="N12" i="28"/>
  <c r="N20" i="28"/>
  <c r="N19" i="28"/>
  <c r="N18" i="28"/>
  <c r="N16" i="28"/>
  <c r="N26" i="28"/>
  <c r="N29" i="28"/>
  <c r="L26" i="27"/>
  <c r="L18" i="27"/>
  <c r="L30" i="27"/>
  <c r="L13" i="27"/>
  <c r="M10" i="27"/>
  <c r="L12" i="27"/>
  <c r="L20" i="27"/>
  <c r="L19" i="27"/>
  <c r="L21" i="27"/>
  <c r="L16" i="27"/>
  <c r="L25" i="27"/>
  <c r="L29" i="27"/>
  <c r="L31" i="27"/>
  <c r="K14" i="27"/>
  <c r="K27" i="26"/>
  <c r="K34" i="26"/>
  <c r="C22" i="26"/>
  <c r="D16" i="26"/>
  <c r="K14" i="26"/>
  <c r="L31" i="26"/>
  <c r="L30" i="26"/>
  <c r="L18" i="26"/>
  <c r="L13" i="26"/>
  <c r="M10" i="26"/>
  <c r="L26" i="26"/>
  <c r="L19" i="26"/>
  <c r="L12" i="26"/>
  <c r="L25" i="26"/>
  <c r="L21" i="26"/>
  <c r="L29" i="26"/>
  <c r="L20" i="26"/>
  <c r="C22" i="25"/>
  <c r="D16" i="25"/>
  <c r="J16" i="25"/>
  <c r="I27" i="25"/>
  <c r="I27" i="20"/>
  <c r="C21" i="19"/>
  <c r="D21" i="19"/>
  <c r="I14" i="25"/>
  <c r="I14" i="20"/>
  <c r="I34" i="25"/>
  <c r="I34" i="20"/>
  <c r="K10" i="25"/>
  <c r="K10" i="20"/>
  <c r="J26" i="25"/>
  <c r="J26" i="20"/>
  <c r="J18" i="25"/>
  <c r="J18" i="20"/>
  <c r="J13" i="25"/>
  <c r="J13" i="20"/>
  <c r="J19" i="25"/>
  <c r="J19" i="20"/>
  <c r="J25" i="25"/>
  <c r="J25" i="20"/>
  <c r="J21" i="25"/>
  <c r="J21" i="20"/>
  <c r="J12" i="25"/>
  <c r="J12" i="20"/>
  <c r="J30" i="25"/>
  <c r="J30" i="20"/>
  <c r="J20" i="25"/>
  <c r="J20" i="20"/>
  <c r="J31" i="25"/>
  <c r="J31" i="20"/>
  <c r="J29" i="25"/>
  <c r="J29" i="20"/>
  <c r="M63" i="17" a="1"/>
  <c r="M63" i="17"/>
  <c r="M37" i="30"/>
  <c r="M62" i="17" a="1"/>
  <c r="M62" i="17"/>
  <c r="M36" i="30"/>
  <c r="M64" i="17" a="1"/>
  <c r="M64" i="17"/>
  <c r="M38" i="30"/>
  <c r="J13" i="32"/>
  <c r="M58" i="17" a="1"/>
  <c r="M58" i="17"/>
  <c r="M32" i="30"/>
  <c r="M59" i="17" a="1"/>
  <c r="M59" i="17"/>
  <c r="M33" i="30"/>
  <c r="P22" i="17"/>
  <c r="R21" i="17"/>
  <c r="N21" i="17"/>
  <c r="M43" i="17" a="1"/>
  <c r="M43" i="17"/>
  <c r="M17" i="30"/>
  <c r="W18" i="17"/>
  <c r="T19" i="17"/>
  <c r="H37" i="18"/>
  <c r="M23" i="28"/>
  <c r="M40" i="28"/>
  <c r="E61" i="24"/>
  <c r="D61" i="24"/>
  <c r="G61" i="24"/>
  <c r="G7" i="36"/>
  <c r="Y21" i="32"/>
  <c r="D33" i="37"/>
  <c r="T22" i="36"/>
  <c r="AC22" i="36"/>
  <c r="H84" i="37"/>
  <c r="AC21" i="36"/>
  <c r="H83" i="37"/>
  <c r="F61" i="24"/>
  <c r="D23" i="29"/>
  <c r="L23" i="29"/>
  <c r="L40" i="29"/>
  <c r="N34" i="28"/>
  <c r="I10" i="33"/>
  <c r="I11" i="33"/>
  <c r="H15" i="35"/>
  <c r="Z15" i="35"/>
  <c r="D49" i="37"/>
  <c r="G28" i="19"/>
  <c r="G11" i="19"/>
  <c r="H43" i="18"/>
  <c r="C25" i="19"/>
  <c r="D25" i="19"/>
  <c r="H8" i="19"/>
  <c r="G18" i="19"/>
  <c r="G17" i="19"/>
  <c r="G19" i="19"/>
  <c r="G14" i="19"/>
  <c r="G16" i="19"/>
  <c r="D23" i="27"/>
  <c r="C40" i="27"/>
  <c r="D40" i="27"/>
  <c r="G27" i="19"/>
  <c r="G58" i="18"/>
  <c r="H58" i="18"/>
  <c r="L27" i="27"/>
  <c r="G10" i="19"/>
  <c r="G24" i="19"/>
  <c r="G23" i="19"/>
  <c r="G29" i="19"/>
  <c r="H51" i="18"/>
  <c r="C32" i="19"/>
  <c r="D32" i="19"/>
  <c r="N14" i="28"/>
  <c r="M14" i="29"/>
  <c r="M34" i="29"/>
  <c r="M27" i="29"/>
  <c r="M22" i="29"/>
  <c r="K23" i="27"/>
  <c r="K40" i="27"/>
  <c r="O10" i="29"/>
  <c r="N31" i="29"/>
  <c r="N18" i="29"/>
  <c r="N13" i="29"/>
  <c r="N12" i="29"/>
  <c r="N16" i="29"/>
  <c r="N20" i="29"/>
  <c r="N19" i="29"/>
  <c r="N21" i="29"/>
  <c r="N30" i="29"/>
  <c r="N25" i="29"/>
  <c r="N29" i="29"/>
  <c r="N26" i="29"/>
  <c r="L14" i="27"/>
  <c r="N22" i="28"/>
  <c r="N27" i="28"/>
  <c r="D23" i="28"/>
  <c r="C40" i="28"/>
  <c r="D40" i="28"/>
  <c r="O30" i="28"/>
  <c r="O26" i="28"/>
  <c r="O12" i="28"/>
  <c r="O29" i="28"/>
  <c r="O25" i="28"/>
  <c r="P10" i="28"/>
  <c r="O19" i="28"/>
  <c r="O13" i="28"/>
  <c r="O21" i="28"/>
  <c r="O31" i="28"/>
  <c r="O20" i="28"/>
  <c r="O18" i="28"/>
  <c r="O16" i="28"/>
  <c r="L22" i="27"/>
  <c r="M30" i="27"/>
  <c r="M31" i="27"/>
  <c r="M18" i="27"/>
  <c r="M19" i="27"/>
  <c r="M26" i="27"/>
  <c r="N10" i="27"/>
  <c r="M13" i="27"/>
  <c r="M25" i="27"/>
  <c r="M21" i="27"/>
  <c r="M16" i="27"/>
  <c r="M12" i="27"/>
  <c r="M20" i="27"/>
  <c r="M29" i="27"/>
  <c r="L34" i="27"/>
  <c r="L14" i="26"/>
  <c r="G16" i="25"/>
  <c r="H16" i="25"/>
  <c r="I16" i="25"/>
  <c r="C23" i="25"/>
  <c r="D22" i="25"/>
  <c r="G16" i="26"/>
  <c r="G22" i="26"/>
  <c r="G23" i="26"/>
  <c r="G40" i="26"/>
  <c r="H16" i="26"/>
  <c r="H22" i="26"/>
  <c r="H23" i="26"/>
  <c r="H40" i="26"/>
  <c r="I16" i="26"/>
  <c r="I22" i="26"/>
  <c r="I23" i="26"/>
  <c r="I40" i="26"/>
  <c r="J16" i="26"/>
  <c r="J22" i="26"/>
  <c r="J23" i="26"/>
  <c r="J40" i="26"/>
  <c r="K16" i="26"/>
  <c r="K22" i="26"/>
  <c r="K23" i="26"/>
  <c r="K40" i="26"/>
  <c r="L34" i="26"/>
  <c r="L16" i="26"/>
  <c r="L22" i="26"/>
  <c r="L27" i="26"/>
  <c r="M30" i="26"/>
  <c r="M31" i="26"/>
  <c r="M18" i="26"/>
  <c r="M26" i="26"/>
  <c r="M19" i="26"/>
  <c r="M20" i="26"/>
  <c r="N10" i="26"/>
  <c r="M12" i="26"/>
  <c r="M16" i="26"/>
  <c r="M21" i="26"/>
  <c r="M25" i="26"/>
  <c r="M29" i="26"/>
  <c r="M13" i="26"/>
  <c r="D22" i="26"/>
  <c r="C23" i="26"/>
  <c r="J14" i="25"/>
  <c r="J14" i="20"/>
  <c r="J34" i="25"/>
  <c r="J34" i="20"/>
  <c r="J22" i="25"/>
  <c r="J27" i="25"/>
  <c r="J27" i="20"/>
  <c r="K31" i="25"/>
  <c r="K31" i="20"/>
  <c r="K19" i="25"/>
  <c r="K19" i="20"/>
  <c r="K25" i="25"/>
  <c r="K25" i="20"/>
  <c r="K29" i="25"/>
  <c r="K29" i="20"/>
  <c r="L10" i="25"/>
  <c r="L10" i="20"/>
  <c r="K16" i="25"/>
  <c r="K30" i="25"/>
  <c r="K30" i="20"/>
  <c r="K12" i="25"/>
  <c r="K12" i="20"/>
  <c r="K21" i="25"/>
  <c r="K21" i="20"/>
  <c r="K20" i="25"/>
  <c r="K20" i="20"/>
  <c r="K13" i="25"/>
  <c r="K13" i="20"/>
  <c r="K18" i="25"/>
  <c r="K18" i="20"/>
  <c r="K26" i="25"/>
  <c r="K26" i="20"/>
  <c r="N63" i="17" a="1"/>
  <c r="N63" i="17"/>
  <c r="N37" i="30"/>
  <c r="N64" i="17" a="1"/>
  <c r="N64" i="17"/>
  <c r="N38" i="30"/>
  <c r="K13" i="32"/>
  <c r="N62" i="17" a="1"/>
  <c r="N62" i="17"/>
  <c r="N36" i="30"/>
  <c r="N59" i="17" a="1"/>
  <c r="N59" i="17"/>
  <c r="N33" i="30"/>
  <c r="N58" i="17" a="1"/>
  <c r="N58" i="17"/>
  <c r="N32" i="30"/>
  <c r="Q23" i="17"/>
  <c r="S22" i="17"/>
  <c r="O22" i="17"/>
  <c r="N43" i="17" a="1"/>
  <c r="N43" i="17"/>
  <c r="N17" i="30"/>
  <c r="U20" i="17"/>
  <c r="X19" i="17"/>
  <c r="N23" i="28"/>
  <c r="N40" i="28"/>
  <c r="L23" i="26"/>
  <c r="L40" i="26"/>
  <c r="K16" i="20"/>
  <c r="M14" i="27"/>
  <c r="N14" i="29"/>
  <c r="N22" i="29"/>
  <c r="I13" i="33"/>
  <c r="H21" i="32"/>
  <c r="C38" i="19"/>
  <c r="D38" i="19"/>
  <c r="G12" i="19"/>
  <c r="G25" i="19"/>
  <c r="H22" i="25"/>
  <c r="H16" i="20"/>
  <c r="G22" i="25"/>
  <c r="G16" i="20"/>
  <c r="J16" i="20"/>
  <c r="J22" i="20"/>
  <c r="J23" i="20"/>
  <c r="J40" i="20"/>
  <c r="I22" i="25"/>
  <c r="I16" i="20"/>
  <c r="G32" i="19"/>
  <c r="G20" i="19"/>
  <c r="I8" i="19"/>
  <c r="H28" i="19"/>
  <c r="H29" i="19"/>
  <c r="H27" i="19"/>
  <c r="H10" i="19"/>
  <c r="H24" i="19"/>
  <c r="H11" i="19"/>
  <c r="H23" i="19"/>
  <c r="H18" i="19"/>
  <c r="H16" i="19"/>
  <c r="H14" i="19"/>
  <c r="H17" i="19"/>
  <c r="H19" i="19"/>
  <c r="M23" i="29"/>
  <c r="M40" i="29"/>
  <c r="O27" i="28"/>
  <c r="O34" i="28"/>
  <c r="L23" i="27"/>
  <c r="L40" i="27"/>
  <c r="O29" i="29"/>
  <c r="O25" i="29"/>
  <c r="O18" i="29"/>
  <c r="P10" i="29"/>
  <c r="O16" i="29"/>
  <c r="O20" i="29"/>
  <c r="O12" i="29"/>
  <c r="O31" i="29"/>
  <c r="O13" i="29"/>
  <c r="O19" i="29"/>
  <c r="O21" i="29"/>
  <c r="O26" i="29"/>
  <c r="O30" i="29"/>
  <c r="N34" i="29"/>
  <c r="M22" i="27"/>
  <c r="N27" i="29"/>
  <c r="O22" i="28"/>
  <c r="M27" i="27"/>
  <c r="Q10" i="28"/>
  <c r="P30" i="28"/>
  <c r="P19" i="28"/>
  <c r="P20" i="28"/>
  <c r="P26" i="28"/>
  <c r="P12" i="28"/>
  <c r="P16" i="28"/>
  <c r="P31" i="28"/>
  <c r="P25" i="28"/>
  <c r="P18" i="28"/>
  <c r="P13" i="28"/>
  <c r="P21" i="28"/>
  <c r="P29" i="28"/>
  <c r="O14" i="28"/>
  <c r="M34" i="27"/>
  <c r="O10" i="27"/>
  <c r="N20" i="27"/>
  <c r="N19" i="27"/>
  <c r="N21" i="27"/>
  <c r="N31" i="27"/>
  <c r="N30" i="27"/>
  <c r="N18" i="27"/>
  <c r="N13" i="27"/>
  <c r="N25" i="27"/>
  <c r="N12" i="27"/>
  <c r="N16" i="27"/>
  <c r="N26" i="27"/>
  <c r="N29" i="27"/>
  <c r="M22" i="26"/>
  <c r="M34" i="26"/>
  <c r="D23" i="26"/>
  <c r="C40" i="26"/>
  <c r="D40" i="26"/>
  <c r="M27" i="26"/>
  <c r="O10" i="26"/>
  <c r="N13" i="26"/>
  <c r="N16" i="26"/>
  <c r="N29" i="26"/>
  <c r="N21" i="26"/>
  <c r="N20" i="26"/>
  <c r="N19" i="26"/>
  <c r="N26" i="26"/>
  <c r="N31" i="26"/>
  <c r="N12" i="26"/>
  <c r="N18" i="26"/>
  <c r="N25" i="26"/>
  <c r="N30" i="26"/>
  <c r="C40" i="25"/>
  <c r="D40" i="25"/>
  <c r="D23" i="25"/>
  <c r="M14" i="26"/>
  <c r="J23" i="25"/>
  <c r="J40" i="25"/>
  <c r="K14" i="25"/>
  <c r="K14" i="20"/>
  <c r="K34" i="25"/>
  <c r="K34" i="20"/>
  <c r="M10" i="25"/>
  <c r="M10" i="20"/>
  <c r="L30" i="25"/>
  <c r="L30" i="20"/>
  <c r="L19" i="25"/>
  <c r="L19" i="20"/>
  <c r="L18" i="25"/>
  <c r="L18" i="20"/>
  <c r="L12" i="25"/>
  <c r="L12" i="20"/>
  <c r="L13" i="25"/>
  <c r="L13" i="20"/>
  <c r="L31" i="25"/>
  <c r="L31" i="20"/>
  <c r="L16" i="25"/>
  <c r="L16" i="20"/>
  <c r="L25" i="25"/>
  <c r="L25" i="20"/>
  <c r="L20" i="25"/>
  <c r="L20" i="20"/>
  <c r="L21" i="25"/>
  <c r="L21" i="20"/>
  <c r="L29" i="25"/>
  <c r="L29" i="20"/>
  <c r="L26" i="25"/>
  <c r="L26" i="20"/>
  <c r="K22" i="25"/>
  <c r="K22" i="20"/>
  <c r="K27" i="25"/>
  <c r="K27" i="20"/>
  <c r="O63" i="17" a="1"/>
  <c r="O63" i="17"/>
  <c r="O37" i="30"/>
  <c r="O64" i="17" a="1"/>
  <c r="O64" i="17"/>
  <c r="O38" i="30"/>
  <c r="L13" i="32"/>
  <c r="O62" i="17" a="1"/>
  <c r="O62" i="17"/>
  <c r="O36" i="30"/>
  <c r="O58" i="17" a="1"/>
  <c r="O58" i="17"/>
  <c r="O32" i="30"/>
  <c r="O59" i="17" a="1"/>
  <c r="O59" i="17"/>
  <c r="O33" i="30"/>
  <c r="R24" i="17"/>
  <c r="T23" i="17"/>
  <c r="P23" i="17"/>
  <c r="O43" i="17" a="1"/>
  <c r="O43" i="17"/>
  <c r="O17" i="30"/>
  <c r="V21" i="17"/>
  <c r="Y20" i="17"/>
  <c r="M23" i="26"/>
  <c r="M40" i="26"/>
  <c r="N27" i="26"/>
  <c r="N14" i="26"/>
  <c r="H7" i="36"/>
  <c r="M23" i="27"/>
  <c r="M40" i="27"/>
  <c r="N23" i="29"/>
  <c r="N40" i="29"/>
  <c r="P27" i="28"/>
  <c r="O27" i="29"/>
  <c r="J10" i="33"/>
  <c r="J11" i="33"/>
  <c r="I15" i="35"/>
  <c r="G21" i="19"/>
  <c r="G38" i="19"/>
  <c r="H12" i="19"/>
  <c r="K23" i="20"/>
  <c r="K40" i="20"/>
  <c r="H25" i="19"/>
  <c r="H32" i="19"/>
  <c r="I27" i="19"/>
  <c r="I24" i="19"/>
  <c r="J8" i="19"/>
  <c r="I23" i="19"/>
  <c r="I10" i="19"/>
  <c r="I11" i="19"/>
  <c r="I29" i="19"/>
  <c r="I28" i="19"/>
  <c r="I18" i="19"/>
  <c r="I14" i="19"/>
  <c r="I16" i="19"/>
  <c r="I19" i="19"/>
  <c r="I17" i="19"/>
  <c r="I23" i="25"/>
  <c r="I40" i="25"/>
  <c r="I22" i="20"/>
  <c r="I23" i="20"/>
  <c r="I40" i="20"/>
  <c r="G23" i="25"/>
  <c r="G40" i="25"/>
  <c r="G22" i="20"/>
  <c r="G23" i="20"/>
  <c r="G40" i="20"/>
  <c r="H20" i="19"/>
  <c r="H23" i="25"/>
  <c r="H40" i="25"/>
  <c r="H22" i="20"/>
  <c r="H23" i="20"/>
  <c r="H40" i="20"/>
  <c r="O22" i="29"/>
  <c r="P34" i="28"/>
  <c r="P22" i="28"/>
  <c r="O34" i="29"/>
  <c r="O14" i="29"/>
  <c r="P25" i="29"/>
  <c r="P18" i="29"/>
  <c r="Q10" i="29"/>
  <c r="P26" i="29"/>
  <c r="P30" i="29"/>
  <c r="P13" i="29"/>
  <c r="P16" i="29"/>
  <c r="P19" i="29"/>
  <c r="P12" i="29"/>
  <c r="P20" i="29"/>
  <c r="P21" i="29"/>
  <c r="P29" i="29"/>
  <c r="P31" i="29"/>
  <c r="Q30" i="28"/>
  <c r="Q26" i="28"/>
  <c r="Q20" i="28"/>
  <c r="Q21" i="28"/>
  <c r="R10" i="28"/>
  <c r="Q12" i="28"/>
  <c r="Q31" i="28"/>
  <c r="Q16" i="28"/>
  <c r="Q29" i="28"/>
  <c r="Q18" i="28"/>
  <c r="Q25" i="28"/>
  <c r="Q13" i="28"/>
  <c r="Q19" i="28"/>
  <c r="N34" i="27"/>
  <c r="N27" i="27"/>
  <c r="N22" i="27"/>
  <c r="P14" i="28"/>
  <c r="O23" i="28"/>
  <c r="O40" i="28"/>
  <c r="O30" i="27"/>
  <c r="O18" i="27"/>
  <c r="O29" i="27"/>
  <c r="O26" i="27"/>
  <c r="O21" i="27"/>
  <c r="O13" i="27"/>
  <c r="O12" i="27"/>
  <c r="P10" i="27"/>
  <c r="O20" i="27"/>
  <c r="O16" i="27"/>
  <c r="O31" i="27"/>
  <c r="O25" i="27"/>
  <c r="O19" i="27"/>
  <c r="N14" i="27"/>
  <c r="N34" i="26"/>
  <c r="O30" i="26"/>
  <c r="O26" i="26"/>
  <c r="O18" i="26"/>
  <c r="P10" i="26"/>
  <c r="O25" i="26"/>
  <c r="O16" i="26"/>
  <c r="O12" i="26"/>
  <c r="O13" i="26"/>
  <c r="O20" i="26"/>
  <c r="O29" i="26"/>
  <c r="O21" i="26"/>
  <c r="O19" i="26"/>
  <c r="O31" i="26"/>
  <c r="N22" i="26"/>
  <c r="K23" i="25"/>
  <c r="K40" i="25"/>
  <c r="L27" i="25"/>
  <c r="L27" i="20"/>
  <c r="L14" i="25"/>
  <c r="L14" i="20"/>
  <c r="M31" i="25"/>
  <c r="M31" i="20"/>
  <c r="M25" i="25"/>
  <c r="M25" i="20"/>
  <c r="M29" i="25"/>
  <c r="M29" i="20"/>
  <c r="M19" i="25"/>
  <c r="M19" i="20"/>
  <c r="M13" i="25"/>
  <c r="M13" i="20"/>
  <c r="N10" i="25"/>
  <c r="N10" i="20"/>
  <c r="M18" i="25"/>
  <c r="M18" i="20"/>
  <c r="M30" i="25"/>
  <c r="M30" i="20"/>
  <c r="M16" i="25"/>
  <c r="M16" i="20"/>
  <c r="M12" i="25"/>
  <c r="M12" i="20"/>
  <c r="M21" i="25"/>
  <c r="M21" i="20"/>
  <c r="M20" i="25"/>
  <c r="M20" i="20"/>
  <c r="M26" i="25"/>
  <c r="M26" i="20"/>
  <c r="L34" i="25"/>
  <c r="L34" i="20"/>
  <c r="L22" i="25"/>
  <c r="L22" i="20"/>
  <c r="P63" i="17" a="1"/>
  <c r="P63" i="17"/>
  <c r="P37" i="30"/>
  <c r="P62" i="17" a="1"/>
  <c r="P62" i="17"/>
  <c r="P36" i="30"/>
  <c r="P64" i="17" a="1"/>
  <c r="P64" i="17"/>
  <c r="P38" i="30"/>
  <c r="M13" i="32"/>
  <c r="P59" i="17" a="1"/>
  <c r="P59" i="17"/>
  <c r="P33" i="30"/>
  <c r="P58" i="17" a="1"/>
  <c r="P58" i="17"/>
  <c r="P32" i="30"/>
  <c r="S25" i="17"/>
  <c r="U24" i="17"/>
  <c r="Q24" i="17"/>
  <c r="P43" i="17" a="1"/>
  <c r="P43" i="17"/>
  <c r="P17" i="30"/>
  <c r="W22" i="17"/>
  <c r="Z21" i="17"/>
  <c r="N23" i="27"/>
  <c r="N40" i="27"/>
  <c r="P23" i="28"/>
  <c r="P40" i="28"/>
  <c r="O27" i="27"/>
  <c r="N23" i="26"/>
  <c r="N40" i="26"/>
  <c r="Q27" i="28"/>
  <c r="O23" i="29"/>
  <c r="O40" i="29"/>
  <c r="J13" i="33"/>
  <c r="I21" i="32"/>
  <c r="I25" i="19"/>
  <c r="H21" i="19"/>
  <c r="H38" i="19"/>
  <c r="J28" i="19"/>
  <c r="J11" i="19"/>
  <c r="J27" i="19"/>
  <c r="J18" i="19"/>
  <c r="J29" i="19"/>
  <c r="J10" i="19"/>
  <c r="J24" i="19"/>
  <c r="K8" i="19"/>
  <c r="J23" i="19"/>
  <c r="J17" i="19"/>
  <c r="J19" i="19"/>
  <c r="J16" i="19"/>
  <c r="J14" i="19"/>
  <c r="L23" i="20"/>
  <c r="L40" i="20"/>
  <c r="I20" i="19"/>
  <c r="I12" i="19"/>
  <c r="I32" i="19"/>
  <c r="P34" i="29"/>
  <c r="P22" i="29"/>
  <c r="Q29" i="29"/>
  <c r="Q25" i="29"/>
  <c r="Q20" i="29"/>
  <c r="Q16" i="29"/>
  <c r="Q12" i="29"/>
  <c r="R10" i="29"/>
  <c r="Q31" i="29"/>
  <c r="Q18" i="29"/>
  <c r="Q21" i="29"/>
  <c r="Q30" i="29"/>
  <c r="Q19" i="29"/>
  <c r="Q26" i="29"/>
  <c r="Q13" i="29"/>
  <c r="Q34" i="28"/>
  <c r="O34" i="26"/>
  <c r="O22" i="27"/>
  <c r="P14" i="29"/>
  <c r="P27" i="29"/>
  <c r="O14" i="27"/>
  <c r="Q14" i="28"/>
  <c r="O22" i="26"/>
  <c r="S10" i="28"/>
  <c r="R13" i="28"/>
  <c r="R18" i="28"/>
  <c r="R12" i="28"/>
  <c r="R16" i="28"/>
  <c r="R25" i="28"/>
  <c r="R26" i="28"/>
  <c r="R29" i="28"/>
  <c r="R21" i="28"/>
  <c r="R31" i="28"/>
  <c r="R30" i="28"/>
  <c r="R20" i="28"/>
  <c r="R19" i="28"/>
  <c r="Q22" i="28"/>
  <c r="O34" i="27"/>
  <c r="P26" i="27"/>
  <c r="P30" i="27"/>
  <c r="P13" i="27"/>
  <c r="Q10" i="27"/>
  <c r="P25" i="27"/>
  <c r="P18" i="27"/>
  <c r="P29" i="27"/>
  <c r="P31" i="27"/>
  <c r="P16" i="27"/>
  <c r="P12" i="27"/>
  <c r="P20" i="27"/>
  <c r="P21" i="27"/>
  <c r="P19" i="27"/>
  <c r="O27" i="26"/>
  <c r="P31" i="26"/>
  <c r="P30" i="26"/>
  <c r="P26" i="26"/>
  <c r="P18" i="26"/>
  <c r="Q10" i="26"/>
  <c r="P19" i="26"/>
  <c r="P25" i="26"/>
  <c r="P12" i="26"/>
  <c r="P21" i="26"/>
  <c r="P16" i="26"/>
  <c r="P13" i="26"/>
  <c r="P29" i="26"/>
  <c r="P20" i="26"/>
  <c r="O14" i="26"/>
  <c r="L23" i="25"/>
  <c r="L40" i="25"/>
  <c r="M14" i="25"/>
  <c r="M14" i="20"/>
  <c r="M27" i="25"/>
  <c r="M27" i="20"/>
  <c r="M34" i="25"/>
  <c r="M34" i="20"/>
  <c r="O10" i="25"/>
  <c r="O10" i="20"/>
  <c r="N18" i="25"/>
  <c r="N18" i="20"/>
  <c r="N13" i="25"/>
  <c r="N13" i="20"/>
  <c r="N20" i="25"/>
  <c r="N20" i="20"/>
  <c r="N21" i="25"/>
  <c r="N21" i="20"/>
  <c r="N16" i="25"/>
  <c r="N16" i="20"/>
  <c r="N19" i="25"/>
  <c r="N19" i="20"/>
  <c r="N31" i="25"/>
  <c r="N31" i="20"/>
  <c r="N25" i="25"/>
  <c r="N25" i="20"/>
  <c r="N29" i="25"/>
  <c r="N29" i="20"/>
  <c r="N12" i="25"/>
  <c r="N12" i="20"/>
  <c r="N26" i="25"/>
  <c r="N26" i="20"/>
  <c r="N30" i="25"/>
  <c r="N30" i="20"/>
  <c r="M22" i="25"/>
  <c r="Q63" i="17" a="1"/>
  <c r="Q63" i="17"/>
  <c r="Q37" i="30"/>
  <c r="Q62" i="17" a="1"/>
  <c r="Q62" i="17"/>
  <c r="Q36" i="30"/>
  <c r="Q64" i="17" a="1"/>
  <c r="Q64" i="17"/>
  <c r="Q38" i="30"/>
  <c r="N13" i="32"/>
  <c r="T26" i="17"/>
  <c r="Q58" i="17" a="1"/>
  <c r="Q58" i="17"/>
  <c r="Q32" i="30"/>
  <c r="Q59" i="17" a="1"/>
  <c r="Q59" i="17"/>
  <c r="Q33" i="30"/>
  <c r="R25" i="17"/>
  <c r="Q43" i="17" a="1"/>
  <c r="Q43" i="17"/>
  <c r="Q17" i="30"/>
  <c r="V25" i="17"/>
  <c r="X23" i="17"/>
  <c r="P27" i="26"/>
  <c r="P27" i="27"/>
  <c r="I7" i="36"/>
  <c r="O23" i="26"/>
  <c r="O40" i="26"/>
  <c r="K10" i="33"/>
  <c r="K11" i="33"/>
  <c r="J15" i="35"/>
  <c r="J32" i="19"/>
  <c r="J12" i="19"/>
  <c r="M23" i="25"/>
  <c r="M40" i="25"/>
  <c r="M22" i="20"/>
  <c r="M23" i="20"/>
  <c r="M40" i="20"/>
  <c r="P14" i="27"/>
  <c r="K28" i="19"/>
  <c r="K24" i="19"/>
  <c r="K17" i="19"/>
  <c r="K10" i="19"/>
  <c r="K29" i="19"/>
  <c r="K11" i="19"/>
  <c r="K16" i="19"/>
  <c r="K27" i="19"/>
  <c r="K19" i="19"/>
  <c r="K14" i="19"/>
  <c r="K23" i="19"/>
  <c r="K18" i="19"/>
  <c r="L8" i="19"/>
  <c r="I21" i="19"/>
  <c r="I38" i="19"/>
  <c r="J20" i="19"/>
  <c r="J25" i="19"/>
  <c r="S10" i="29"/>
  <c r="R21" i="29"/>
  <c r="R26" i="29"/>
  <c r="R31" i="29"/>
  <c r="R19" i="29"/>
  <c r="R18" i="29"/>
  <c r="R13" i="29"/>
  <c r="R12" i="29"/>
  <c r="R16" i="29"/>
  <c r="R20" i="29"/>
  <c r="R30" i="29"/>
  <c r="R25" i="29"/>
  <c r="R29" i="29"/>
  <c r="Q27" i="29"/>
  <c r="Q14" i="29"/>
  <c r="Q34" i="29"/>
  <c r="Q23" i="28"/>
  <c r="Q40" i="28"/>
  <c r="R27" i="28"/>
  <c r="O23" i="27"/>
  <c r="O40" i="27"/>
  <c r="Q22" i="29"/>
  <c r="P23" i="29"/>
  <c r="P40" i="29"/>
  <c r="P22" i="26"/>
  <c r="R34" i="28"/>
  <c r="R14" i="28"/>
  <c r="P22" i="27"/>
  <c r="R22" i="28"/>
  <c r="S30" i="28"/>
  <c r="S29" i="28"/>
  <c r="S12" i="28"/>
  <c r="S26" i="28"/>
  <c r="S19" i="28"/>
  <c r="T10" i="28"/>
  <c r="S25" i="28"/>
  <c r="S16" i="28"/>
  <c r="S20" i="28"/>
  <c r="S21" i="28"/>
  <c r="S13" i="28"/>
  <c r="S18" i="28"/>
  <c r="S31" i="28"/>
  <c r="Q30" i="27"/>
  <c r="Q26" i="27"/>
  <c r="Q18" i="27"/>
  <c r="Q19" i="27"/>
  <c r="R10" i="27"/>
  <c r="Q31" i="27"/>
  <c r="Q21" i="27"/>
  <c r="Q29" i="27"/>
  <c r="Q16" i="27"/>
  <c r="Q13" i="27"/>
  <c r="Q12" i="27"/>
  <c r="Q20" i="27"/>
  <c r="Q25" i="27"/>
  <c r="P34" i="27"/>
  <c r="P14" i="26"/>
  <c r="Q30" i="26"/>
  <c r="Q18" i="26"/>
  <c r="Q19" i="26"/>
  <c r="Q26" i="26"/>
  <c r="Q31" i="26"/>
  <c r="Q20" i="26"/>
  <c r="R10" i="26"/>
  <c r="Q21" i="26"/>
  <c r="Q25" i="26"/>
  <c r="Q29" i="26"/>
  <c r="Q16" i="26"/>
  <c r="Q12" i="26"/>
  <c r="Q13" i="26"/>
  <c r="P34" i="26"/>
  <c r="N14" i="25"/>
  <c r="N14" i="20"/>
  <c r="N34" i="25"/>
  <c r="N34" i="20"/>
  <c r="N22" i="25"/>
  <c r="N22" i="20"/>
  <c r="N27" i="25"/>
  <c r="N27" i="20"/>
  <c r="O31" i="25"/>
  <c r="O31" i="20"/>
  <c r="O29" i="25"/>
  <c r="O29" i="20"/>
  <c r="O19" i="25"/>
  <c r="O19" i="20"/>
  <c r="O25" i="25"/>
  <c r="O25" i="20"/>
  <c r="P10" i="25"/>
  <c r="P10" i="20"/>
  <c r="O18" i="25"/>
  <c r="O18" i="20"/>
  <c r="O13" i="25"/>
  <c r="O13" i="20"/>
  <c r="O12" i="25"/>
  <c r="O12" i="20"/>
  <c r="O16" i="25"/>
  <c r="O16" i="20"/>
  <c r="O26" i="25"/>
  <c r="O26" i="20"/>
  <c r="O30" i="25"/>
  <c r="O30" i="20"/>
  <c r="O20" i="25"/>
  <c r="O20" i="20"/>
  <c r="O21" i="25"/>
  <c r="O21" i="20"/>
  <c r="R62" i="17" a="1"/>
  <c r="R62" i="17"/>
  <c r="R36" i="30"/>
  <c r="R64" i="17" a="1"/>
  <c r="R64" i="17"/>
  <c r="R38" i="30"/>
  <c r="O13" i="32"/>
  <c r="R63" i="17" a="1"/>
  <c r="R63" i="17"/>
  <c r="R37" i="30"/>
  <c r="R58" i="17" a="1"/>
  <c r="R58" i="17"/>
  <c r="R32" i="30"/>
  <c r="R59" i="17" a="1"/>
  <c r="R59" i="17"/>
  <c r="R33" i="30"/>
  <c r="U27" i="17"/>
  <c r="W26" i="17"/>
  <c r="S26" i="17"/>
  <c r="R43" i="17" a="1"/>
  <c r="R43" i="17"/>
  <c r="R17" i="30"/>
  <c r="Y24" i="17"/>
  <c r="P23" i="26"/>
  <c r="P40" i="26"/>
  <c r="P23" i="27"/>
  <c r="P40" i="27"/>
  <c r="K13" i="33"/>
  <c r="J21" i="32"/>
  <c r="K12" i="19"/>
  <c r="J21" i="19"/>
  <c r="J38" i="19"/>
  <c r="K25" i="19"/>
  <c r="L28" i="19"/>
  <c r="L11" i="19"/>
  <c r="L16" i="19"/>
  <c r="L29" i="19"/>
  <c r="L23" i="19"/>
  <c r="L17" i="19"/>
  <c r="L10" i="19"/>
  <c r="L27" i="19"/>
  <c r="L19" i="19"/>
  <c r="L14" i="19"/>
  <c r="L24" i="19"/>
  <c r="L18" i="19"/>
  <c r="M8" i="19"/>
  <c r="K32" i="19"/>
  <c r="N23" i="20"/>
  <c r="N40" i="20"/>
  <c r="Q27" i="26"/>
  <c r="Q23" i="29"/>
  <c r="Q40" i="29"/>
  <c r="R27" i="29"/>
  <c r="R14" i="29"/>
  <c r="K20" i="19"/>
  <c r="S27" i="28"/>
  <c r="R23" i="28"/>
  <c r="R40" i="28"/>
  <c r="R34" i="29"/>
  <c r="R22" i="29"/>
  <c r="S29" i="29"/>
  <c r="S18" i="29"/>
  <c r="T10" i="29"/>
  <c r="S20" i="29"/>
  <c r="S25" i="29"/>
  <c r="S12" i="29"/>
  <c r="S16" i="29"/>
  <c r="S26" i="29"/>
  <c r="S30" i="29"/>
  <c r="S31" i="29"/>
  <c r="S19" i="29"/>
  <c r="S21" i="29"/>
  <c r="S13" i="29"/>
  <c r="S34" i="28"/>
  <c r="S22" i="28"/>
  <c r="Q34" i="26"/>
  <c r="T26" i="28"/>
  <c r="T30" i="28"/>
  <c r="U10" i="28"/>
  <c r="T25" i="28"/>
  <c r="T19" i="28"/>
  <c r="T12" i="28"/>
  <c r="T16" i="28"/>
  <c r="T20" i="28"/>
  <c r="T29" i="28"/>
  <c r="T18" i="28"/>
  <c r="T31" i="28"/>
  <c r="T13" i="28"/>
  <c r="T21" i="28"/>
  <c r="S14" i="28"/>
  <c r="Q27" i="27"/>
  <c r="Q22" i="27"/>
  <c r="S10" i="27"/>
  <c r="R20" i="27"/>
  <c r="R12" i="27"/>
  <c r="R26" i="27"/>
  <c r="R29" i="27"/>
  <c r="R19" i="27"/>
  <c r="R21" i="27"/>
  <c r="R31" i="27"/>
  <c r="R30" i="27"/>
  <c r="R25" i="27"/>
  <c r="R16" i="27"/>
  <c r="R18" i="27"/>
  <c r="R13" i="27"/>
  <c r="Q34" i="27"/>
  <c r="Q14" i="27"/>
  <c r="Q14" i="26"/>
  <c r="Q22" i="26"/>
  <c r="R13" i="26"/>
  <c r="S10" i="26"/>
  <c r="R16" i="26"/>
  <c r="R21" i="26"/>
  <c r="R31" i="26"/>
  <c r="R20" i="26"/>
  <c r="R19" i="26"/>
  <c r="R26" i="26"/>
  <c r="R12" i="26"/>
  <c r="R25" i="26"/>
  <c r="R18" i="26"/>
  <c r="R29" i="26"/>
  <c r="R30" i="26"/>
  <c r="N23" i="25"/>
  <c r="N40" i="25"/>
  <c r="O22" i="25"/>
  <c r="O22" i="20"/>
  <c r="P30" i="25"/>
  <c r="P30" i="20"/>
  <c r="Q10" i="25"/>
  <c r="Q10" i="20"/>
  <c r="P26" i="25"/>
  <c r="P26" i="20"/>
  <c r="P19" i="25"/>
  <c r="P19" i="20"/>
  <c r="P20" i="25"/>
  <c r="P20" i="20"/>
  <c r="P21" i="25"/>
  <c r="P21" i="20"/>
  <c r="P12" i="25"/>
  <c r="P12" i="20"/>
  <c r="P31" i="25"/>
  <c r="P31" i="20"/>
  <c r="P13" i="25"/>
  <c r="P13" i="20"/>
  <c r="P18" i="25"/>
  <c r="P18" i="20"/>
  <c r="P29" i="25"/>
  <c r="P29" i="20"/>
  <c r="P16" i="25"/>
  <c r="P16" i="20"/>
  <c r="P25" i="25"/>
  <c r="P25" i="20"/>
  <c r="O34" i="25"/>
  <c r="O34" i="20"/>
  <c r="O14" i="25"/>
  <c r="O14" i="20"/>
  <c r="O27" i="25"/>
  <c r="O27" i="20"/>
  <c r="S62" i="17" a="1"/>
  <c r="S62" i="17"/>
  <c r="S36" i="30"/>
  <c r="S64" i="17" a="1"/>
  <c r="S64" i="17"/>
  <c r="S38" i="30"/>
  <c r="P13" i="32"/>
  <c r="S63" i="17" a="1"/>
  <c r="S63" i="17"/>
  <c r="S37" i="30"/>
  <c r="S59" i="17" a="1"/>
  <c r="S59" i="17"/>
  <c r="S33" i="30"/>
  <c r="S58" i="17" a="1"/>
  <c r="S58" i="17"/>
  <c r="S32" i="30"/>
  <c r="V28" i="17"/>
  <c r="X27" i="17"/>
  <c r="T27" i="17"/>
  <c r="S43" i="17" a="1"/>
  <c r="S43" i="17"/>
  <c r="S17" i="30"/>
  <c r="Z25" i="17"/>
  <c r="R14" i="26"/>
  <c r="J7" i="36"/>
  <c r="R23" i="29"/>
  <c r="R40" i="29"/>
  <c r="L10" i="33"/>
  <c r="L11" i="33"/>
  <c r="K15" i="35"/>
  <c r="K21" i="19"/>
  <c r="K38" i="19"/>
  <c r="L12" i="19"/>
  <c r="L32" i="19"/>
  <c r="L20" i="19"/>
  <c r="O23" i="20"/>
  <c r="O40" i="20"/>
  <c r="M29" i="19"/>
  <c r="M23" i="19"/>
  <c r="M17" i="19"/>
  <c r="M10" i="19"/>
  <c r="M28" i="19"/>
  <c r="M11" i="19"/>
  <c r="M16" i="19"/>
  <c r="M27" i="19"/>
  <c r="M19" i="19"/>
  <c r="M14" i="19"/>
  <c r="M24" i="19"/>
  <c r="M18" i="19"/>
  <c r="N8" i="19"/>
  <c r="L25" i="19"/>
  <c r="S27" i="29"/>
  <c r="R22" i="27"/>
  <c r="T27" i="28"/>
  <c r="S34" i="29"/>
  <c r="S22" i="29"/>
  <c r="T25" i="29"/>
  <c r="T26" i="29"/>
  <c r="T18" i="29"/>
  <c r="U10" i="29"/>
  <c r="T30" i="29"/>
  <c r="T13" i="29"/>
  <c r="T21" i="29"/>
  <c r="T29" i="29"/>
  <c r="T31" i="29"/>
  <c r="T16" i="29"/>
  <c r="T19" i="29"/>
  <c r="T12" i="29"/>
  <c r="T20" i="29"/>
  <c r="R27" i="27"/>
  <c r="S14" i="29"/>
  <c r="T22" i="28"/>
  <c r="U30" i="28"/>
  <c r="U31" i="28"/>
  <c r="U20" i="28"/>
  <c r="U16" i="28"/>
  <c r="V10" i="28"/>
  <c r="U26" i="28"/>
  <c r="U12" i="28"/>
  <c r="U18" i="28"/>
  <c r="U25" i="28"/>
  <c r="U21" i="28"/>
  <c r="U29" i="28"/>
  <c r="U19" i="28"/>
  <c r="U13" i="28"/>
  <c r="T14" i="28"/>
  <c r="S23" i="28"/>
  <c r="S40" i="28"/>
  <c r="T34" i="28"/>
  <c r="R34" i="27"/>
  <c r="S30" i="27"/>
  <c r="S26" i="27"/>
  <c r="S29" i="27"/>
  <c r="S18" i="27"/>
  <c r="T10" i="27"/>
  <c r="S13" i="27"/>
  <c r="S12" i="27"/>
  <c r="S21" i="27"/>
  <c r="S19" i="27"/>
  <c r="S31" i="27"/>
  <c r="S16" i="27"/>
  <c r="S25" i="27"/>
  <c r="S20" i="27"/>
  <c r="R14" i="27"/>
  <c r="Q23" i="27"/>
  <c r="Q40" i="27"/>
  <c r="Q23" i="26"/>
  <c r="Q40" i="26"/>
  <c r="R34" i="26"/>
  <c r="R22" i="26"/>
  <c r="R27" i="26"/>
  <c r="S26" i="26"/>
  <c r="T10" i="26"/>
  <c r="S18" i="26"/>
  <c r="S30" i="26"/>
  <c r="S29" i="26"/>
  <c r="S12" i="26"/>
  <c r="S31" i="26"/>
  <c r="S25" i="26"/>
  <c r="S21" i="26"/>
  <c r="S13" i="26"/>
  <c r="S16" i="26"/>
  <c r="S20" i="26"/>
  <c r="S19" i="26"/>
  <c r="P27" i="25"/>
  <c r="P27" i="20"/>
  <c r="R10" i="25"/>
  <c r="R10" i="20"/>
  <c r="Q29" i="25"/>
  <c r="Q29" i="20"/>
  <c r="Q19" i="25"/>
  <c r="Q19" i="20"/>
  <c r="Q25" i="25"/>
  <c r="Q25" i="20"/>
  <c r="Q31" i="25"/>
  <c r="Q31" i="20"/>
  <c r="Q20" i="25"/>
  <c r="Q20" i="20"/>
  <c r="Q21" i="25"/>
  <c r="Q21" i="20"/>
  <c r="Q16" i="25"/>
  <c r="Q16" i="20"/>
  <c r="Q30" i="25"/>
  <c r="Q30" i="20"/>
  <c r="Q13" i="25"/>
  <c r="Q13" i="20"/>
  <c r="Q26" i="25"/>
  <c r="Q26" i="20"/>
  <c r="Q12" i="25"/>
  <c r="Q12" i="20"/>
  <c r="Q18" i="25"/>
  <c r="Q18" i="20"/>
  <c r="P22" i="25"/>
  <c r="P22" i="20"/>
  <c r="P34" i="25"/>
  <c r="P34" i="20"/>
  <c r="P14" i="25"/>
  <c r="P14" i="20"/>
  <c r="O23" i="25"/>
  <c r="O40" i="25"/>
  <c r="T64" i="17" a="1"/>
  <c r="T64" i="17"/>
  <c r="T38" i="30"/>
  <c r="Q13" i="32"/>
  <c r="T63" i="17" a="1"/>
  <c r="T63" i="17"/>
  <c r="T37" i="30"/>
  <c r="T62" i="17" a="1"/>
  <c r="T62" i="17"/>
  <c r="T36" i="30"/>
  <c r="W29" i="17"/>
  <c r="T59" i="17" a="1"/>
  <c r="T59" i="17"/>
  <c r="T33" i="30"/>
  <c r="T58" i="17" a="1"/>
  <c r="T58" i="17"/>
  <c r="T32" i="30"/>
  <c r="U28" i="17"/>
  <c r="T43" i="17" a="1"/>
  <c r="T43" i="17"/>
  <c r="T17" i="30"/>
  <c r="Y28" i="17"/>
  <c r="R23" i="26"/>
  <c r="R40" i="26"/>
  <c r="S27" i="27"/>
  <c r="R23" i="27"/>
  <c r="R40" i="27"/>
  <c r="L13" i="33"/>
  <c r="K21" i="32"/>
  <c r="P23" i="20"/>
  <c r="P40" i="20"/>
  <c r="L21" i="19"/>
  <c r="L38" i="19"/>
  <c r="M12" i="19"/>
  <c r="N29" i="19"/>
  <c r="N23" i="19"/>
  <c r="N17" i="19"/>
  <c r="N10" i="19"/>
  <c r="N28" i="19"/>
  <c r="N11" i="19"/>
  <c r="N16" i="19"/>
  <c r="N27" i="19"/>
  <c r="N19" i="19"/>
  <c r="N14" i="19"/>
  <c r="N24" i="19"/>
  <c r="N18" i="19"/>
  <c r="O8" i="19"/>
  <c r="M32" i="19"/>
  <c r="M20" i="19"/>
  <c r="M25" i="19"/>
  <c r="T27" i="29"/>
  <c r="T14" i="29"/>
  <c r="T34" i="29"/>
  <c r="U25" i="29"/>
  <c r="U20" i="29"/>
  <c r="U16" i="29"/>
  <c r="U12" i="29"/>
  <c r="U31" i="29"/>
  <c r="V10" i="29"/>
  <c r="U18" i="29"/>
  <c r="U19" i="29"/>
  <c r="U13" i="29"/>
  <c r="U30" i="29"/>
  <c r="U21" i="29"/>
  <c r="U26" i="29"/>
  <c r="U29" i="29"/>
  <c r="S23" i="29"/>
  <c r="S40" i="29"/>
  <c r="T22" i="29"/>
  <c r="U27" i="28"/>
  <c r="W10" i="28"/>
  <c r="V21" i="28"/>
  <c r="V13" i="28"/>
  <c r="V18" i="28"/>
  <c r="V20" i="28"/>
  <c r="V19" i="28"/>
  <c r="V12" i="28"/>
  <c r="V16" i="28"/>
  <c r="V26" i="28"/>
  <c r="V29" i="28"/>
  <c r="V25" i="28"/>
  <c r="V31" i="28"/>
  <c r="V30" i="28"/>
  <c r="S22" i="27"/>
  <c r="S34" i="27"/>
  <c r="U22" i="28"/>
  <c r="U34" i="28"/>
  <c r="U14" i="28"/>
  <c r="T23" i="28"/>
  <c r="T40" i="28"/>
  <c r="T30" i="27"/>
  <c r="T13" i="27"/>
  <c r="T26" i="27"/>
  <c r="T18" i="27"/>
  <c r="U10" i="27"/>
  <c r="T19" i="27"/>
  <c r="T12" i="27"/>
  <c r="T20" i="27"/>
  <c r="T25" i="27"/>
  <c r="T16" i="27"/>
  <c r="T29" i="27"/>
  <c r="T31" i="27"/>
  <c r="T21" i="27"/>
  <c r="S14" i="27"/>
  <c r="S27" i="26"/>
  <c r="S14" i="26"/>
  <c r="T31" i="26"/>
  <c r="T26" i="26"/>
  <c r="T30" i="26"/>
  <c r="T18" i="26"/>
  <c r="T19" i="26"/>
  <c r="U10" i="26"/>
  <c r="T25" i="26"/>
  <c r="T16" i="26"/>
  <c r="T29" i="26"/>
  <c r="T12" i="26"/>
  <c r="T20" i="26"/>
  <c r="T13" i="26"/>
  <c r="T21" i="26"/>
  <c r="S22" i="26"/>
  <c r="S34" i="26"/>
  <c r="Q34" i="25"/>
  <c r="Q34" i="20"/>
  <c r="P23" i="25"/>
  <c r="P40" i="25"/>
  <c r="R26" i="25"/>
  <c r="R26" i="20"/>
  <c r="S10" i="25"/>
  <c r="S10" i="20"/>
  <c r="R18" i="25"/>
  <c r="R18" i="20"/>
  <c r="R13" i="25"/>
  <c r="R13" i="20"/>
  <c r="R12" i="25"/>
  <c r="R12" i="20"/>
  <c r="R30" i="25"/>
  <c r="R30" i="20"/>
  <c r="R19" i="25"/>
  <c r="R19" i="20"/>
  <c r="R31" i="25"/>
  <c r="R31" i="20"/>
  <c r="R25" i="25"/>
  <c r="R29" i="25"/>
  <c r="R29" i="20"/>
  <c r="R20" i="25"/>
  <c r="R20" i="20"/>
  <c r="R16" i="25"/>
  <c r="R16" i="20"/>
  <c r="R21" i="25"/>
  <c r="R21" i="20"/>
  <c r="Q14" i="25"/>
  <c r="Q14" i="20"/>
  <c r="Q22" i="25"/>
  <c r="Q22" i="20"/>
  <c r="Q27" i="25"/>
  <c r="Q27" i="20"/>
  <c r="U64" i="17" a="1"/>
  <c r="U64" i="17"/>
  <c r="U38" i="30"/>
  <c r="R13" i="32"/>
  <c r="U62" i="17" a="1"/>
  <c r="U62" i="17"/>
  <c r="U36" i="30"/>
  <c r="U63" i="17" a="1"/>
  <c r="U63" i="17"/>
  <c r="U37" i="30"/>
  <c r="X30" i="17"/>
  <c r="U58" i="17" a="1"/>
  <c r="U58" i="17"/>
  <c r="U32" i="30"/>
  <c r="U59" i="17" a="1"/>
  <c r="U59" i="17"/>
  <c r="U33" i="30"/>
  <c r="Z29" i="17"/>
  <c r="V29" i="17"/>
  <c r="U43" i="17" a="1"/>
  <c r="U43" i="17"/>
  <c r="U17" i="30"/>
  <c r="T23" i="29"/>
  <c r="T40" i="29"/>
  <c r="K7" i="36"/>
  <c r="Z21" i="32"/>
  <c r="E33" i="37"/>
  <c r="V14" i="28"/>
  <c r="U27" i="29"/>
  <c r="M10" i="33"/>
  <c r="M11" i="33"/>
  <c r="L15" i="35"/>
  <c r="AA15" i="35"/>
  <c r="E49" i="37"/>
  <c r="Q23" i="20"/>
  <c r="Q40" i="20"/>
  <c r="M21" i="19"/>
  <c r="M38" i="19"/>
  <c r="U34" i="29"/>
  <c r="N20" i="19"/>
  <c r="N25" i="19"/>
  <c r="T34" i="26"/>
  <c r="O27" i="19"/>
  <c r="O11" i="19"/>
  <c r="O16" i="19"/>
  <c r="O28" i="19"/>
  <c r="O19" i="19"/>
  <c r="O14" i="19"/>
  <c r="O24" i="19"/>
  <c r="O18" i="19"/>
  <c r="P8" i="19"/>
  <c r="O29" i="19"/>
  <c r="O23" i="19"/>
  <c r="O17" i="19"/>
  <c r="O10" i="19"/>
  <c r="R27" i="25"/>
  <c r="R27" i="20"/>
  <c r="R25" i="20"/>
  <c r="V27" i="28"/>
  <c r="N32" i="19"/>
  <c r="N12" i="19"/>
  <c r="S23" i="26"/>
  <c r="S40" i="26"/>
  <c r="T34" i="27"/>
  <c r="T14" i="27"/>
  <c r="W10" i="29"/>
  <c r="V30" i="29"/>
  <c r="V25" i="29"/>
  <c r="V29" i="29"/>
  <c r="V26" i="29"/>
  <c r="V19" i="29"/>
  <c r="V31" i="29"/>
  <c r="V18" i="29"/>
  <c r="V13" i="29"/>
  <c r="V12" i="29"/>
  <c r="V16" i="29"/>
  <c r="V20" i="29"/>
  <c r="V21" i="29"/>
  <c r="V22" i="28"/>
  <c r="U14" i="29"/>
  <c r="U22" i="29"/>
  <c r="V34" i="28"/>
  <c r="T14" i="26"/>
  <c r="S23" i="27"/>
  <c r="S40" i="27"/>
  <c r="W30" i="28"/>
  <c r="W12" i="28"/>
  <c r="W26" i="28"/>
  <c r="W19" i="28"/>
  <c r="X10" i="28"/>
  <c r="W29" i="28"/>
  <c r="W20" i="28"/>
  <c r="W18" i="28"/>
  <c r="W25" i="28"/>
  <c r="W31" i="28"/>
  <c r="W13" i="28"/>
  <c r="W21" i="28"/>
  <c r="W16" i="28"/>
  <c r="U23" i="28"/>
  <c r="U40" i="28"/>
  <c r="T22" i="27"/>
  <c r="T27" i="27"/>
  <c r="U30" i="27"/>
  <c r="U31" i="27"/>
  <c r="U26" i="27"/>
  <c r="U18" i="27"/>
  <c r="V10" i="27"/>
  <c r="U19" i="27"/>
  <c r="U16" i="27"/>
  <c r="U13" i="27"/>
  <c r="U21" i="27"/>
  <c r="U12" i="27"/>
  <c r="U20" i="27"/>
  <c r="U25" i="27"/>
  <c r="U29" i="27"/>
  <c r="U30" i="26"/>
  <c r="U26" i="26"/>
  <c r="U18" i="26"/>
  <c r="U31" i="26"/>
  <c r="U19" i="26"/>
  <c r="U20" i="26"/>
  <c r="U16" i="26"/>
  <c r="V10" i="26"/>
  <c r="U21" i="26"/>
  <c r="U13" i="26"/>
  <c r="U12" i="26"/>
  <c r="U25" i="26"/>
  <c r="U29" i="26"/>
  <c r="T22" i="26"/>
  <c r="T27" i="26"/>
  <c r="R34" i="25"/>
  <c r="R34" i="20"/>
  <c r="R14" i="25"/>
  <c r="R14" i="20"/>
  <c r="S31" i="25"/>
  <c r="S31" i="20"/>
  <c r="S19" i="25"/>
  <c r="S19" i="20"/>
  <c r="S25" i="25"/>
  <c r="S25" i="20"/>
  <c r="T10" i="25"/>
  <c r="T10" i="20"/>
  <c r="S29" i="25"/>
  <c r="S29" i="20"/>
  <c r="S18" i="25"/>
  <c r="S18" i="20"/>
  <c r="S13" i="25"/>
  <c r="S13" i="20"/>
  <c r="S21" i="25"/>
  <c r="S21" i="20"/>
  <c r="S26" i="25"/>
  <c r="S26" i="20"/>
  <c r="S20" i="25"/>
  <c r="S20" i="20"/>
  <c r="S12" i="25"/>
  <c r="S12" i="20"/>
  <c r="S16" i="25"/>
  <c r="S16" i="20"/>
  <c r="S30" i="25"/>
  <c r="S30" i="20"/>
  <c r="R22" i="25"/>
  <c r="R22" i="20"/>
  <c r="Q23" i="25"/>
  <c r="Q40" i="25"/>
  <c r="V63" i="17" a="1"/>
  <c r="V63" i="17"/>
  <c r="V37" i="30"/>
  <c r="V62" i="17" a="1"/>
  <c r="V62" i="17"/>
  <c r="V36" i="30"/>
  <c r="V64" i="17" a="1"/>
  <c r="V64" i="17"/>
  <c r="V38" i="30"/>
  <c r="S13" i="32"/>
  <c r="Y31" i="17"/>
  <c r="Z32" i="17"/>
  <c r="V59" i="17" a="1"/>
  <c r="V59" i="17"/>
  <c r="V33" i="30"/>
  <c r="V58" i="17" a="1"/>
  <c r="V58" i="17"/>
  <c r="V32" i="30"/>
  <c r="W30" i="17"/>
  <c r="V43" i="17" a="1"/>
  <c r="V43" i="17"/>
  <c r="V17" i="30"/>
  <c r="T23" i="26"/>
  <c r="T40" i="26"/>
  <c r="V23" i="28"/>
  <c r="V40" i="28"/>
  <c r="U14" i="26"/>
  <c r="U27" i="27"/>
  <c r="V27" i="29"/>
  <c r="M13" i="33"/>
  <c r="L21" i="32"/>
  <c r="O25" i="19"/>
  <c r="R23" i="20"/>
  <c r="R40" i="20"/>
  <c r="O12" i="19"/>
  <c r="O20" i="19"/>
  <c r="N21" i="19"/>
  <c r="N38" i="19"/>
  <c r="W27" i="28"/>
  <c r="P24" i="19"/>
  <c r="P18" i="19"/>
  <c r="Q8" i="19"/>
  <c r="P11" i="19"/>
  <c r="P16" i="19"/>
  <c r="P28" i="19"/>
  <c r="P14" i="19"/>
  <c r="P27" i="19"/>
  <c r="P23" i="19"/>
  <c r="P17" i="19"/>
  <c r="P10" i="19"/>
  <c r="P29" i="19"/>
  <c r="P19" i="19"/>
  <c r="O32" i="19"/>
  <c r="V22" i="29"/>
  <c r="S14" i="25"/>
  <c r="S14" i="20"/>
  <c r="U34" i="27"/>
  <c r="W22" i="28"/>
  <c r="U23" i="29"/>
  <c r="U40" i="29"/>
  <c r="V34" i="29"/>
  <c r="T23" i="27"/>
  <c r="T40" i="27"/>
  <c r="V14" i="29"/>
  <c r="U14" i="27"/>
  <c r="W18" i="29"/>
  <c r="X10" i="29"/>
  <c r="W25" i="29"/>
  <c r="W20" i="29"/>
  <c r="W12" i="29"/>
  <c r="W21" i="29"/>
  <c r="W16" i="29"/>
  <c r="W29" i="29"/>
  <c r="W26" i="29"/>
  <c r="W13" i="29"/>
  <c r="W19" i="29"/>
  <c r="W30" i="29"/>
  <c r="W31" i="29"/>
  <c r="W34" i="28"/>
  <c r="W14" i="28"/>
  <c r="X30" i="28"/>
  <c r="X26" i="28"/>
  <c r="Y10" i="28"/>
  <c r="X19" i="28"/>
  <c r="X25" i="28"/>
  <c r="X20" i="28"/>
  <c r="X16" i="28"/>
  <c r="X12" i="28"/>
  <c r="X18" i="28"/>
  <c r="X13" i="28"/>
  <c r="X21" i="28"/>
  <c r="X29" i="28"/>
  <c r="X31" i="28"/>
  <c r="U22" i="26"/>
  <c r="U22" i="27"/>
  <c r="W10" i="27"/>
  <c r="V18" i="27"/>
  <c r="V13" i="27"/>
  <c r="V25" i="27"/>
  <c r="V16" i="27"/>
  <c r="V19" i="27"/>
  <c r="V31" i="27"/>
  <c r="V12" i="27"/>
  <c r="V26" i="27"/>
  <c r="V29" i="27"/>
  <c r="V30" i="27"/>
  <c r="V21" i="27"/>
  <c r="V20" i="27"/>
  <c r="U34" i="26"/>
  <c r="U27" i="26"/>
  <c r="W10" i="26"/>
  <c r="V20" i="26"/>
  <c r="V19" i="26"/>
  <c r="V26" i="26"/>
  <c r="V30" i="26"/>
  <c r="V16" i="26"/>
  <c r="V13" i="26"/>
  <c r="V18" i="26"/>
  <c r="V25" i="26"/>
  <c r="V29" i="26"/>
  <c r="V31" i="26"/>
  <c r="V12" i="26"/>
  <c r="V21" i="26"/>
  <c r="R23" i="25"/>
  <c r="R40" i="25"/>
  <c r="S27" i="25"/>
  <c r="S27" i="20"/>
  <c r="S34" i="25"/>
  <c r="S34" i="20"/>
  <c r="S22" i="25"/>
  <c r="T30" i="25"/>
  <c r="T30" i="20"/>
  <c r="T18" i="25"/>
  <c r="T18" i="20"/>
  <c r="T12" i="25"/>
  <c r="T12" i="20"/>
  <c r="U10" i="25"/>
  <c r="U10" i="20"/>
  <c r="T19" i="25"/>
  <c r="T19" i="20"/>
  <c r="T20" i="25"/>
  <c r="T20" i="20"/>
  <c r="T21" i="25"/>
  <c r="T21" i="20"/>
  <c r="T29" i="25"/>
  <c r="T29" i="20"/>
  <c r="T26" i="25"/>
  <c r="T26" i="20"/>
  <c r="T16" i="25"/>
  <c r="T16" i="20"/>
  <c r="T13" i="25"/>
  <c r="T13" i="20"/>
  <c r="T31" i="25"/>
  <c r="T31" i="20"/>
  <c r="T25" i="25"/>
  <c r="T25" i="20"/>
  <c r="W63" i="17" a="1"/>
  <c r="W63" i="17"/>
  <c r="W37" i="30"/>
  <c r="W62" i="17" a="1"/>
  <c r="W62" i="17"/>
  <c r="W36" i="30"/>
  <c r="W64" i="17" a="1"/>
  <c r="W64" i="17"/>
  <c r="W38" i="30"/>
  <c r="T13" i="32"/>
  <c r="W58" i="17" a="1"/>
  <c r="W58" i="17"/>
  <c r="W32" i="30"/>
  <c r="W59" i="17" a="1"/>
  <c r="W59" i="17"/>
  <c r="W33" i="30"/>
  <c r="X31" i="17"/>
  <c r="W43" i="17" a="1"/>
  <c r="W43" i="17"/>
  <c r="W17" i="30"/>
  <c r="L7" i="36"/>
  <c r="V23" i="29"/>
  <c r="V40" i="29"/>
  <c r="U23" i="26"/>
  <c r="U40" i="26"/>
  <c r="N10" i="33"/>
  <c r="N11" i="33"/>
  <c r="M15" i="35"/>
  <c r="P25" i="19"/>
  <c r="P12" i="19"/>
  <c r="P20" i="19"/>
  <c r="O21" i="19"/>
  <c r="O38" i="19"/>
  <c r="Q29" i="19"/>
  <c r="Q23" i="19"/>
  <c r="Q17" i="19"/>
  <c r="Q10" i="19"/>
  <c r="Q28" i="19"/>
  <c r="Q11" i="19"/>
  <c r="Q16" i="19"/>
  <c r="Q18" i="19"/>
  <c r="Q27" i="19"/>
  <c r="Q19" i="19"/>
  <c r="Q14" i="19"/>
  <c r="Q24" i="19"/>
  <c r="R8" i="19"/>
  <c r="S23" i="25"/>
  <c r="S40" i="25"/>
  <c r="S22" i="20"/>
  <c r="S23" i="20"/>
  <c r="S40" i="20"/>
  <c r="W23" i="28"/>
  <c r="W40" i="28"/>
  <c r="P32" i="19"/>
  <c r="W14" i="29"/>
  <c r="V14" i="26"/>
  <c r="U23" i="27"/>
  <c r="U40" i="27"/>
  <c r="X30" i="29"/>
  <c r="X18" i="29"/>
  <c r="Y10" i="29"/>
  <c r="X13" i="29"/>
  <c r="X26" i="29"/>
  <c r="X19" i="29"/>
  <c r="X12" i="29"/>
  <c r="X20" i="29"/>
  <c r="X31" i="29"/>
  <c r="X29" i="29"/>
  <c r="X21" i="29"/>
  <c r="X16" i="29"/>
  <c r="X25" i="29"/>
  <c r="X27" i="28"/>
  <c r="W34" i="29"/>
  <c r="W22" i="29"/>
  <c r="W27" i="29"/>
  <c r="X34" i="28"/>
  <c r="X14" i="28"/>
  <c r="V14" i="27"/>
  <c r="X22" i="28"/>
  <c r="Y26" i="28"/>
  <c r="Z10" i="28"/>
  <c r="Y31" i="28"/>
  <c r="Y20" i="28"/>
  <c r="Y16" i="28"/>
  <c r="Y12" i="28"/>
  <c r="Y13" i="28"/>
  <c r="Y19" i="28"/>
  <c r="Y21" i="28"/>
  <c r="Y30" i="28"/>
  <c r="Y29" i="28"/>
  <c r="Y18" i="28"/>
  <c r="Y25" i="28"/>
  <c r="V22" i="27"/>
  <c r="W30" i="27"/>
  <c r="W26" i="27"/>
  <c r="W18" i="27"/>
  <c r="X10" i="27"/>
  <c r="W12" i="27"/>
  <c r="W13" i="27"/>
  <c r="W29" i="27"/>
  <c r="W21" i="27"/>
  <c r="W31" i="27"/>
  <c r="W16" i="27"/>
  <c r="W25" i="27"/>
  <c r="W19" i="27"/>
  <c r="W20" i="27"/>
  <c r="V27" i="27"/>
  <c r="V34" i="27"/>
  <c r="V27" i="26"/>
  <c r="W30" i="26"/>
  <c r="W26" i="26"/>
  <c r="X10" i="26"/>
  <c r="W18" i="26"/>
  <c r="W13" i="26"/>
  <c r="W12" i="26"/>
  <c r="W20" i="26"/>
  <c r="W21" i="26"/>
  <c r="W16" i="26"/>
  <c r="W29" i="26"/>
  <c r="W25" i="26"/>
  <c r="W19" i="26"/>
  <c r="W31" i="26"/>
  <c r="V34" i="26"/>
  <c r="V22" i="26"/>
  <c r="T27" i="25"/>
  <c r="T27" i="20"/>
  <c r="T34" i="25"/>
  <c r="T34" i="20"/>
  <c r="T14" i="25"/>
  <c r="T14" i="20"/>
  <c r="U25" i="25"/>
  <c r="U25" i="20"/>
  <c r="U29" i="25"/>
  <c r="U29" i="20"/>
  <c r="V10" i="25"/>
  <c r="V10" i="20"/>
  <c r="U13" i="25"/>
  <c r="U13" i="20"/>
  <c r="U31" i="25"/>
  <c r="U31" i="20"/>
  <c r="U19" i="25"/>
  <c r="U19" i="20"/>
  <c r="U12" i="25"/>
  <c r="U12" i="20"/>
  <c r="U21" i="25"/>
  <c r="U21" i="20"/>
  <c r="U20" i="25"/>
  <c r="U20" i="20"/>
  <c r="U26" i="25"/>
  <c r="U26" i="20"/>
  <c r="U30" i="25"/>
  <c r="U30" i="20"/>
  <c r="U16" i="25"/>
  <c r="U16" i="20"/>
  <c r="U18" i="25"/>
  <c r="U18" i="20"/>
  <c r="T22" i="25"/>
  <c r="T22" i="20"/>
  <c r="X64" i="17" a="1"/>
  <c r="X64" i="17"/>
  <c r="X38" i="30"/>
  <c r="U13" i="32"/>
  <c r="X63" i="17" a="1"/>
  <c r="X63" i="17"/>
  <c r="X37" i="30"/>
  <c r="X62" i="17" a="1"/>
  <c r="X62" i="17"/>
  <c r="X36" i="30"/>
  <c r="X59" i="17" a="1"/>
  <c r="X59" i="17"/>
  <c r="X33" i="30"/>
  <c r="X58" i="17" a="1"/>
  <c r="X58" i="17"/>
  <c r="X32" i="30"/>
  <c r="Y32" i="17"/>
  <c r="X43" i="17" a="1"/>
  <c r="X43" i="17"/>
  <c r="X17" i="30"/>
  <c r="Y27" i="28"/>
  <c r="V23" i="26"/>
  <c r="V40" i="26"/>
  <c r="T23" i="20"/>
  <c r="T40" i="20"/>
  <c r="X27" i="29"/>
  <c r="V23" i="27"/>
  <c r="V40" i="27"/>
  <c r="Y34" i="28"/>
  <c r="W23" i="29"/>
  <c r="W40" i="29"/>
  <c r="N13" i="33"/>
  <c r="M21" i="32"/>
  <c r="P21" i="19"/>
  <c r="P38" i="19"/>
  <c r="Q32" i="19"/>
  <c r="Q12" i="19"/>
  <c r="Q20" i="19"/>
  <c r="Q25" i="19"/>
  <c r="R24" i="19"/>
  <c r="R18" i="19"/>
  <c r="S8" i="19"/>
  <c r="R19" i="19"/>
  <c r="R29" i="19"/>
  <c r="R23" i="19"/>
  <c r="R17" i="19"/>
  <c r="R10" i="19"/>
  <c r="R27" i="19"/>
  <c r="R14" i="19"/>
  <c r="R28" i="19"/>
  <c r="R11" i="19"/>
  <c r="R16" i="19"/>
  <c r="X14" i="29"/>
  <c r="X22" i="29"/>
  <c r="Y25" i="29"/>
  <c r="Y31" i="29"/>
  <c r="Y20" i="29"/>
  <c r="Y16" i="29"/>
  <c r="Y12" i="29"/>
  <c r="Y18" i="29"/>
  <c r="Z10" i="29"/>
  <c r="Y26" i="29"/>
  <c r="Y29" i="29"/>
  <c r="Y13" i="29"/>
  <c r="Y21" i="29"/>
  <c r="Y30" i="29"/>
  <c r="Y19" i="29"/>
  <c r="W34" i="26"/>
  <c r="W14" i="26"/>
  <c r="X34" i="29"/>
  <c r="X23" i="28"/>
  <c r="X40" i="28"/>
  <c r="W22" i="27"/>
  <c r="Y14" i="28"/>
  <c r="Z25" i="28"/>
  <c r="Z19" i="28"/>
  <c r="Z30" i="28"/>
  <c r="Z31" i="28"/>
  <c r="Z13" i="28"/>
  <c r="Z20" i="28"/>
  <c r="Z21" i="28"/>
  <c r="Z18" i="28"/>
  <c r="Z26" i="28"/>
  <c r="Z16" i="28"/>
  <c r="Z29" i="28"/>
  <c r="Z12" i="28"/>
  <c r="Y22" i="28"/>
  <c r="W14" i="27"/>
  <c r="X30" i="27"/>
  <c r="X26" i="27"/>
  <c r="X13" i="27"/>
  <c r="Y10" i="27"/>
  <c r="X18" i="27"/>
  <c r="X16" i="27"/>
  <c r="X19" i="27"/>
  <c r="X12" i="27"/>
  <c r="X20" i="27"/>
  <c r="X25" i="27"/>
  <c r="X31" i="27"/>
  <c r="X21" i="27"/>
  <c r="X29" i="27"/>
  <c r="W27" i="26"/>
  <c r="W27" i="27"/>
  <c r="W34" i="27"/>
  <c r="W22" i="26"/>
  <c r="X31" i="26"/>
  <c r="X30" i="26"/>
  <c r="X26" i="26"/>
  <c r="X18" i="26"/>
  <c r="Y10" i="26"/>
  <c r="X19" i="26"/>
  <c r="X13" i="26"/>
  <c r="X29" i="26"/>
  <c r="X25" i="26"/>
  <c r="X12" i="26"/>
  <c r="X21" i="26"/>
  <c r="X20" i="26"/>
  <c r="X16" i="26"/>
  <c r="U22" i="25"/>
  <c r="U22" i="20"/>
  <c r="W10" i="25"/>
  <c r="W10" i="20"/>
  <c r="V20" i="25"/>
  <c r="V20" i="20"/>
  <c r="V13" i="25"/>
  <c r="V13" i="20"/>
  <c r="V18" i="25"/>
  <c r="V18" i="20"/>
  <c r="V16" i="25"/>
  <c r="V16" i="20"/>
  <c r="V30" i="25"/>
  <c r="V30" i="20"/>
  <c r="V12" i="25"/>
  <c r="V21" i="25"/>
  <c r="V21" i="20"/>
  <c r="V19" i="25"/>
  <c r="V19" i="20"/>
  <c r="V26" i="25"/>
  <c r="V26" i="20"/>
  <c r="V31" i="25"/>
  <c r="V31" i="20"/>
  <c r="V25" i="25"/>
  <c r="V25" i="20"/>
  <c r="V29" i="25"/>
  <c r="V29" i="20"/>
  <c r="T23" i="25"/>
  <c r="T40" i="25"/>
  <c r="U34" i="25"/>
  <c r="U34" i="20"/>
  <c r="U14" i="25"/>
  <c r="U27" i="25"/>
  <c r="U27" i="20"/>
  <c r="Y63" i="17" a="1"/>
  <c r="Y63" i="17"/>
  <c r="Y37" i="30"/>
  <c r="Y64" i="17" a="1"/>
  <c r="Y64" i="17"/>
  <c r="Y38" i="30"/>
  <c r="V13" i="32"/>
  <c r="Y62" i="17" a="1"/>
  <c r="Y62" i="17"/>
  <c r="Y36" i="30"/>
  <c r="Y58" i="17" a="1"/>
  <c r="Y58" i="17"/>
  <c r="Y32" i="30"/>
  <c r="Y59" i="17" a="1"/>
  <c r="Y59" i="17"/>
  <c r="Y33" i="30"/>
  <c r="Z33" i="17"/>
  <c r="Y43" i="17" a="1"/>
  <c r="Y43" i="17"/>
  <c r="Y17" i="30"/>
  <c r="X27" i="27"/>
  <c r="M7" i="36"/>
  <c r="W23" i="27"/>
  <c r="W40" i="27"/>
  <c r="Z14" i="28"/>
  <c r="O10" i="33"/>
  <c r="O11" i="33"/>
  <c r="N15" i="35"/>
  <c r="R25" i="19"/>
  <c r="Q21" i="19"/>
  <c r="Q38" i="19"/>
  <c r="R12" i="19"/>
  <c r="V14" i="25"/>
  <c r="V14" i="20"/>
  <c r="V12" i="20"/>
  <c r="S28" i="19"/>
  <c r="S23" i="19"/>
  <c r="S16" i="19"/>
  <c r="S10" i="19"/>
  <c r="S29" i="19"/>
  <c r="S11" i="19"/>
  <c r="S14" i="19"/>
  <c r="S27" i="19"/>
  <c r="S17" i="19"/>
  <c r="S24" i="19"/>
  <c r="S18" i="19"/>
  <c r="T8" i="19"/>
  <c r="S19" i="19"/>
  <c r="W23" i="26"/>
  <c r="W40" i="26"/>
  <c r="R20" i="19"/>
  <c r="U23" i="25"/>
  <c r="U40" i="25"/>
  <c r="U14" i="20"/>
  <c r="U23" i="20"/>
  <c r="U40" i="20"/>
  <c r="X23" i="29"/>
  <c r="X40" i="29"/>
  <c r="R32" i="19"/>
  <c r="Y34" i="29"/>
  <c r="Y14" i="29"/>
  <c r="Y23" i="28"/>
  <c r="Y40" i="28"/>
  <c r="Y27" i="29"/>
  <c r="Y22" i="29"/>
  <c r="X22" i="27"/>
  <c r="Z18" i="29"/>
  <c r="Z25" i="29"/>
  <c r="Z13" i="29"/>
  <c r="Z21" i="29"/>
  <c r="Z29" i="29"/>
  <c r="Z30" i="29"/>
  <c r="Z19" i="29"/>
  <c r="Z16" i="29"/>
  <c r="Z20" i="29"/>
  <c r="Z26" i="29"/>
  <c r="Z12" i="29"/>
  <c r="Z31" i="29"/>
  <c r="X34" i="27"/>
  <c r="Z34" i="28"/>
  <c r="X14" i="27"/>
  <c r="Z22" i="28"/>
  <c r="Z27" i="28"/>
  <c r="Y30" i="27"/>
  <c r="Y26" i="27"/>
  <c r="Y31" i="27"/>
  <c r="Y18" i="27"/>
  <c r="Z10" i="27"/>
  <c r="Y21" i="27"/>
  <c r="Y19" i="27"/>
  <c r="Y12" i="27"/>
  <c r="Y20" i="27"/>
  <c r="Y25" i="27"/>
  <c r="Y29" i="27"/>
  <c r="Y16" i="27"/>
  <c r="Y13" i="27"/>
  <c r="X14" i="26"/>
  <c r="X27" i="26"/>
  <c r="X22" i="26"/>
  <c r="Y30" i="26"/>
  <c r="Y31" i="26"/>
  <c r="Y26" i="26"/>
  <c r="Y18" i="26"/>
  <c r="Y19" i="26"/>
  <c r="Y20" i="26"/>
  <c r="Z10" i="26"/>
  <c r="Y21" i="26"/>
  <c r="Y25" i="26"/>
  <c r="Y29" i="26"/>
  <c r="Y13" i="26"/>
  <c r="Y12" i="26"/>
  <c r="Y16" i="26"/>
  <c r="X34" i="26"/>
  <c r="V34" i="25"/>
  <c r="V34" i="20"/>
  <c r="V22" i="25"/>
  <c r="W31" i="25"/>
  <c r="W31" i="20"/>
  <c r="W29" i="25"/>
  <c r="W29" i="20"/>
  <c r="W19" i="25"/>
  <c r="W19" i="20"/>
  <c r="W25" i="25"/>
  <c r="W25" i="20"/>
  <c r="W18" i="25"/>
  <c r="W18" i="20"/>
  <c r="X10" i="25"/>
  <c r="X10" i="20"/>
  <c r="W13" i="25"/>
  <c r="W13" i="20"/>
  <c r="W20" i="25"/>
  <c r="W20" i="20"/>
  <c r="W21" i="25"/>
  <c r="W21" i="20"/>
  <c r="W16" i="25"/>
  <c r="W16" i="20"/>
  <c r="W30" i="25"/>
  <c r="W30" i="20"/>
  <c r="W26" i="25"/>
  <c r="W26" i="20"/>
  <c r="W12" i="25"/>
  <c r="W12" i="20"/>
  <c r="V27" i="25"/>
  <c r="V27" i="20"/>
  <c r="Z63" i="17" a="1"/>
  <c r="Z63" i="17"/>
  <c r="Z37" i="30"/>
  <c r="Z62" i="17" a="1"/>
  <c r="Z62" i="17"/>
  <c r="Z36" i="30"/>
  <c r="Z64" i="17" a="1"/>
  <c r="Z64" i="17"/>
  <c r="Z38" i="30"/>
  <c r="W13" i="32"/>
  <c r="Z59" i="17" a="1"/>
  <c r="Z59" i="17"/>
  <c r="Z33" i="30"/>
  <c r="Z58" i="17" a="1"/>
  <c r="Z58" i="17"/>
  <c r="Z32" i="30"/>
  <c r="Z43" i="17" a="1"/>
  <c r="Z43" i="17"/>
  <c r="Z17" i="30"/>
  <c r="Y27" i="27"/>
  <c r="Z14" i="29"/>
  <c r="Z23" i="28"/>
  <c r="Z40" i="28"/>
  <c r="X23" i="27"/>
  <c r="X40" i="27"/>
  <c r="Z13" i="32"/>
  <c r="E25" i="37"/>
  <c r="AA13" i="32"/>
  <c r="F25" i="37"/>
  <c r="AB13" i="32"/>
  <c r="G25" i="37"/>
  <c r="AC13" i="32"/>
  <c r="H25" i="37"/>
  <c r="I25" i="37"/>
  <c r="O13" i="33"/>
  <c r="N21" i="32"/>
  <c r="S12" i="19"/>
  <c r="R21" i="19"/>
  <c r="R38" i="19"/>
  <c r="S32" i="19"/>
  <c r="V23" i="25"/>
  <c r="V40" i="25"/>
  <c r="V22" i="20"/>
  <c r="V23" i="20"/>
  <c r="V40" i="20"/>
  <c r="S20" i="19"/>
  <c r="T27" i="19"/>
  <c r="T19" i="19"/>
  <c r="T14" i="19"/>
  <c r="T11" i="19"/>
  <c r="T24" i="19"/>
  <c r="T18" i="19"/>
  <c r="U8" i="19"/>
  <c r="T16" i="19"/>
  <c r="T29" i="19"/>
  <c r="T23" i="19"/>
  <c r="T17" i="19"/>
  <c r="T10" i="19"/>
  <c r="T28" i="19"/>
  <c r="S25" i="19"/>
  <c r="Z22" i="29"/>
  <c r="Y23" i="29"/>
  <c r="Y40" i="29"/>
  <c r="Y34" i="27"/>
  <c r="Z27" i="29"/>
  <c r="Z34" i="29"/>
  <c r="Y27" i="26"/>
  <c r="Z13" i="27"/>
  <c r="Z20" i="27"/>
  <c r="Z21" i="27"/>
  <c r="Z18" i="27"/>
  <c r="Z31" i="27"/>
  <c r="Z16" i="27"/>
  <c r="Z25" i="27"/>
  <c r="Z12" i="27"/>
  <c r="Z26" i="27"/>
  <c r="Z30" i="27"/>
  <c r="Z19" i="27"/>
  <c r="Z29" i="27"/>
  <c r="Y14" i="26"/>
  <c r="X23" i="26"/>
  <c r="X40" i="26"/>
  <c r="Y22" i="27"/>
  <c r="Y14" i="27"/>
  <c r="Y34" i="26"/>
  <c r="Y22" i="26"/>
  <c r="Z16" i="26"/>
  <c r="Z25" i="26"/>
  <c r="Z13" i="26"/>
  <c r="Z26" i="26"/>
  <c r="Z21" i="26"/>
  <c r="Z18" i="26"/>
  <c r="Z20" i="26"/>
  <c r="Z19" i="26"/>
  <c r="Z12" i="26"/>
  <c r="Z30" i="26"/>
  <c r="Z31" i="26"/>
  <c r="Z29" i="26"/>
  <c r="W14" i="25"/>
  <c r="W14" i="20"/>
  <c r="W27" i="25"/>
  <c r="W27" i="20"/>
  <c r="W22" i="25"/>
  <c r="W22" i="20"/>
  <c r="X30" i="25"/>
  <c r="X30" i="20"/>
  <c r="Y10" i="25"/>
  <c r="Y10" i="20"/>
  <c r="X19" i="25"/>
  <c r="X19" i="20"/>
  <c r="X21" i="25"/>
  <c r="X21" i="20"/>
  <c r="X26" i="25"/>
  <c r="X26" i="20"/>
  <c r="X18" i="25"/>
  <c r="X18" i="20"/>
  <c r="X16" i="25"/>
  <c r="X16" i="20"/>
  <c r="X25" i="25"/>
  <c r="X25" i="20"/>
  <c r="X13" i="25"/>
  <c r="X13" i="20"/>
  <c r="X29" i="25"/>
  <c r="X29" i="20"/>
  <c r="X20" i="25"/>
  <c r="X20" i="20"/>
  <c r="X31" i="25"/>
  <c r="X31" i="20"/>
  <c r="X12" i="25"/>
  <c r="X12" i="20"/>
  <c r="W34" i="25"/>
  <c r="W34" i="20"/>
  <c r="Z23" i="29"/>
  <c r="Z40" i="29"/>
  <c r="N7" i="36"/>
  <c r="P10" i="33"/>
  <c r="P11" i="33"/>
  <c r="O15" i="35"/>
  <c r="T12" i="19"/>
  <c r="T25" i="19"/>
  <c r="S21" i="19"/>
  <c r="S38" i="19"/>
  <c r="W23" i="20"/>
  <c r="W40" i="20"/>
  <c r="U28" i="19"/>
  <c r="U11" i="19"/>
  <c r="U16" i="19"/>
  <c r="U19" i="19"/>
  <c r="U24" i="19"/>
  <c r="V8" i="19"/>
  <c r="U29" i="19"/>
  <c r="U23" i="19"/>
  <c r="U17" i="19"/>
  <c r="U10" i="19"/>
  <c r="U27" i="19"/>
  <c r="U14" i="19"/>
  <c r="U18" i="19"/>
  <c r="T20" i="19"/>
  <c r="T32" i="19"/>
  <c r="Y23" i="26"/>
  <c r="Y40" i="26"/>
  <c r="Z22" i="27"/>
  <c r="Z27" i="26"/>
  <c r="Z34" i="27"/>
  <c r="Z14" i="27"/>
  <c r="Z14" i="26"/>
  <c r="Y23" i="27"/>
  <c r="Y40" i="27"/>
  <c r="Z27" i="27"/>
  <c r="Z34" i="26"/>
  <c r="Z22" i="26"/>
  <c r="W23" i="25"/>
  <c r="W40" i="25"/>
  <c r="X27" i="25"/>
  <c r="X27" i="20"/>
  <c r="X14" i="25"/>
  <c r="X14" i="20"/>
  <c r="X22" i="25"/>
  <c r="X22" i="20"/>
  <c r="X34" i="25"/>
  <c r="X34" i="20"/>
  <c r="Y31" i="25"/>
  <c r="Y31" i="20"/>
  <c r="Z10" i="25"/>
  <c r="Z10" i="20"/>
  <c r="Y19" i="25"/>
  <c r="Y19" i="20"/>
  <c r="Y25" i="25"/>
  <c r="Y25" i="20"/>
  <c r="Y13" i="25"/>
  <c r="Y13" i="20"/>
  <c r="Y29" i="25"/>
  <c r="Y29" i="20"/>
  <c r="Y20" i="25"/>
  <c r="Y20" i="20"/>
  <c r="Y12" i="25"/>
  <c r="Y12" i="20"/>
  <c r="Y26" i="25"/>
  <c r="Y26" i="20"/>
  <c r="Y18" i="25"/>
  <c r="Y18" i="20"/>
  <c r="Y21" i="25"/>
  <c r="Y21" i="20"/>
  <c r="Y16" i="25"/>
  <c r="Y16" i="20"/>
  <c r="Y30" i="25"/>
  <c r="Y30" i="20"/>
  <c r="X23" i="20"/>
  <c r="X40" i="20"/>
  <c r="P13" i="33"/>
  <c r="O21" i="32"/>
  <c r="T21" i="19"/>
  <c r="T38" i="19"/>
  <c r="U12" i="19"/>
  <c r="U25" i="19"/>
  <c r="U32" i="19"/>
  <c r="Z23" i="26"/>
  <c r="Z40" i="26"/>
  <c r="V27" i="19"/>
  <c r="V19" i="19"/>
  <c r="V14" i="19"/>
  <c r="V11" i="19"/>
  <c r="V16" i="19"/>
  <c r="V24" i="19"/>
  <c r="V18" i="19"/>
  <c r="W8" i="19"/>
  <c r="V29" i="19"/>
  <c r="V23" i="19"/>
  <c r="V17" i="19"/>
  <c r="V10" i="19"/>
  <c r="V28" i="19"/>
  <c r="U20" i="19"/>
  <c r="X23" i="25"/>
  <c r="X40" i="25"/>
  <c r="Z23" i="27"/>
  <c r="Z40" i="27"/>
  <c r="Y34" i="25"/>
  <c r="Y34" i="20"/>
  <c r="Z26" i="25"/>
  <c r="Z26" i="20"/>
  <c r="Z18" i="25"/>
  <c r="Z18" i="20"/>
  <c r="Z13" i="25"/>
  <c r="Z13" i="20"/>
  <c r="Z12" i="25"/>
  <c r="Z12" i="20"/>
  <c r="Z29" i="25"/>
  <c r="Z29" i="20"/>
  <c r="Z16" i="25"/>
  <c r="Z16" i="20"/>
  <c r="Z20" i="25"/>
  <c r="Z20" i="20"/>
  <c r="Z31" i="25"/>
  <c r="Z31" i="20"/>
  <c r="Z21" i="25"/>
  <c r="Z21" i="20"/>
  <c r="Z25" i="25"/>
  <c r="Z25" i="20"/>
  <c r="Z30" i="25"/>
  <c r="Z30" i="20"/>
  <c r="Z19" i="25"/>
  <c r="Z19" i="20"/>
  <c r="Y22" i="25"/>
  <c r="Y22" i="20"/>
  <c r="Y14" i="25"/>
  <c r="Y14" i="20"/>
  <c r="Y27" i="25"/>
  <c r="Y27" i="20"/>
  <c r="O7" i="36"/>
  <c r="AA21" i="32"/>
  <c r="F33" i="37"/>
  <c r="Q10" i="33"/>
  <c r="Q11" i="33"/>
  <c r="P15" i="35"/>
  <c r="AB15" i="35"/>
  <c r="F49" i="37"/>
  <c r="Y23" i="20"/>
  <c r="Y40" i="20"/>
  <c r="U21" i="19"/>
  <c r="U38" i="19"/>
  <c r="V25" i="19"/>
  <c r="V32" i="19"/>
  <c r="V20" i="19"/>
  <c r="V12" i="19"/>
  <c r="W27" i="19"/>
  <c r="W11" i="19"/>
  <c r="W17" i="19"/>
  <c r="W19" i="19"/>
  <c r="W16" i="19"/>
  <c r="W29" i="19"/>
  <c r="W23" i="19"/>
  <c r="W14" i="19"/>
  <c r="W10" i="19"/>
  <c r="W28" i="19"/>
  <c r="X8" i="19"/>
  <c r="W24" i="19"/>
  <c r="W18" i="19"/>
  <c r="Z27" i="25"/>
  <c r="Z27" i="20"/>
  <c r="Y23" i="25"/>
  <c r="Y40" i="25"/>
  <c r="Z22" i="25"/>
  <c r="Z22" i="20"/>
  <c r="Z34" i="25"/>
  <c r="Z34" i="20"/>
  <c r="Z14" i="25"/>
  <c r="Z14" i="20"/>
  <c r="Q13" i="33"/>
  <c r="P21" i="32"/>
  <c r="W25" i="19"/>
  <c r="W12" i="19"/>
  <c r="W32" i="19"/>
  <c r="Z23" i="20"/>
  <c r="Z40" i="20"/>
  <c r="W20" i="19"/>
  <c r="V21" i="19"/>
  <c r="X24" i="19"/>
  <c r="X18" i="19"/>
  <c r="Y8" i="19"/>
  <c r="X28" i="19"/>
  <c r="X23" i="19"/>
  <c r="X10" i="19"/>
  <c r="X17" i="19"/>
  <c r="X29" i="19"/>
  <c r="X19" i="19"/>
  <c r="X14" i="19"/>
  <c r="X27" i="19"/>
  <c r="X11" i="19"/>
  <c r="X16" i="19"/>
  <c r="Z23" i="25"/>
  <c r="Z40" i="25"/>
  <c r="P7" i="36"/>
  <c r="R10" i="33"/>
  <c r="R11" i="33"/>
  <c r="Q15" i="35"/>
  <c r="X25" i="19"/>
  <c r="X32" i="19"/>
  <c r="Y29" i="19"/>
  <c r="Y23" i="19"/>
  <c r="Y17" i="19"/>
  <c r="Y10" i="19"/>
  <c r="Y28" i="19"/>
  <c r="Y16" i="19"/>
  <c r="Y27" i="19"/>
  <c r="Y18" i="19"/>
  <c r="Y11" i="19"/>
  <c r="Y19" i="19"/>
  <c r="Y14" i="19"/>
  <c r="Y24" i="19"/>
  <c r="Z8" i="19"/>
  <c r="Q36" i="17" a="1"/>
  <c r="Q36" i="17"/>
  <c r="Q10" i="30"/>
  <c r="N5" i="32"/>
  <c r="O4" i="35"/>
  <c r="V38" i="19"/>
  <c r="X20" i="19"/>
  <c r="X12" i="19"/>
  <c r="W21" i="19"/>
  <c r="W38" i="19"/>
  <c r="R13" i="33"/>
  <c r="Q21" i="32"/>
  <c r="O19" i="35"/>
  <c r="O18" i="35"/>
  <c r="O20" i="35"/>
  <c r="O11" i="35"/>
  <c r="O12" i="35"/>
  <c r="O10" i="35"/>
  <c r="X21" i="19"/>
  <c r="X38" i="19"/>
  <c r="Y12" i="19"/>
  <c r="Y25" i="19"/>
  <c r="N22" i="32"/>
  <c r="N14" i="32"/>
  <c r="N6" i="32"/>
  <c r="N18" i="32"/>
  <c r="Z27" i="19"/>
  <c r="U55" i="17" a="1"/>
  <c r="U55" i="17"/>
  <c r="U29" i="30"/>
  <c r="Z18" i="19"/>
  <c r="K46" i="17" a="1"/>
  <c r="K46" i="17"/>
  <c r="K20" i="30"/>
  <c r="Z10" i="19"/>
  <c r="G38" i="17" a="1"/>
  <c r="G38" i="17"/>
  <c r="G12" i="30"/>
  <c r="Z24" i="19"/>
  <c r="S52" i="17" a="1"/>
  <c r="S52" i="17"/>
  <c r="S26" i="30"/>
  <c r="Z17" i="19"/>
  <c r="Z45" i="17" a="1"/>
  <c r="Z45" i="17"/>
  <c r="Z19" i="30"/>
  <c r="Z11" i="19"/>
  <c r="X39" i="17" a="1"/>
  <c r="X39" i="17"/>
  <c r="X13" i="30"/>
  <c r="Z28" i="19"/>
  <c r="W56" i="17" a="1"/>
  <c r="W56" i="17"/>
  <c r="W30" i="30"/>
  <c r="Z19" i="19"/>
  <c r="R47" i="17" a="1"/>
  <c r="R47" i="17"/>
  <c r="R21" i="30"/>
  <c r="Z14" i="19"/>
  <c r="Y42" i="17" a="1"/>
  <c r="Y42" i="17"/>
  <c r="Y16" i="30"/>
  <c r="Z29" i="19"/>
  <c r="L57" i="17" a="1"/>
  <c r="L57" i="17"/>
  <c r="L31" i="30"/>
  <c r="Z23" i="19"/>
  <c r="S51" i="17" a="1"/>
  <c r="S51" i="17"/>
  <c r="S25" i="30"/>
  <c r="Z16" i="19"/>
  <c r="N44" i="17" a="1"/>
  <c r="N44" i="17"/>
  <c r="N18" i="30"/>
  <c r="R36" i="17" a="1"/>
  <c r="R36" i="17"/>
  <c r="R10" i="30"/>
  <c r="O5" i="32"/>
  <c r="P4" i="35"/>
  <c r="G36" i="17" a="1"/>
  <c r="G36" i="17"/>
  <c r="G10" i="30"/>
  <c r="D5" i="32"/>
  <c r="K36" i="17" a="1"/>
  <c r="K36" i="17"/>
  <c r="K10" i="30"/>
  <c r="H5" i="32"/>
  <c r="P36" i="17" a="1"/>
  <c r="P36" i="17"/>
  <c r="P10" i="30"/>
  <c r="M5" i="32"/>
  <c r="N4" i="35"/>
  <c r="S36" i="17" a="1"/>
  <c r="S36" i="17"/>
  <c r="S10" i="30"/>
  <c r="P5" i="32"/>
  <c r="M36" i="17" a="1"/>
  <c r="M36" i="17"/>
  <c r="M10" i="30"/>
  <c r="J5" i="32"/>
  <c r="K4" i="35"/>
  <c r="O36" i="17" a="1"/>
  <c r="O36" i="17"/>
  <c r="O10" i="30"/>
  <c r="L5" i="32"/>
  <c r="L36" i="17" a="1"/>
  <c r="L36" i="17"/>
  <c r="L10" i="30"/>
  <c r="I5" i="32"/>
  <c r="J4" i="35"/>
  <c r="T36" i="17" a="1"/>
  <c r="T36" i="17"/>
  <c r="T10" i="30"/>
  <c r="Q5" i="32"/>
  <c r="R4" i="35"/>
  <c r="I36" i="17" a="1"/>
  <c r="I36" i="17"/>
  <c r="I10" i="30"/>
  <c r="F5" i="32"/>
  <c r="G4" i="35"/>
  <c r="V36" i="17" a="1"/>
  <c r="V36" i="17"/>
  <c r="V10" i="30"/>
  <c r="S5" i="32"/>
  <c r="T4" i="35"/>
  <c r="N36" i="17" a="1"/>
  <c r="N36" i="17"/>
  <c r="N10" i="30"/>
  <c r="K5" i="32"/>
  <c r="L4" i="35"/>
  <c r="W36" i="17" a="1"/>
  <c r="W36" i="17"/>
  <c r="W10" i="30"/>
  <c r="T5" i="32"/>
  <c r="J36" i="17" a="1"/>
  <c r="J36" i="17"/>
  <c r="J10" i="30"/>
  <c r="G5" i="32"/>
  <c r="H4" i="35"/>
  <c r="U36" i="17" a="1"/>
  <c r="U36" i="17"/>
  <c r="U10" i="30"/>
  <c r="R5" i="32"/>
  <c r="S4" i="35"/>
  <c r="H36" i="17" a="1"/>
  <c r="H36" i="17"/>
  <c r="H10" i="30"/>
  <c r="E5" i="32"/>
  <c r="F4" i="35"/>
  <c r="Z36" i="17" a="1"/>
  <c r="Z36" i="17"/>
  <c r="Z10" i="30"/>
  <c r="W5" i="32"/>
  <c r="X4" i="35"/>
  <c r="Y36" i="17" a="1"/>
  <c r="Y36" i="17"/>
  <c r="Y10" i="30"/>
  <c r="V5" i="32"/>
  <c r="W4" i="35"/>
  <c r="X36" i="17" a="1"/>
  <c r="X36" i="17"/>
  <c r="X10" i="30"/>
  <c r="U5" i="32"/>
  <c r="V4" i="35"/>
  <c r="Y20" i="19"/>
  <c r="Y32" i="19"/>
  <c r="N42" i="17" a="1"/>
  <c r="N42" i="17"/>
  <c r="N16" i="30"/>
  <c r="Q7" i="36"/>
  <c r="M4" i="35"/>
  <c r="M20" i="35"/>
  <c r="AA5" i="32"/>
  <c r="I4" i="35"/>
  <c r="I20" i="35"/>
  <c r="Z5" i="32"/>
  <c r="U4" i="35"/>
  <c r="U19" i="35"/>
  <c r="AC5" i="32"/>
  <c r="Q4" i="35"/>
  <c r="Q19" i="35"/>
  <c r="AB5" i="32"/>
  <c r="E4" i="35"/>
  <c r="E20" i="35"/>
  <c r="D16" i="36"/>
  <c r="Y5" i="32"/>
  <c r="S10" i="33"/>
  <c r="S11" i="33"/>
  <c r="R15" i="35"/>
  <c r="O21" i="35"/>
  <c r="X10" i="35"/>
  <c r="AD10" i="35"/>
  <c r="H44" i="37"/>
  <c r="X11" i="35"/>
  <c r="AD11" i="35"/>
  <c r="H45" i="37"/>
  <c r="G19" i="35"/>
  <c r="G18" i="35"/>
  <c r="G20" i="35"/>
  <c r="X20" i="35"/>
  <c r="AD20" i="35"/>
  <c r="H54" i="37"/>
  <c r="X19" i="35"/>
  <c r="AD19" i="35"/>
  <c r="H53" i="37"/>
  <c r="X18" i="35"/>
  <c r="AD18" i="35"/>
  <c r="H52" i="37"/>
  <c r="R18" i="35"/>
  <c r="R20" i="35"/>
  <c r="R19" i="35"/>
  <c r="P20" i="35"/>
  <c r="P19" i="35"/>
  <c r="P18" i="35"/>
  <c r="W19" i="35"/>
  <c r="W18" i="35"/>
  <c r="W20" i="35"/>
  <c r="K19" i="35"/>
  <c r="K18" i="35"/>
  <c r="K20" i="35"/>
  <c r="Y21" i="19"/>
  <c r="Y38" i="19"/>
  <c r="F18" i="35"/>
  <c r="F19" i="35"/>
  <c r="F20" i="35"/>
  <c r="L20" i="35"/>
  <c r="AA20" i="35"/>
  <c r="E54" i="37"/>
  <c r="L19" i="35"/>
  <c r="L18" i="35"/>
  <c r="AA18" i="35"/>
  <c r="E52" i="37"/>
  <c r="J18" i="35"/>
  <c r="J20" i="35"/>
  <c r="J19" i="35"/>
  <c r="N18" i="35"/>
  <c r="N19" i="35"/>
  <c r="N20" i="35"/>
  <c r="H20" i="35"/>
  <c r="Z20" i="35"/>
  <c r="D54" i="37"/>
  <c r="H19" i="35"/>
  <c r="Z19" i="35"/>
  <c r="D53" i="37"/>
  <c r="H18" i="35"/>
  <c r="Z18" i="35"/>
  <c r="D52" i="37"/>
  <c r="V18" i="35"/>
  <c r="V19" i="35"/>
  <c r="V20" i="35"/>
  <c r="S19" i="35"/>
  <c r="S18" i="35"/>
  <c r="S20" i="35"/>
  <c r="T20" i="35"/>
  <c r="AC20" i="35"/>
  <c r="G54" i="37"/>
  <c r="T19" i="35"/>
  <c r="T18" i="35"/>
  <c r="X12" i="35"/>
  <c r="AD12" i="35"/>
  <c r="H46" i="37"/>
  <c r="V10" i="35"/>
  <c r="V11" i="35"/>
  <c r="V12" i="35"/>
  <c r="I55" i="17" a="1"/>
  <c r="I55" i="17"/>
  <c r="I29" i="30"/>
  <c r="W10" i="35"/>
  <c r="W12" i="35"/>
  <c r="W11" i="35"/>
  <c r="G45" i="17" a="1"/>
  <c r="G45" i="17"/>
  <c r="G19" i="30"/>
  <c r="R10" i="35"/>
  <c r="R12" i="35"/>
  <c r="R11" i="35"/>
  <c r="K55" i="17" a="1"/>
  <c r="K55" i="17"/>
  <c r="K29" i="30"/>
  <c r="W45" i="17" a="1"/>
  <c r="W45" i="17"/>
  <c r="W19" i="30"/>
  <c r="W55" i="17" a="1"/>
  <c r="W55" i="17"/>
  <c r="W29" i="30"/>
  <c r="F10" i="35"/>
  <c r="F11" i="35"/>
  <c r="F12" i="35"/>
  <c r="L12" i="35"/>
  <c r="AA12" i="35"/>
  <c r="E46" i="37"/>
  <c r="L11" i="35"/>
  <c r="AA11" i="35"/>
  <c r="E45" i="37"/>
  <c r="L10" i="35"/>
  <c r="AA10" i="35"/>
  <c r="E44" i="37"/>
  <c r="J10" i="35"/>
  <c r="J12" i="35"/>
  <c r="J11" i="35"/>
  <c r="N10" i="35"/>
  <c r="N10" i="36"/>
  <c r="N11" i="35"/>
  <c r="N11" i="36"/>
  <c r="N12" i="35"/>
  <c r="N12" i="36"/>
  <c r="P12" i="35"/>
  <c r="AB12" i="35"/>
  <c r="F46" i="37"/>
  <c r="P10" i="35"/>
  <c r="AB10" i="35"/>
  <c r="F44" i="37"/>
  <c r="P11" i="35"/>
  <c r="AB11" i="35"/>
  <c r="F45" i="37"/>
  <c r="L45" i="17" a="1"/>
  <c r="L45" i="17"/>
  <c r="L19" i="30"/>
  <c r="L55" i="17" a="1"/>
  <c r="L55" i="17"/>
  <c r="L29" i="30"/>
  <c r="M55" i="17" a="1"/>
  <c r="M55" i="17"/>
  <c r="M29" i="30"/>
  <c r="S11" i="35"/>
  <c r="S10" i="35"/>
  <c r="S12" i="35"/>
  <c r="T12" i="35"/>
  <c r="AC12" i="35"/>
  <c r="G46" i="37"/>
  <c r="T11" i="35"/>
  <c r="AC11" i="35"/>
  <c r="G45" i="37"/>
  <c r="T10" i="35"/>
  <c r="AC10" i="35"/>
  <c r="G44" i="37"/>
  <c r="V45" i="17" a="1"/>
  <c r="V45" i="17"/>
  <c r="V19" i="30"/>
  <c r="S55" i="17" a="1"/>
  <c r="S55" i="17"/>
  <c r="S29" i="30"/>
  <c r="H12" i="35"/>
  <c r="Z12" i="35"/>
  <c r="D46" i="37"/>
  <c r="H10" i="35"/>
  <c r="H11" i="35"/>
  <c r="Z11" i="35"/>
  <c r="D45" i="37"/>
  <c r="G11" i="35"/>
  <c r="G12" i="35"/>
  <c r="G10" i="35"/>
  <c r="K11" i="35"/>
  <c r="K10" i="35"/>
  <c r="K12" i="35"/>
  <c r="T42" i="17" a="1"/>
  <c r="T42" i="17"/>
  <c r="T16" i="30"/>
  <c r="W42" i="17" a="1"/>
  <c r="W42" i="17"/>
  <c r="W16" i="30"/>
  <c r="R39" i="17" a="1"/>
  <c r="R39" i="17"/>
  <c r="R13" i="30"/>
  <c r="I42" i="17" a="1"/>
  <c r="I42" i="17"/>
  <c r="I16" i="30"/>
  <c r="M51" i="17" a="1"/>
  <c r="M51" i="17"/>
  <c r="M25" i="30"/>
  <c r="I57" i="17" a="1"/>
  <c r="I57" i="17"/>
  <c r="I31" i="30"/>
  <c r="G57" i="17" a="1"/>
  <c r="G57" i="17"/>
  <c r="G31" i="30"/>
  <c r="W51" i="17" a="1"/>
  <c r="W51" i="17"/>
  <c r="W25" i="30"/>
  <c r="U39" i="17" a="1"/>
  <c r="U39" i="17"/>
  <c r="U13" i="30"/>
  <c r="N57" i="17" a="1"/>
  <c r="N57" i="17"/>
  <c r="N31" i="30"/>
  <c r="U57" i="17" a="1"/>
  <c r="U57" i="17"/>
  <c r="U31" i="30"/>
  <c r="S57" i="17" a="1"/>
  <c r="S57" i="17"/>
  <c r="S31" i="30"/>
  <c r="L39" i="17" a="1"/>
  <c r="L39" i="17"/>
  <c r="L13" i="30"/>
  <c r="O45" i="17" a="1"/>
  <c r="O45" i="17"/>
  <c r="O19" i="30"/>
  <c r="J45" i="17" a="1"/>
  <c r="J45" i="17"/>
  <c r="J19" i="30"/>
  <c r="H55" i="17" a="1"/>
  <c r="H55" i="17"/>
  <c r="H29" i="30"/>
  <c r="T55" i="17" a="1"/>
  <c r="T55" i="17"/>
  <c r="T29" i="30"/>
  <c r="Q55" i="17" a="1"/>
  <c r="Q55" i="17"/>
  <c r="Q29" i="30"/>
  <c r="Z42" i="17" a="1"/>
  <c r="Z42" i="17"/>
  <c r="Z16" i="30"/>
  <c r="O42" i="17" a="1"/>
  <c r="O42" i="17"/>
  <c r="O16" i="30"/>
  <c r="Q57" i="17" a="1"/>
  <c r="Q57" i="17"/>
  <c r="Q31" i="30"/>
  <c r="W39" i="17" a="1"/>
  <c r="W39" i="17"/>
  <c r="W13" i="30"/>
  <c r="S39" i="17" a="1"/>
  <c r="S39" i="17"/>
  <c r="S13" i="30"/>
  <c r="T57" i="17" a="1"/>
  <c r="T57" i="17"/>
  <c r="T31" i="30"/>
  <c r="I45" i="17" a="1"/>
  <c r="I45" i="17"/>
  <c r="I19" i="30"/>
  <c r="Q45" i="17" a="1"/>
  <c r="Q45" i="17"/>
  <c r="Q19" i="30"/>
  <c r="Y55" i="17" a="1"/>
  <c r="Y55" i="17"/>
  <c r="Y29" i="30"/>
  <c r="R42" i="17" a="1"/>
  <c r="R42" i="17"/>
  <c r="R16" i="30"/>
  <c r="M39" i="17" a="1"/>
  <c r="M39" i="17"/>
  <c r="M13" i="30"/>
  <c r="G39" i="17" a="1"/>
  <c r="G39" i="17"/>
  <c r="G13" i="30"/>
  <c r="T45" i="17" a="1"/>
  <c r="T45" i="17"/>
  <c r="T19" i="30"/>
  <c r="Y46" i="17" a="1"/>
  <c r="Y46" i="17"/>
  <c r="Y20" i="30"/>
  <c r="H39" i="17" a="1"/>
  <c r="H39" i="17"/>
  <c r="H13" i="30"/>
  <c r="R46" i="17" a="1"/>
  <c r="R46" i="17"/>
  <c r="R20" i="30"/>
  <c r="Y39" i="17" a="1"/>
  <c r="Y39" i="17"/>
  <c r="Y13" i="30"/>
  <c r="Z46" i="17" a="1"/>
  <c r="Z46" i="17"/>
  <c r="Z20" i="30"/>
  <c r="K56" i="17" a="1"/>
  <c r="K56" i="17"/>
  <c r="K30" i="30"/>
  <c r="S46" i="17" a="1"/>
  <c r="S46" i="17"/>
  <c r="S20" i="30"/>
  <c r="V38" i="17" a="1"/>
  <c r="V38" i="17"/>
  <c r="V12" i="30"/>
  <c r="K51" i="17" a="1"/>
  <c r="K51" i="17"/>
  <c r="K25" i="30"/>
  <c r="V51" i="17" a="1"/>
  <c r="V51" i="17"/>
  <c r="V25" i="30"/>
  <c r="U51" i="17" a="1"/>
  <c r="U51" i="17"/>
  <c r="U25" i="30"/>
  <c r="L46" i="17" a="1"/>
  <c r="L46" i="17"/>
  <c r="L20" i="30"/>
  <c r="J38" i="17" a="1"/>
  <c r="J38" i="17"/>
  <c r="J12" i="30"/>
  <c r="V46" i="17" a="1"/>
  <c r="V46" i="17"/>
  <c r="V20" i="30"/>
  <c r="R51" i="17" a="1"/>
  <c r="R51" i="17"/>
  <c r="R25" i="30"/>
  <c r="L51" i="17" a="1"/>
  <c r="L51" i="17"/>
  <c r="L25" i="30"/>
  <c r="S44" i="17" a="1"/>
  <c r="S44" i="17"/>
  <c r="S18" i="30"/>
  <c r="N51" i="17" a="1"/>
  <c r="N51" i="17"/>
  <c r="N25" i="30"/>
  <c r="S45" i="17" a="1"/>
  <c r="S45" i="17"/>
  <c r="S19" i="30"/>
  <c r="Z56" i="17" a="1"/>
  <c r="Z56" i="17"/>
  <c r="Z30" i="30"/>
  <c r="G51" i="17" a="1"/>
  <c r="G51" i="17"/>
  <c r="G25" i="30"/>
  <c r="U14" i="32"/>
  <c r="U18" i="32"/>
  <c r="U6" i="32"/>
  <c r="S14" i="32"/>
  <c r="S6" i="32"/>
  <c r="S18" i="32"/>
  <c r="H22" i="32"/>
  <c r="H6" i="32"/>
  <c r="H18" i="32"/>
  <c r="H14" i="32"/>
  <c r="K44" i="17" a="1"/>
  <c r="K44" i="17"/>
  <c r="K18" i="30"/>
  <c r="J44" i="17" a="1"/>
  <c r="J44" i="17"/>
  <c r="J18" i="30"/>
  <c r="G44" i="17" a="1"/>
  <c r="G44" i="17"/>
  <c r="G18" i="30"/>
  <c r="I44" i="17" a="1"/>
  <c r="I44" i="17"/>
  <c r="I18" i="30"/>
  <c r="Z47" i="17" a="1"/>
  <c r="Z47" i="17"/>
  <c r="Z21" i="30"/>
  <c r="L47" i="17" a="1"/>
  <c r="L47" i="17"/>
  <c r="L21" i="30"/>
  <c r="Y47" i="17" a="1"/>
  <c r="Y47" i="17"/>
  <c r="Y21" i="30"/>
  <c r="T47" i="17" a="1"/>
  <c r="T47" i="17"/>
  <c r="T21" i="30"/>
  <c r="T52" i="17" a="1"/>
  <c r="T52" i="17"/>
  <c r="T26" i="30"/>
  <c r="Z52" i="17" a="1"/>
  <c r="Z52" i="17"/>
  <c r="Z26" i="30"/>
  <c r="I52" i="17" a="1"/>
  <c r="I52" i="17"/>
  <c r="I26" i="30"/>
  <c r="G52" i="17" a="1"/>
  <c r="G52" i="17"/>
  <c r="G26" i="30"/>
  <c r="V52" i="17" a="1"/>
  <c r="V52" i="17"/>
  <c r="V26" i="30"/>
  <c r="L52" i="17" a="1"/>
  <c r="L52" i="17"/>
  <c r="L26" i="30"/>
  <c r="P52" i="17" a="1"/>
  <c r="P52" i="17"/>
  <c r="P26" i="30"/>
  <c r="W52" i="17" a="1"/>
  <c r="W52" i="17"/>
  <c r="W26" i="30"/>
  <c r="N52" i="17" a="1"/>
  <c r="N52" i="17"/>
  <c r="N26" i="30"/>
  <c r="M52" i="17" a="1"/>
  <c r="M52" i="17"/>
  <c r="M26" i="30"/>
  <c r="O52" i="17" a="1"/>
  <c r="O52" i="17"/>
  <c r="O26" i="30"/>
  <c r="H47" i="17" a="1"/>
  <c r="H47" i="17"/>
  <c r="H21" i="30"/>
  <c r="T44" i="17" a="1"/>
  <c r="T44" i="17"/>
  <c r="T18" i="30"/>
  <c r="K52" i="17" a="1"/>
  <c r="K52" i="17"/>
  <c r="K26" i="30"/>
  <c r="F14" i="32"/>
  <c r="F18" i="32"/>
  <c r="F6" i="32"/>
  <c r="F22" i="32"/>
  <c r="D18" i="32"/>
  <c r="D6" i="32"/>
  <c r="D22" i="32"/>
  <c r="D14" i="32"/>
  <c r="P47" i="17" a="1"/>
  <c r="P47" i="17"/>
  <c r="P21" i="30"/>
  <c r="X51" i="17" a="1"/>
  <c r="X51" i="17"/>
  <c r="X25" i="30"/>
  <c r="S47" i="17" a="1"/>
  <c r="S47" i="17"/>
  <c r="S21" i="30"/>
  <c r="H51" i="17" a="1"/>
  <c r="H51" i="17"/>
  <c r="H25" i="30"/>
  <c r="S56" i="17" a="1"/>
  <c r="S56" i="17"/>
  <c r="S30" i="30"/>
  <c r="O44" i="17" a="1"/>
  <c r="O44" i="17"/>
  <c r="O18" i="30"/>
  <c r="L44" i="17" a="1"/>
  <c r="L44" i="17"/>
  <c r="L18" i="30"/>
  <c r="Y52" i="17" a="1"/>
  <c r="Y52" i="17"/>
  <c r="Y26" i="30"/>
  <c r="W44" i="17" a="1"/>
  <c r="W44" i="17"/>
  <c r="W18" i="30"/>
  <c r="Y51" i="17" a="1"/>
  <c r="Y51" i="17"/>
  <c r="Y25" i="30"/>
  <c r="N56" i="17" a="1"/>
  <c r="N56" i="17"/>
  <c r="N30" i="30"/>
  <c r="M44" i="17" a="1"/>
  <c r="M44" i="17"/>
  <c r="M18" i="30"/>
  <c r="W18" i="32"/>
  <c r="W6" i="32"/>
  <c r="W14" i="32"/>
  <c r="T18" i="32"/>
  <c r="T6" i="32"/>
  <c r="T14" i="32"/>
  <c r="Q22" i="32"/>
  <c r="Q6" i="32"/>
  <c r="Q14" i="32"/>
  <c r="Q18" i="32"/>
  <c r="P22" i="32"/>
  <c r="P14" i="32"/>
  <c r="P18" i="32"/>
  <c r="P6" i="32"/>
  <c r="O18" i="32"/>
  <c r="O6" i="32"/>
  <c r="O22" i="32"/>
  <c r="O14" i="32"/>
  <c r="V57" i="17" a="1"/>
  <c r="V57" i="17"/>
  <c r="V31" i="30"/>
  <c r="M57" i="17" a="1"/>
  <c r="M57" i="17"/>
  <c r="M31" i="30"/>
  <c r="R57" i="17" a="1"/>
  <c r="R57" i="17"/>
  <c r="R31" i="30"/>
  <c r="X57" i="17" a="1"/>
  <c r="X57" i="17"/>
  <c r="X31" i="30"/>
  <c r="P57" i="17" a="1"/>
  <c r="P57" i="17"/>
  <c r="P31" i="30"/>
  <c r="K57" i="17" a="1"/>
  <c r="K57" i="17"/>
  <c r="K31" i="30"/>
  <c r="O57" i="17" a="1"/>
  <c r="O57" i="17"/>
  <c r="O31" i="30"/>
  <c r="H57" i="17" a="1"/>
  <c r="H57" i="17"/>
  <c r="H31" i="30"/>
  <c r="Z57" i="17" a="1"/>
  <c r="Z57" i="17"/>
  <c r="Z31" i="30"/>
  <c r="V39" i="17" a="1"/>
  <c r="V39" i="17"/>
  <c r="V13" i="30"/>
  <c r="Z39" i="17" a="1"/>
  <c r="Z39" i="17"/>
  <c r="Z13" i="30"/>
  <c r="J39" i="17" a="1"/>
  <c r="J39" i="17"/>
  <c r="J13" i="30"/>
  <c r="T39" i="17" a="1"/>
  <c r="T39" i="17"/>
  <c r="T13" i="30"/>
  <c r="I39" i="17" a="1"/>
  <c r="I39" i="17"/>
  <c r="I13" i="30"/>
  <c r="P39" i="17" a="1"/>
  <c r="P39" i="17"/>
  <c r="P13" i="30"/>
  <c r="N39" i="17" a="1"/>
  <c r="N39" i="17"/>
  <c r="N13" i="30"/>
  <c r="O46" i="17" a="1"/>
  <c r="O46" i="17"/>
  <c r="O20" i="30"/>
  <c r="G46" i="17" a="1"/>
  <c r="G46" i="17"/>
  <c r="G20" i="30"/>
  <c r="I46" i="17" a="1"/>
  <c r="I46" i="17"/>
  <c r="I20" i="30"/>
  <c r="N46" i="17" a="1"/>
  <c r="N46" i="17"/>
  <c r="N20" i="30"/>
  <c r="T46" i="17" a="1"/>
  <c r="T46" i="17"/>
  <c r="T20" i="30"/>
  <c r="X46" i="17" a="1"/>
  <c r="X46" i="17"/>
  <c r="X20" i="30"/>
  <c r="Q46" i="17" a="1"/>
  <c r="Q46" i="17"/>
  <c r="Q20" i="30"/>
  <c r="U46" i="17" a="1"/>
  <c r="U46" i="17"/>
  <c r="U20" i="30"/>
  <c r="J51" i="17" a="1"/>
  <c r="J51" i="17"/>
  <c r="J25" i="30"/>
  <c r="W47" i="17" a="1"/>
  <c r="W47" i="17"/>
  <c r="W21" i="30"/>
  <c r="P56" i="17" a="1"/>
  <c r="P56" i="17"/>
  <c r="P30" i="30"/>
  <c r="U52" i="17" a="1"/>
  <c r="U52" i="17"/>
  <c r="U26" i="30"/>
  <c r="Y56" i="17" a="1"/>
  <c r="Y56" i="17"/>
  <c r="Y30" i="30"/>
  <c r="K38" i="17" a="1"/>
  <c r="K38" i="17"/>
  <c r="K12" i="30"/>
  <c r="M46" i="17" a="1"/>
  <c r="M46" i="17"/>
  <c r="M20" i="30"/>
  <c r="W46" i="17" a="1"/>
  <c r="W46" i="17"/>
  <c r="W20" i="30"/>
  <c r="H52" i="17" a="1"/>
  <c r="H52" i="17"/>
  <c r="H26" i="30"/>
  <c r="K39" i="17" a="1"/>
  <c r="K39" i="17"/>
  <c r="K13" i="30"/>
  <c r="P51" i="17" a="1"/>
  <c r="P51" i="17"/>
  <c r="P25" i="30"/>
  <c r="R56" i="17" a="1"/>
  <c r="R56" i="17"/>
  <c r="R30" i="30"/>
  <c r="I56" i="17" a="1"/>
  <c r="I56" i="17"/>
  <c r="I30" i="30"/>
  <c r="O47" i="17" a="1"/>
  <c r="O47" i="17"/>
  <c r="O21" i="30"/>
  <c r="U47" i="17" a="1"/>
  <c r="U47" i="17"/>
  <c r="U21" i="30"/>
  <c r="Q39" i="17" a="1"/>
  <c r="Q39" i="17"/>
  <c r="Q13" i="30"/>
  <c r="R6" i="32"/>
  <c r="R14" i="32"/>
  <c r="R18" i="32"/>
  <c r="L18" i="32"/>
  <c r="L6" i="32"/>
  <c r="L22" i="32"/>
  <c r="L14" i="32"/>
  <c r="Q44" i="17" a="1"/>
  <c r="Q44" i="17"/>
  <c r="Q18" i="30"/>
  <c r="X52" i="17" a="1"/>
  <c r="X52" i="17"/>
  <c r="X26" i="30"/>
  <c r="X44" i="17" a="1"/>
  <c r="X44" i="17"/>
  <c r="X18" i="30"/>
  <c r="K47" i="17" a="1"/>
  <c r="K47" i="17"/>
  <c r="K21" i="30"/>
  <c r="V18" i="32"/>
  <c r="V6" i="32"/>
  <c r="V14" i="32"/>
  <c r="G22" i="32"/>
  <c r="G14" i="32"/>
  <c r="G18" i="32"/>
  <c r="G6" i="32"/>
  <c r="J14" i="32"/>
  <c r="J18" i="32"/>
  <c r="J22" i="32"/>
  <c r="J6" i="32"/>
  <c r="Z51" i="17" a="1"/>
  <c r="Z51" i="17"/>
  <c r="Z25" i="30"/>
  <c r="Z25" i="19"/>
  <c r="J53" i="17" a="1"/>
  <c r="J53" i="17"/>
  <c r="J27" i="30"/>
  <c r="G7" i="32"/>
  <c r="X56" i="17" a="1"/>
  <c r="X56" i="17"/>
  <c r="X30" i="30"/>
  <c r="G56" i="17" a="1"/>
  <c r="G56" i="17"/>
  <c r="G30" i="30"/>
  <c r="O56" i="17" a="1"/>
  <c r="O56" i="17"/>
  <c r="O30" i="30"/>
  <c r="T56" i="17" a="1"/>
  <c r="T56" i="17"/>
  <c r="T30" i="30"/>
  <c r="U56" i="17" a="1"/>
  <c r="U56" i="17"/>
  <c r="U30" i="30"/>
  <c r="Z12" i="19"/>
  <c r="V40" i="17" a="1"/>
  <c r="V40" i="17"/>
  <c r="V14" i="30"/>
  <c r="U38" i="17" a="1"/>
  <c r="U38" i="17"/>
  <c r="U12" i="30"/>
  <c r="Q38" i="17" a="1"/>
  <c r="Q38" i="17"/>
  <c r="Q12" i="30"/>
  <c r="M38" i="17" a="1"/>
  <c r="M38" i="17"/>
  <c r="M12" i="30"/>
  <c r="H38" i="17" a="1"/>
  <c r="H38" i="17"/>
  <c r="H12" i="30"/>
  <c r="I38" i="17" a="1"/>
  <c r="I38" i="17"/>
  <c r="I12" i="30"/>
  <c r="L38" i="17" a="1"/>
  <c r="L38" i="17"/>
  <c r="L12" i="30"/>
  <c r="S38" i="17" a="1"/>
  <c r="S38" i="17"/>
  <c r="S12" i="30"/>
  <c r="W38" i="17" a="1"/>
  <c r="W38" i="17"/>
  <c r="W12" i="30"/>
  <c r="T38" i="17" a="1"/>
  <c r="T38" i="17"/>
  <c r="T12" i="30"/>
  <c r="N38" i="17" a="1"/>
  <c r="N38" i="17"/>
  <c r="N12" i="30"/>
  <c r="O38" i="17" a="1"/>
  <c r="O38" i="17"/>
  <c r="O12" i="30"/>
  <c r="R52" i="17" a="1"/>
  <c r="R52" i="17"/>
  <c r="R26" i="30"/>
  <c r="R38" i="17" a="1"/>
  <c r="R38" i="17"/>
  <c r="R12" i="30"/>
  <c r="P38" i="17" a="1"/>
  <c r="P38" i="17"/>
  <c r="P12" i="30"/>
  <c r="Y44" i="17" a="1"/>
  <c r="Y44" i="17"/>
  <c r="Y18" i="30"/>
  <c r="V56" i="17" a="1"/>
  <c r="V56" i="17"/>
  <c r="V30" i="30"/>
  <c r="R44" i="17" a="1"/>
  <c r="R44" i="17"/>
  <c r="R18" i="30"/>
  <c r="M47" i="17" a="1"/>
  <c r="M47" i="17"/>
  <c r="M21" i="30"/>
  <c r="V47" i="17" a="1"/>
  <c r="V47" i="17"/>
  <c r="V21" i="30"/>
  <c r="Y38" i="17" a="1"/>
  <c r="Y38" i="17"/>
  <c r="Y12" i="30"/>
  <c r="X47" i="17" a="1"/>
  <c r="X47" i="17"/>
  <c r="X21" i="30"/>
  <c r="J52" i="17" a="1"/>
  <c r="J52" i="17"/>
  <c r="J26" i="30"/>
  <c r="Q56" i="17" a="1"/>
  <c r="Q56" i="17"/>
  <c r="Q30" i="30"/>
  <c r="H56" i="17" a="1"/>
  <c r="H56" i="17"/>
  <c r="H30" i="30"/>
  <c r="L56" i="17" a="1"/>
  <c r="L56" i="17"/>
  <c r="L30" i="30"/>
  <c r="Z44" i="17" a="1"/>
  <c r="Z44" i="17"/>
  <c r="Z18" i="30"/>
  <c r="V44" i="17" a="1"/>
  <c r="V44" i="17"/>
  <c r="V18" i="30"/>
  <c r="H44" i="17" a="1"/>
  <c r="H44" i="17"/>
  <c r="H18" i="30"/>
  <c r="P44" i="17" a="1"/>
  <c r="P44" i="17"/>
  <c r="P18" i="30"/>
  <c r="O51" i="17" a="1"/>
  <c r="O51" i="17"/>
  <c r="O25" i="30"/>
  <c r="E14" i="32"/>
  <c r="E18" i="32"/>
  <c r="E6" i="32"/>
  <c r="E22" i="32"/>
  <c r="K18" i="32"/>
  <c r="K6" i="32"/>
  <c r="K22" i="32"/>
  <c r="K14" i="32"/>
  <c r="I22" i="32"/>
  <c r="I6" i="32"/>
  <c r="I18" i="32"/>
  <c r="I14" i="32"/>
  <c r="M22" i="32"/>
  <c r="M14" i="32"/>
  <c r="M18" i="32"/>
  <c r="M6" i="32"/>
  <c r="Z20" i="19"/>
  <c r="X48" i="17" a="1"/>
  <c r="X48" i="17"/>
  <c r="X22" i="30"/>
  <c r="Q42" i="17" a="1"/>
  <c r="Q42" i="17"/>
  <c r="Q16" i="30"/>
  <c r="L42" i="17" a="1"/>
  <c r="L42" i="17"/>
  <c r="L16" i="30"/>
  <c r="M42" i="17" a="1"/>
  <c r="M42" i="17"/>
  <c r="M16" i="30"/>
  <c r="V42" i="17" a="1"/>
  <c r="V42" i="17"/>
  <c r="V16" i="30"/>
  <c r="J42" i="17" a="1"/>
  <c r="J42" i="17"/>
  <c r="J16" i="30"/>
  <c r="X42" i="17" a="1"/>
  <c r="X42" i="17"/>
  <c r="X16" i="30"/>
  <c r="S42" i="17" a="1"/>
  <c r="S42" i="17"/>
  <c r="S16" i="30"/>
  <c r="P42" i="17" a="1"/>
  <c r="P42" i="17"/>
  <c r="P16" i="30"/>
  <c r="H42" i="17" a="1"/>
  <c r="H42" i="17"/>
  <c r="H16" i="30"/>
  <c r="G42" i="17" a="1"/>
  <c r="G42" i="17"/>
  <c r="G16" i="30"/>
  <c r="K42" i="17" a="1"/>
  <c r="K42" i="17"/>
  <c r="K16" i="30"/>
  <c r="U42" i="17" a="1"/>
  <c r="U42" i="17"/>
  <c r="U16" i="30"/>
  <c r="X45" i="17" a="1"/>
  <c r="X45" i="17"/>
  <c r="X19" i="30"/>
  <c r="Y45" i="17" a="1"/>
  <c r="Y45" i="17"/>
  <c r="Y19" i="30"/>
  <c r="N45" i="17" a="1"/>
  <c r="N45" i="17"/>
  <c r="N19" i="30"/>
  <c r="U45" i="17" a="1"/>
  <c r="U45" i="17"/>
  <c r="U19" i="30"/>
  <c r="R45" i="17" a="1"/>
  <c r="R45" i="17"/>
  <c r="R19" i="30"/>
  <c r="P45" i="17" a="1"/>
  <c r="P45" i="17"/>
  <c r="P19" i="30"/>
  <c r="H45" i="17" a="1"/>
  <c r="H45" i="17"/>
  <c r="H19" i="30"/>
  <c r="K45" i="17" a="1"/>
  <c r="K45" i="17"/>
  <c r="K19" i="30"/>
  <c r="M45" i="17" a="1"/>
  <c r="M45" i="17"/>
  <c r="M19" i="30"/>
  <c r="Z32" i="19"/>
  <c r="J55" i="17" a="1"/>
  <c r="J55" i="17"/>
  <c r="J29" i="30"/>
  <c r="P55" i="17" a="1"/>
  <c r="P55" i="17"/>
  <c r="P29" i="30"/>
  <c r="V55" i="17" a="1"/>
  <c r="V55" i="17"/>
  <c r="V29" i="30"/>
  <c r="G55" i="17" a="1"/>
  <c r="G55" i="17"/>
  <c r="G29" i="30"/>
  <c r="X55" i="17" a="1"/>
  <c r="X55" i="17"/>
  <c r="X29" i="30"/>
  <c r="R55" i="17" a="1"/>
  <c r="R55" i="17"/>
  <c r="R29" i="30"/>
  <c r="Z55" i="17" a="1"/>
  <c r="Z55" i="17"/>
  <c r="Z29" i="30"/>
  <c r="N55" i="17" a="1"/>
  <c r="N55" i="17"/>
  <c r="N29" i="30"/>
  <c r="O55" i="17" a="1"/>
  <c r="O55" i="17"/>
  <c r="O29" i="30"/>
  <c r="Q51" i="17" a="1"/>
  <c r="Q51" i="17"/>
  <c r="Q25" i="30"/>
  <c r="T51" i="17" a="1"/>
  <c r="T51" i="17"/>
  <c r="T25" i="30"/>
  <c r="J47" i="17" a="1"/>
  <c r="J47" i="17"/>
  <c r="J21" i="30"/>
  <c r="Q52" i="17" a="1"/>
  <c r="Q52" i="17"/>
  <c r="Q26" i="30"/>
  <c r="I47" i="17" a="1"/>
  <c r="I47" i="17"/>
  <c r="I21" i="30"/>
  <c r="Z38" i="17" a="1"/>
  <c r="Z38" i="17"/>
  <c r="Z12" i="30"/>
  <c r="X38" i="17" a="1"/>
  <c r="X38" i="17"/>
  <c r="X12" i="30"/>
  <c r="H46" i="17" a="1"/>
  <c r="H46" i="17"/>
  <c r="H20" i="30"/>
  <c r="P46" i="17" a="1"/>
  <c r="P46" i="17"/>
  <c r="P20" i="30"/>
  <c r="J46" i="17" a="1"/>
  <c r="J46" i="17"/>
  <c r="J20" i="30"/>
  <c r="Y57" i="17" a="1"/>
  <c r="Y57" i="17"/>
  <c r="Y31" i="30"/>
  <c r="J56" i="17" a="1"/>
  <c r="J56" i="17"/>
  <c r="J30" i="30"/>
  <c r="O39" i="17" a="1"/>
  <c r="O39" i="17"/>
  <c r="O13" i="30"/>
  <c r="W57" i="17" a="1"/>
  <c r="W57" i="17"/>
  <c r="W31" i="30"/>
  <c r="G47" i="17" a="1"/>
  <c r="G47" i="17"/>
  <c r="G21" i="30"/>
  <c r="V53" i="17" a="1"/>
  <c r="V53" i="17"/>
  <c r="V27" i="30"/>
  <c r="S7" i="32"/>
  <c r="S8" i="32"/>
  <c r="M56" i="17" a="1"/>
  <c r="M56" i="17"/>
  <c r="M30" i="30"/>
  <c r="U44" i="17" a="1"/>
  <c r="U44" i="17"/>
  <c r="U18" i="30"/>
  <c r="Q47" i="17" a="1"/>
  <c r="Q47" i="17"/>
  <c r="Q21" i="30"/>
  <c r="I51" i="17" a="1"/>
  <c r="I51" i="17"/>
  <c r="I25" i="30"/>
  <c r="J57" i="17" a="1"/>
  <c r="J57" i="17"/>
  <c r="J31" i="30"/>
  <c r="N47" i="17" a="1"/>
  <c r="N47" i="17"/>
  <c r="N21" i="30"/>
  <c r="T48" i="17" a="1"/>
  <c r="T48" i="17"/>
  <c r="T22" i="30"/>
  <c r="I52" i="37"/>
  <c r="I53" i="37"/>
  <c r="I46" i="37"/>
  <c r="I54" i="37"/>
  <c r="I45" i="37"/>
  <c r="G10" i="36"/>
  <c r="G12" i="36"/>
  <c r="E10" i="35"/>
  <c r="D10" i="36"/>
  <c r="M11" i="35"/>
  <c r="L11" i="36"/>
  <c r="U12" i="35"/>
  <c r="T12" i="36"/>
  <c r="E12" i="35"/>
  <c r="E12" i="36"/>
  <c r="E19" i="35"/>
  <c r="D15" i="36"/>
  <c r="U10" i="35"/>
  <c r="U10" i="36"/>
  <c r="E18" i="35"/>
  <c r="D14" i="36"/>
  <c r="M12" i="35"/>
  <c r="M12" i="36"/>
  <c r="E11" i="35"/>
  <c r="D11" i="36"/>
  <c r="M10" i="35"/>
  <c r="L10" i="36"/>
  <c r="M19" i="35"/>
  <c r="M15" i="36"/>
  <c r="M18" i="35"/>
  <c r="L14" i="36"/>
  <c r="U20" i="35"/>
  <c r="U16" i="36"/>
  <c r="R15" i="36"/>
  <c r="G17" i="37"/>
  <c r="E17" i="37"/>
  <c r="H17" i="37"/>
  <c r="F17" i="37"/>
  <c r="D17" i="37"/>
  <c r="U11" i="35"/>
  <c r="T11" i="36"/>
  <c r="Q20" i="35"/>
  <c r="Q16" i="36"/>
  <c r="U18" i="35"/>
  <c r="U14" i="36"/>
  <c r="AB18" i="32"/>
  <c r="G30" i="37"/>
  <c r="Y18" i="32"/>
  <c r="D30" i="37"/>
  <c r="Y22" i="32"/>
  <c r="D34" i="37"/>
  <c r="AC18" i="32"/>
  <c r="H30" i="37"/>
  <c r="AA18" i="32"/>
  <c r="F30" i="37"/>
  <c r="AA22" i="32"/>
  <c r="F34" i="37"/>
  <c r="Z18" i="32"/>
  <c r="E30" i="37"/>
  <c r="Z22" i="32"/>
  <c r="E34" i="37"/>
  <c r="Z6" i="32"/>
  <c r="E18" i="37"/>
  <c r="Z14" i="32"/>
  <c r="E26" i="37"/>
  <c r="Y6" i="32"/>
  <c r="D18" i="37"/>
  <c r="Y14" i="32"/>
  <c r="D26" i="37"/>
  <c r="AC6" i="32"/>
  <c r="H18" i="37"/>
  <c r="AC14" i="32"/>
  <c r="H26" i="37"/>
  <c r="AA6" i="32"/>
  <c r="F18" i="37"/>
  <c r="AA14" i="32"/>
  <c r="F26" i="37"/>
  <c r="AB6" i="32"/>
  <c r="G18" i="37"/>
  <c r="AB14" i="32"/>
  <c r="G26" i="37"/>
  <c r="Q11" i="35"/>
  <c r="P11" i="36"/>
  <c r="I11" i="35"/>
  <c r="H11" i="36"/>
  <c r="Q12" i="35"/>
  <c r="Q12" i="36"/>
  <c r="I18" i="35"/>
  <c r="H14" i="36"/>
  <c r="H16" i="36"/>
  <c r="K12" i="36"/>
  <c r="I12" i="35"/>
  <c r="I12" i="36"/>
  <c r="I19" i="35"/>
  <c r="H15" i="36"/>
  <c r="Q18" i="35"/>
  <c r="Q10" i="35"/>
  <c r="Q10" i="36"/>
  <c r="I10" i="35"/>
  <c r="H10" i="36"/>
  <c r="Z10" i="35"/>
  <c r="D44" i="37"/>
  <c r="K15" i="36"/>
  <c r="AA19" i="35"/>
  <c r="E53" i="37"/>
  <c r="O14" i="36"/>
  <c r="AB18" i="35"/>
  <c r="F52" i="37"/>
  <c r="S14" i="36"/>
  <c r="AC18" i="35"/>
  <c r="G52" i="37"/>
  <c r="O15" i="36"/>
  <c r="AB19" i="35"/>
  <c r="F53" i="37"/>
  <c r="S15" i="36"/>
  <c r="AC19" i="35"/>
  <c r="G53" i="37"/>
  <c r="O16" i="36"/>
  <c r="AB20" i="35"/>
  <c r="F54" i="37"/>
  <c r="K14" i="36"/>
  <c r="S13" i="33"/>
  <c r="R21" i="32"/>
  <c r="G14" i="36"/>
  <c r="Q15" i="36"/>
  <c r="R14" i="36"/>
  <c r="S16" i="36"/>
  <c r="R16" i="36"/>
  <c r="G16" i="36"/>
  <c r="M16" i="36"/>
  <c r="I16" i="36"/>
  <c r="W15" i="36"/>
  <c r="J14" i="36"/>
  <c r="U15" i="36"/>
  <c r="K16" i="36"/>
  <c r="V16" i="36"/>
  <c r="F15" i="36"/>
  <c r="E16" i="36"/>
  <c r="J16" i="36"/>
  <c r="V14" i="36"/>
  <c r="T15" i="36"/>
  <c r="W16" i="36"/>
  <c r="N15" i="36"/>
  <c r="G15" i="36"/>
  <c r="V15" i="36"/>
  <c r="F16" i="36"/>
  <c r="N14" i="36"/>
  <c r="L16" i="36"/>
  <c r="J15" i="36"/>
  <c r="P15" i="36"/>
  <c r="W14" i="36"/>
  <c r="F14" i="36"/>
  <c r="N16" i="36"/>
  <c r="S12" i="36"/>
  <c r="J11" i="36"/>
  <c r="R11" i="36"/>
  <c r="W11" i="36"/>
  <c r="W12" i="36"/>
  <c r="G11" i="36"/>
  <c r="S11" i="36"/>
  <c r="F12" i="36"/>
  <c r="O12" i="36"/>
  <c r="V11" i="36"/>
  <c r="J12" i="36"/>
  <c r="R12" i="36"/>
  <c r="K11" i="36"/>
  <c r="F11" i="36"/>
  <c r="V12" i="36"/>
  <c r="O11" i="36"/>
  <c r="V10" i="36"/>
  <c r="F10" i="36"/>
  <c r="S10" i="36"/>
  <c r="K10" i="36"/>
  <c r="J10" i="36"/>
  <c r="R10" i="36"/>
  <c r="W10" i="36"/>
  <c r="O10" i="36"/>
  <c r="V21" i="35"/>
  <c r="T21" i="35"/>
  <c r="S21" i="35"/>
  <c r="F21" i="35"/>
  <c r="R21" i="35"/>
  <c r="H21" i="35"/>
  <c r="J21" i="35"/>
  <c r="W21" i="35"/>
  <c r="N21" i="35"/>
  <c r="L21" i="35"/>
  <c r="K21" i="35"/>
  <c r="P21" i="35"/>
  <c r="X21" i="35"/>
  <c r="G21" i="35"/>
  <c r="J48" i="17" a="1"/>
  <c r="J48" i="17"/>
  <c r="J22" i="30"/>
  <c r="O40" i="17" a="1"/>
  <c r="O40" i="17"/>
  <c r="O14" i="30"/>
  <c r="Q40" i="17" a="1"/>
  <c r="Q40" i="17"/>
  <c r="Q14" i="30"/>
  <c r="W40" i="17" a="1"/>
  <c r="W40" i="17"/>
  <c r="W14" i="30"/>
  <c r="G40" i="17" a="1"/>
  <c r="G40" i="17"/>
  <c r="G14" i="30"/>
  <c r="R53" i="17" a="1"/>
  <c r="R53" i="17"/>
  <c r="R27" i="30"/>
  <c r="O7" i="32"/>
  <c r="O8" i="32"/>
  <c r="P48" i="17" a="1"/>
  <c r="P48" i="17"/>
  <c r="P22" i="30"/>
  <c r="R48" i="17" a="1"/>
  <c r="R48" i="17"/>
  <c r="R22" i="30"/>
  <c r="U40" i="17" a="1"/>
  <c r="U40" i="17"/>
  <c r="U14" i="30"/>
  <c r="W48" i="17" a="1"/>
  <c r="W48" i="17"/>
  <c r="W22" i="30"/>
  <c r="P40" i="17" a="1"/>
  <c r="P40" i="17"/>
  <c r="P14" i="30"/>
  <c r="G8" i="32"/>
  <c r="X60" i="17" a="1"/>
  <c r="X60" i="17"/>
  <c r="X34" i="30"/>
  <c r="U11" i="32"/>
  <c r="U12" i="32"/>
  <c r="Q60" i="17" a="1"/>
  <c r="Q60" i="17"/>
  <c r="Q34" i="30"/>
  <c r="N11" i="32"/>
  <c r="N12" i="32"/>
  <c r="N60" i="17" a="1"/>
  <c r="N60" i="17"/>
  <c r="N34" i="30"/>
  <c r="K11" i="32"/>
  <c r="K12" i="32"/>
  <c r="J60" i="17" a="1"/>
  <c r="J60" i="17"/>
  <c r="J34" i="30"/>
  <c r="G11" i="32"/>
  <c r="G12" i="32"/>
  <c r="O60" i="17" a="1"/>
  <c r="O60" i="17"/>
  <c r="O34" i="30"/>
  <c r="L11" i="32"/>
  <c r="V60" i="17" a="1"/>
  <c r="V60" i="17"/>
  <c r="V34" i="30"/>
  <c r="S11" i="32"/>
  <c r="S12" i="32"/>
  <c r="X53" i="17" a="1"/>
  <c r="X53" i="17"/>
  <c r="X27" i="30"/>
  <c r="U7" i="32"/>
  <c r="W60" i="17" a="1"/>
  <c r="W60" i="17"/>
  <c r="W34" i="30"/>
  <c r="T11" i="32"/>
  <c r="M53" i="17" a="1"/>
  <c r="M53" i="17"/>
  <c r="M27" i="30"/>
  <c r="J7" i="32"/>
  <c r="P60" i="17" a="1"/>
  <c r="P60" i="17"/>
  <c r="P34" i="30"/>
  <c r="M11" i="32"/>
  <c r="M12" i="32"/>
  <c r="I53" i="17" a="1"/>
  <c r="I53" i="17"/>
  <c r="I27" i="30"/>
  <c r="F7" i="32"/>
  <c r="Z60" i="17" a="1"/>
  <c r="Z60" i="17"/>
  <c r="Z34" i="30"/>
  <c r="W11" i="32"/>
  <c r="W12" i="32"/>
  <c r="U60" i="17" a="1"/>
  <c r="U60" i="17"/>
  <c r="U34" i="30"/>
  <c r="R11" i="32"/>
  <c r="R12" i="32"/>
  <c r="U53" i="17" a="1"/>
  <c r="U53" i="17"/>
  <c r="U27" i="30"/>
  <c r="R7" i="32"/>
  <c r="Z48" i="17" a="1"/>
  <c r="Z48" i="17"/>
  <c r="Z22" i="30"/>
  <c r="Z21" i="19"/>
  <c r="H48" i="17" a="1"/>
  <c r="H48" i="17"/>
  <c r="H22" i="30"/>
  <c r="L48" i="17" a="1"/>
  <c r="L48" i="17"/>
  <c r="L22" i="30"/>
  <c r="M48" i="17" a="1"/>
  <c r="M48" i="17"/>
  <c r="M22" i="30"/>
  <c r="Y48" i="17" a="1"/>
  <c r="Y48" i="17"/>
  <c r="Y22" i="30"/>
  <c r="V48" i="17" a="1"/>
  <c r="V48" i="17"/>
  <c r="V22" i="30"/>
  <c r="S48" i="17" a="1"/>
  <c r="S48" i="17"/>
  <c r="S22" i="30"/>
  <c r="G48" i="17" a="1"/>
  <c r="G48" i="17"/>
  <c r="G22" i="30"/>
  <c r="Q48" i="17" a="1"/>
  <c r="Q48" i="17"/>
  <c r="Q22" i="30"/>
  <c r="K48" i="17" a="1"/>
  <c r="K48" i="17"/>
  <c r="K22" i="30"/>
  <c r="O48" i="17" a="1"/>
  <c r="O48" i="17"/>
  <c r="O22" i="30"/>
  <c r="U48" i="17" a="1"/>
  <c r="U48" i="17"/>
  <c r="U22" i="30"/>
  <c r="G53" i="17" a="1"/>
  <c r="G53" i="17"/>
  <c r="G27" i="30"/>
  <c r="D7" i="32"/>
  <c r="S60" i="17" a="1"/>
  <c r="S60" i="17"/>
  <c r="S34" i="30"/>
  <c r="P11" i="32"/>
  <c r="K40" i="17" a="1"/>
  <c r="K40" i="17"/>
  <c r="K14" i="30"/>
  <c r="S40" i="17" a="1"/>
  <c r="S40" i="17"/>
  <c r="S14" i="30"/>
  <c r="L40" i="17" a="1"/>
  <c r="L40" i="17"/>
  <c r="L14" i="30"/>
  <c r="Z40" i="17" a="1"/>
  <c r="Z40" i="17"/>
  <c r="Z14" i="30"/>
  <c r="R40" i="17" a="1"/>
  <c r="R40" i="17"/>
  <c r="R14" i="30"/>
  <c r="I40" i="17" a="1"/>
  <c r="I40" i="17"/>
  <c r="I14" i="30"/>
  <c r="M40" i="17" a="1"/>
  <c r="M40" i="17"/>
  <c r="M14" i="30"/>
  <c r="H40" i="17" a="1"/>
  <c r="H40" i="17"/>
  <c r="H14" i="30"/>
  <c r="N53" i="17" a="1"/>
  <c r="N53" i="17"/>
  <c r="N27" i="30"/>
  <c r="K7" i="32"/>
  <c r="I48" i="17" a="1"/>
  <c r="I48" i="17"/>
  <c r="I22" i="30"/>
  <c r="N40" i="17" a="1"/>
  <c r="N40" i="17"/>
  <c r="N14" i="30"/>
  <c r="O53" i="17" a="1"/>
  <c r="O53" i="17"/>
  <c r="O27" i="30"/>
  <c r="L7" i="32"/>
  <c r="H60" i="17" a="1"/>
  <c r="H60" i="17"/>
  <c r="H34" i="30"/>
  <c r="E11" i="32"/>
  <c r="E12" i="32"/>
  <c r="J40" i="17" a="1"/>
  <c r="J40" i="17"/>
  <c r="J14" i="30"/>
  <c r="T60" i="17" a="1"/>
  <c r="T60" i="17"/>
  <c r="T34" i="30"/>
  <c r="Q11" i="32"/>
  <c r="Q12" i="32"/>
  <c r="Y60" i="17" a="1"/>
  <c r="Y60" i="17"/>
  <c r="Y34" i="30"/>
  <c r="V11" i="32"/>
  <c r="V12" i="32"/>
  <c r="H53" i="17" a="1"/>
  <c r="H53" i="17"/>
  <c r="H27" i="30"/>
  <c r="E7" i="32"/>
  <c r="M60" i="17" a="1"/>
  <c r="M60" i="17"/>
  <c r="M34" i="30"/>
  <c r="J11" i="32"/>
  <c r="J12" i="32"/>
  <c r="T53" i="17" a="1"/>
  <c r="T53" i="17"/>
  <c r="T27" i="30"/>
  <c r="Q7" i="32"/>
  <c r="L60" i="17" a="1"/>
  <c r="L60" i="17"/>
  <c r="L34" i="30"/>
  <c r="I11" i="32"/>
  <c r="I12" i="32"/>
  <c r="Y53" i="17" a="1"/>
  <c r="Y53" i="17"/>
  <c r="Y27" i="30"/>
  <c r="V7" i="32"/>
  <c r="R60" i="17" a="1"/>
  <c r="R60" i="17"/>
  <c r="R34" i="30"/>
  <c r="O11" i="32"/>
  <c r="O12" i="32"/>
  <c r="K60" i="17" a="1"/>
  <c r="K60" i="17"/>
  <c r="K34" i="30"/>
  <c r="H11" i="32"/>
  <c r="P53" i="17" a="1"/>
  <c r="P53" i="17"/>
  <c r="P27" i="30"/>
  <c r="M7" i="32"/>
  <c r="W53" i="17" a="1"/>
  <c r="W53" i="17"/>
  <c r="W27" i="30"/>
  <c r="T7" i="32"/>
  <c r="G60" i="17" a="1"/>
  <c r="G60" i="17"/>
  <c r="G34" i="30"/>
  <c r="D11" i="32"/>
  <c r="Q53" i="17" a="1"/>
  <c r="Q53" i="17"/>
  <c r="Q27" i="30"/>
  <c r="N7" i="32"/>
  <c r="S53" i="17" a="1"/>
  <c r="S53" i="17"/>
  <c r="S27" i="30"/>
  <c r="P7" i="32"/>
  <c r="N48" i="17" a="1"/>
  <c r="N48" i="17"/>
  <c r="N22" i="30"/>
  <c r="Y40" i="17" a="1"/>
  <c r="Y40" i="17"/>
  <c r="Y14" i="30"/>
  <c r="K53" i="17" a="1"/>
  <c r="K53" i="17"/>
  <c r="K27" i="30"/>
  <c r="H7" i="32"/>
  <c r="T40" i="17" a="1"/>
  <c r="T40" i="17"/>
  <c r="T14" i="30"/>
  <c r="X40" i="17" a="1"/>
  <c r="X40" i="17"/>
  <c r="X14" i="30"/>
  <c r="I60" i="17" a="1"/>
  <c r="I60" i="17"/>
  <c r="I34" i="30"/>
  <c r="F11" i="32"/>
  <c r="F12" i="32"/>
  <c r="Z53" i="17" a="1"/>
  <c r="Z53" i="17"/>
  <c r="Z27" i="30"/>
  <c r="W7" i="32"/>
  <c r="L53" i="17" a="1"/>
  <c r="L53" i="17"/>
  <c r="L27" i="30"/>
  <c r="I7" i="32"/>
  <c r="N68" i="37"/>
  <c r="N30" i="37"/>
  <c r="N35" i="37"/>
  <c r="N37" i="37"/>
  <c r="I44" i="37"/>
  <c r="I17" i="37"/>
  <c r="O68" i="37"/>
  <c r="O30" i="37"/>
  <c r="P68" i="37"/>
  <c r="Q68" i="37"/>
  <c r="M32" i="37"/>
  <c r="M30" i="37"/>
  <c r="M68" i="37"/>
  <c r="P35" i="37"/>
  <c r="P37" i="37"/>
  <c r="P40" i="37"/>
  <c r="P42" i="37"/>
  <c r="O35" i="37"/>
  <c r="O37" i="37"/>
  <c r="O40" i="37"/>
  <c r="O42" i="37"/>
  <c r="Q35" i="37"/>
  <c r="Q40" i="37"/>
  <c r="Q42" i="37"/>
  <c r="N40" i="37"/>
  <c r="N42" i="37"/>
  <c r="M40" i="37"/>
  <c r="M42" i="37"/>
  <c r="M11" i="36"/>
  <c r="AA11" i="36"/>
  <c r="F73" i="37"/>
  <c r="E10" i="36"/>
  <c r="Y10" i="36"/>
  <c r="D72" i="37"/>
  <c r="D12" i="36"/>
  <c r="Y12" i="36"/>
  <c r="D74" i="37"/>
  <c r="L12" i="36"/>
  <c r="AA12" i="36"/>
  <c r="F74" i="37"/>
  <c r="E11" i="36"/>
  <c r="Y11" i="36"/>
  <c r="D73" i="37"/>
  <c r="T16" i="36"/>
  <c r="AC16" i="36"/>
  <c r="H78" i="37"/>
  <c r="U12" i="36"/>
  <c r="AC12" i="36"/>
  <c r="H74" i="37"/>
  <c r="E14" i="36"/>
  <c r="E15" i="36"/>
  <c r="Y15" i="36"/>
  <c r="D77" i="37"/>
  <c r="T10" i="36"/>
  <c r="AC10" i="36"/>
  <c r="H72" i="37"/>
  <c r="M10" i="36"/>
  <c r="E21" i="35"/>
  <c r="L15" i="36"/>
  <c r="M14" i="36"/>
  <c r="AA14" i="36"/>
  <c r="F76" i="37"/>
  <c r="P16" i="36"/>
  <c r="AB16" i="36"/>
  <c r="G78" i="37"/>
  <c r="M21" i="35"/>
  <c r="U21" i="35"/>
  <c r="Q11" i="36"/>
  <c r="AB11" i="36"/>
  <c r="G73" i="37"/>
  <c r="U11" i="36"/>
  <c r="I11" i="36"/>
  <c r="Z11" i="36"/>
  <c r="E73" i="37"/>
  <c r="T14" i="36"/>
  <c r="Q21" i="35"/>
  <c r="P10" i="36"/>
  <c r="AB10" i="36"/>
  <c r="G72" i="37"/>
  <c r="I14" i="36"/>
  <c r="Z14" i="36"/>
  <c r="E76" i="37"/>
  <c r="P12" i="36"/>
  <c r="AB12" i="36"/>
  <c r="G74" i="37"/>
  <c r="I21" i="35"/>
  <c r="Q14" i="36"/>
  <c r="I15" i="36"/>
  <c r="Z15" i="36"/>
  <c r="E77" i="37"/>
  <c r="H12" i="36"/>
  <c r="Z12" i="36"/>
  <c r="E74" i="37"/>
  <c r="I10" i="36"/>
  <c r="Z10" i="36"/>
  <c r="E72" i="37"/>
  <c r="D12" i="32"/>
  <c r="Y11" i="32"/>
  <c r="AC7" i="32"/>
  <c r="Y16" i="36"/>
  <c r="D78" i="37"/>
  <c r="P14" i="36"/>
  <c r="AB7" i="32"/>
  <c r="AA7" i="32"/>
  <c r="P12" i="32"/>
  <c r="AB11" i="32"/>
  <c r="L12" i="32"/>
  <c r="AA11" i="32"/>
  <c r="Z7" i="32"/>
  <c r="H12" i="32"/>
  <c r="Z11" i="32"/>
  <c r="Y7" i="32"/>
  <c r="T12" i="32"/>
  <c r="AC11" i="32"/>
  <c r="Z16" i="36"/>
  <c r="E78" i="37"/>
  <c r="AB15" i="36"/>
  <c r="G77" i="37"/>
  <c r="AA16" i="36"/>
  <c r="F78" i="37"/>
  <c r="AC15" i="36"/>
  <c r="H77" i="37"/>
  <c r="AD21" i="35"/>
  <c r="H55" i="37"/>
  <c r="AA21" i="35"/>
  <c r="E55" i="37"/>
  <c r="AB21" i="35"/>
  <c r="F55" i="37"/>
  <c r="Z21" i="35"/>
  <c r="D55" i="37"/>
  <c r="AC21" i="35"/>
  <c r="G55" i="37"/>
  <c r="R7" i="36"/>
  <c r="R22" i="32"/>
  <c r="T10" i="33"/>
  <c r="T11" i="33"/>
  <c r="S15" i="35"/>
  <c r="G17" i="36"/>
  <c r="N17" i="36"/>
  <c r="R17" i="36"/>
  <c r="V17" i="36"/>
  <c r="O17" i="36"/>
  <c r="J17" i="36"/>
  <c r="F17" i="36"/>
  <c r="W17" i="36"/>
  <c r="K17" i="36"/>
  <c r="S17" i="36"/>
  <c r="Q8" i="32"/>
  <c r="L8" i="32"/>
  <c r="W8" i="32"/>
  <c r="V8" i="32"/>
  <c r="D8" i="32"/>
  <c r="Z38" i="19"/>
  <c r="X49" i="17" a="1"/>
  <c r="X49" i="17"/>
  <c r="X23" i="30"/>
  <c r="U9" i="32"/>
  <c r="U10" i="32"/>
  <c r="K49" i="17" a="1"/>
  <c r="K49" i="17"/>
  <c r="K23" i="30"/>
  <c r="H9" i="32"/>
  <c r="R49" i="17" a="1"/>
  <c r="R49" i="17"/>
  <c r="R23" i="30"/>
  <c r="O9" i="32"/>
  <c r="V49" i="17" a="1"/>
  <c r="V49" i="17"/>
  <c r="V23" i="30"/>
  <c r="S9" i="32"/>
  <c r="U49" i="17" a="1"/>
  <c r="U49" i="17"/>
  <c r="U23" i="30"/>
  <c r="R9" i="32"/>
  <c r="R10" i="32"/>
  <c r="Z49" i="17" a="1"/>
  <c r="Z49" i="17"/>
  <c r="Z23" i="30"/>
  <c r="W9" i="32"/>
  <c r="W10" i="32"/>
  <c r="T49" i="17" a="1"/>
  <c r="T49" i="17"/>
  <c r="T23" i="30"/>
  <c r="Q9" i="32"/>
  <c r="Q10" i="32"/>
  <c r="M49" i="17" a="1"/>
  <c r="M49" i="17"/>
  <c r="M23" i="30"/>
  <c r="J9" i="32"/>
  <c r="J10" i="32"/>
  <c r="O49" i="17" a="1"/>
  <c r="O49" i="17"/>
  <c r="O23" i="30"/>
  <c r="L9" i="32"/>
  <c r="I49" i="17" a="1"/>
  <c r="I49" i="17"/>
  <c r="I23" i="30"/>
  <c r="F9" i="32"/>
  <c r="F10" i="32"/>
  <c r="J49" i="17" a="1"/>
  <c r="J49" i="17"/>
  <c r="J23" i="30"/>
  <c r="G9" i="32"/>
  <c r="Q49" i="17" a="1"/>
  <c r="Q49" i="17"/>
  <c r="Q23" i="30"/>
  <c r="N9" i="32"/>
  <c r="N10" i="32"/>
  <c r="Y49" i="17" a="1"/>
  <c r="Y49" i="17"/>
  <c r="Y23" i="30"/>
  <c r="V9" i="32"/>
  <c r="V10" i="32"/>
  <c r="L49" i="17" a="1"/>
  <c r="L49" i="17"/>
  <c r="L23" i="30"/>
  <c r="I9" i="32"/>
  <c r="I10" i="32"/>
  <c r="H49" i="17" a="1"/>
  <c r="H49" i="17"/>
  <c r="H23" i="30"/>
  <c r="E9" i="32"/>
  <c r="E10" i="32"/>
  <c r="N49" i="17" a="1"/>
  <c r="N49" i="17"/>
  <c r="N23" i="30"/>
  <c r="K9" i="32"/>
  <c r="K10" i="32"/>
  <c r="P49" i="17" a="1"/>
  <c r="P49" i="17"/>
  <c r="P23" i="30"/>
  <c r="M9" i="32"/>
  <c r="M10" i="32"/>
  <c r="G49" i="17" a="1"/>
  <c r="G49" i="17"/>
  <c r="G23" i="30"/>
  <c r="D9" i="32"/>
  <c r="S49" i="17" a="1"/>
  <c r="S49" i="17"/>
  <c r="S23" i="30"/>
  <c r="P9" i="32"/>
  <c r="W49" i="17" a="1"/>
  <c r="W49" i="17"/>
  <c r="W23" i="30"/>
  <c r="T9" i="32"/>
  <c r="P8" i="32"/>
  <c r="M8" i="32"/>
  <c r="F8" i="32"/>
  <c r="U8" i="32"/>
  <c r="I8" i="32"/>
  <c r="J8" i="32"/>
  <c r="T8" i="32"/>
  <c r="H8" i="32"/>
  <c r="N8" i="32"/>
  <c r="E8" i="32"/>
  <c r="K8" i="32"/>
  <c r="R8" i="32"/>
  <c r="Q37" i="37"/>
  <c r="U17" i="36"/>
  <c r="I55" i="37"/>
  <c r="D17" i="36"/>
  <c r="L17" i="36"/>
  <c r="AC11" i="36"/>
  <c r="H73" i="37"/>
  <c r="E17" i="36"/>
  <c r="Y14" i="36"/>
  <c r="D76" i="37"/>
  <c r="AA15" i="36"/>
  <c r="F77" i="37"/>
  <c r="M17" i="36"/>
  <c r="AA10" i="36"/>
  <c r="F72" i="37"/>
  <c r="T17" i="36"/>
  <c r="AC14" i="36"/>
  <c r="H76" i="37"/>
  <c r="Q17" i="36"/>
  <c r="AB8" i="32"/>
  <c r="G20" i="37"/>
  <c r="G19" i="37"/>
  <c r="Z8" i="32"/>
  <c r="E20" i="37"/>
  <c r="E19" i="37"/>
  <c r="AB12" i="32"/>
  <c r="G24" i="37"/>
  <c r="G23" i="37"/>
  <c r="AC12" i="32"/>
  <c r="H24" i="37"/>
  <c r="H23" i="37"/>
  <c r="Y12" i="32"/>
  <c r="D24" i="37"/>
  <c r="D23" i="37"/>
  <c r="Y8" i="32"/>
  <c r="D20" i="37"/>
  <c r="D19" i="37"/>
  <c r="M70" i="37"/>
  <c r="Z12" i="32"/>
  <c r="E24" i="37"/>
  <c r="E23" i="37"/>
  <c r="AA12" i="32"/>
  <c r="F24" i="37"/>
  <c r="F23" i="37"/>
  <c r="AA8" i="32"/>
  <c r="F20" i="37"/>
  <c r="F19" i="37"/>
  <c r="AC8" i="32"/>
  <c r="H20" i="37"/>
  <c r="H19" i="37"/>
  <c r="H17" i="36"/>
  <c r="AB14" i="36"/>
  <c r="G76" i="37"/>
  <c r="I17" i="36"/>
  <c r="P17" i="36"/>
  <c r="L10" i="32"/>
  <c r="AA9" i="32"/>
  <c r="P10" i="32"/>
  <c r="AB9" i="32"/>
  <c r="T10" i="32"/>
  <c r="AC9" i="32"/>
  <c r="D10" i="32"/>
  <c r="Y9" i="32"/>
  <c r="H10" i="32"/>
  <c r="Z9" i="32"/>
  <c r="T13" i="33"/>
  <c r="S21" i="32"/>
  <c r="AB21" i="32"/>
  <c r="J15" i="32"/>
  <c r="J19" i="32"/>
  <c r="E15" i="32"/>
  <c r="E16" i="32"/>
  <c r="H15" i="32"/>
  <c r="F15" i="32"/>
  <c r="F19" i="32"/>
  <c r="I15" i="32"/>
  <c r="I16" i="32"/>
  <c r="V15" i="32"/>
  <c r="R15" i="32"/>
  <c r="S10" i="32"/>
  <c r="S15" i="32"/>
  <c r="G10" i="32"/>
  <c r="G15" i="32"/>
  <c r="O10" i="32"/>
  <c r="O15" i="32"/>
  <c r="D15" i="32"/>
  <c r="W15" i="32"/>
  <c r="Q15" i="32"/>
  <c r="L15" i="32"/>
  <c r="U15" i="32"/>
  <c r="M15" i="32"/>
  <c r="Z66" i="17" a="1"/>
  <c r="Z66" i="17"/>
  <c r="Z40" i="30"/>
  <c r="S66" i="17" a="1"/>
  <c r="S66" i="17"/>
  <c r="S40" i="30"/>
  <c r="U66" i="17" a="1"/>
  <c r="U66" i="17"/>
  <c r="U40" i="30"/>
  <c r="W66" i="17" a="1"/>
  <c r="W66" i="17"/>
  <c r="W40" i="30"/>
  <c r="M66" i="17" a="1"/>
  <c r="M66" i="17"/>
  <c r="M40" i="30"/>
  <c r="J66" i="17" a="1"/>
  <c r="J66" i="17"/>
  <c r="J40" i="30"/>
  <c r="I66" i="17" a="1"/>
  <c r="I66" i="17"/>
  <c r="I40" i="30"/>
  <c r="T66" i="17" a="1"/>
  <c r="T66" i="17"/>
  <c r="T40" i="30"/>
  <c r="Y66" i="17" a="1"/>
  <c r="Y66" i="17"/>
  <c r="Y40" i="30"/>
  <c r="O66" i="17" a="1"/>
  <c r="O66" i="17"/>
  <c r="O40" i="30"/>
  <c r="R66" i="17" a="1"/>
  <c r="R66" i="17"/>
  <c r="R40" i="30"/>
  <c r="H66" i="17" a="1"/>
  <c r="H66" i="17"/>
  <c r="H40" i="30"/>
  <c r="G66" i="17" a="1"/>
  <c r="G66" i="17"/>
  <c r="G40" i="30"/>
  <c r="Q66" i="17" a="1"/>
  <c r="Q66" i="17"/>
  <c r="Q40" i="30"/>
  <c r="P66" i="17" a="1"/>
  <c r="P66" i="17"/>
  <c r="P40" i="30"/>
  <c r="N66" i="17" a="1"/>
  <c r="N66" i="17"/>
  <c r="N40" i="30"/>
  <c r="X66" i="17" a="1"/>
  <c r="X66" i="17"/>
  <c r="X40" i="30"/>
  <c r="L66" i="17" a="1"/>
  <c r="L66" i="17"/>
  <c r="L40" i="30"/>
  <c r="K66" i="17" a="1"/>
  <c r="K66" i="17"/>
  <c r="K40" i="30"/>
  <c r="V66" i="17" a="1"/>
  <c r="V66" i="17"/>
  <c r="V40" i="30"/>
  <c r="K15" i="32"/>
  <c r="N15" i="32"/>
  <c r="T15" i="32"/>
  <c r="P15" i="32"/>
  <c r="AC17" i="36"/>
  <c r="H79" i="37"/>
  <c r="AB17" i="36"/>
  <c r="G79" i="37"/>
  <c r="I19" i="37"/>
  <c r="I23" i="37"/>
  <c r="Q66" i="37"/>
  <c r="Q70" i="37"/>
  <c r="O66" i="37"/>
  <c r="O70" i="37"/>
  <c r="P66" i="37"/>
  <c r="P70" i="37"/>
  <c r="N66" i="37"/>
  <c r="N70" i="37"/>
  <c r="M35" i="37"/>
  <c r="M66" i="37"/>
  <c r="M72" i="37"/>
  <c r="G33" i="37"/>
  <c r="AB22" i="32"/>
  <c r="G34" i="37"/>
  <c r="Y17" i="36"/>
  <c r="D79" i="37"/>
  <c r="AA17" i="36"/>
  <c r="F79" i="37"/>
  <c r="AB10" i="32"/>
  <c r="G22" i="37"/>
  <c r="G21" i="37"/>
  <c r="Z10" i="32"/>
  <c r="E22" i="37"/>
  <c r="E21" i="37"/>
  <c r="AC10" i="32"/>
  <c r="H22" i="37"/>
  <c r="H21" i="37"/>
  <c r="AA10" i="32"/>
  <c r="F22" i="37"/>
  <c r="F21" i="37"/>
  <c r="Y10" i="32"/>
  <c r="D22" i="37"/>
  <c r="D21" i="37"/>
  <c r="Z17" i="36"/>
  <c r="E79" i="37"/>
  <c r="AC15" i="32"/>
  <c r="Y15" i="32"/>
  <c r="AA15" i="32"/>
  <c r="AB15" i="32"/>
  <c r="H16" i="32"/>
  <c r="Z15" i="32"/>
  <c r="S7" i="36"/>
  <c r="S22" i="32"/>
  <c r="U10" i="33"/>
  <c r="U11" i="33"/>
  <c r="T15" i="35"/>
  <c r="AC15" i="35"/>
  <c r="G49" i="37"/>
  <c r="H19" i="32"/>
  <c r="E19" i="32"/>
  <c r="E20" i="32"/>
  <c r="J16" i="32"/>
  <c r="F16" i="32"/>
  <c r="I19" i="32"/>
  <c r="I20" i="32"/>
  <c r="U19" i="32"/>
  <c r="U16" i="32"/>
  <c r="Q19" i="32"/>
  <c r="Q16" i="32"/>
  <c r="F20" i="32"/>
  <c r="F23" i="32"/>
  <c r="N16" i="32"/>
  <c r="N19" i="32"/>
  <c r="W19" i="32"/>
  <c r="W16" i="32"/>
  <c r="G19" i="32"/>
  <c r="G16" i="32"/>
  <c r="R19" i="32"/>
  <c r="R16" i="32"/>
  <c r="P16" i="32"/>
  <c r="P19" i="32"/>
  <c r="M19" i="32"/>
  <c r="M16" i="32"/>
  <c r="L19" i="32"/>
  <c r="L16" i="32"/>
  <c r="O19" i="32"/>
  <c r="O16" i="32"/>
  <c r="S16" i="32"/>
  <c r="S19" i="32"/>
  <c r="T19" i="32"/>
  <c r="T16" i="32"/>
  <c r="K19" i="32"/>
  <c r="K16" i="32"/>
  <c r="J20" i="32"/>
  <c r="J23" i="32"/>
  <c r="D19" i="32"/>
  <c r="D16" i="32"/>
  <c r="V19" i="32"/>
  <c r="V16" i="32"/>
  <c r="M37" i="37"/>
  <c r="T37" i="37"/>
  <c r="T35" i="37"/>
  <c r="I21" i="37"/>
  <c r="P30" i="37"/>
  <c r="Q72" i="37"/>
  <c r="P72" i="37"/>
  <c r="N72" i="37"/>
  <c r="O72" i="37"/>
  <c r="AB16" i="32"/>
  <c r="G28" i="37"/>
  <c r="G27" i="37"/>
  <c r="AC16" i="32"/>
  <c r="H28" i="37"/>
  <c r="H27" i="37"/>
  <c r="AA16" i="32"/>
  <c r="F28" i="37"/>
  <c r="F27" i="37"/>
  <c r="Z16" i="32"/>
  <c r="E28" i="37"/>
  <c r="E27" i="37"/>
  <c r="Y16" i="32"/>
  <c r="D28" i="37"/>
  <c r="D27" i="37"/>
  <c r="Y19" i="32"/>
  <c r="AB19" i="32"/>
  <c r="H20" i="32"/>
  <c r="Z19" i="32"/>
  <c r="AA19" i="32"/>
  <c r="AC19" i="32"/>
  <c r="U13" i="33"/>
  <c r="T21" i="32"/>
  <c r="T23" i="32"/>
  <c r="H23" i="32"/>
  <c r="E23" i="32"/>
  <c r="E24" i="32"/>
  <c r="I23" i="32"/>
  <c r="I24" i="32"/>
  <c r="S20" i="32"/>
  <c r="S23" i="32"/>
  <c r="N23" i="32"/>
  <c r="N20" i="32"/>
  <c r="V20" i="32"/>
  <c r="K23" i="32"/>
  <c r="K20" i="32"/>
  <c r="L23" i="32"/>
  <c r="L20" i="32"/>
  <c r="P23" i="32"/>
  <c r="P20" i="32"/>
  <c r="M23" i="32"/>
  <c r="M20" i="32"/>
  <c r="G23" i="32"/>
  <c r="G20" i="32"/>
  <c r="Q23" i="32"/>
  <c r="Q20" i="32"/>
  <c r="J24" i="32"/>
  <c r="F24" i="32"/>
  <c r="D23" i="32"/>
  <c r="D20" i="32"/>
  <c r="T20" i="32"/>
  <c r="O23" i="32"/>
  <c r="O20" i="32"/>
  <c r="R23" i="32"/>
  <c r="R20" i="32"/>
  <c r="W20" i="32"/>
  <c r="U20" i="32"/>
  <c r="I27" i="37"/>
  <c r="AB20" i="32"/>
  <c r="G32" i="37"/>
  <c r="G31" i="37"/>
  <c r="P21" i="37"/>
  <c r="AA20" i="32"/>
  <c r="F32" i="37"/>
  <c r="F31" i="37"/>
  <c r="O21" i="37"/>
  <c r="Y20" i="32"/>
  <c r="D32" i="37"/>
  <c r="D31" i="37"/>
  <c r="M21" i="37"/>
  <c r="AC20" i="32"/>
  <c r="H32" i="37"/>
  <c r="H31" i="37"/>
  <c r="Z20" i="32"/>
  <c r="E32" i="37"/>
  <c r="E31" i="37"/>
  <c r="N21" i="37"/>
  <c r="AA23" i="32"/>
  <c r="Y23" i="32"/>
  <c r="AB23" i="32"/>
  <c r="Z23" i="32"/>
  <c r="T7" i="36"/>
  <c r="T22" i="32"/>
  <c r="V10" i="33"/>
  <c r="V11" i="33"/>
  <c r="U15" i="35"/>
  <c r="H24" i="32"/>
  <c r="R24" i="32"/>
  <c r="G24" i="32"/>
  <c r="N24" i="32"/>
  <c r="S24" i="32"/>
  <c r="T24" i="32"/>
  <c r="K24" i="32"/>
  <c r="O24" i="32"/>
  <c r="D24" i="32"/>
  <c r="Q24" i="32"/>
  <c r="M24" i="32"/>
  <c r="P24" i="32"/>
  <c r="L24" i="32"/>
  <c r="Q21" i="37"/>
  <c r="I31" i="37"/>
  <c r="Z24" i="32"/>
  <c r="E36" i="37"/>
  <c r="E35" i="37"/>
  <c r="N23" i="37"/>
  <c r="AA24" i="32"/>
  <c r="F36" i="37"/>
  <c r="F35" i="37"/>
  <c r="O23" i="37"/>
  <c r="AB24" i="32"/>
  <c r="G36" i="37"/>
  <c r="G35" i="37"/>
  <c r="P23" i="37"/>
  <c r="Y24" i="32"/>
  <c r="D36" i="37"/>
  <c r="D35" i="37"/>
  <c r="M23" i="37"/>
  <c r="V13" i="33"/>
  <c r="U21" i="32"/>
  <c r="U7" i="36"/>
  <c r="U22" i="32"/>
  <c r="U23" i="32"/>
  <c r="W10" i="33"/>
  <c r="W11" i="33"/>
  <c r="V15" i="35"/>
  <c r="W13" i="33"/>
  <c r="V21" i="32"/>
  <c r="U24" i="32"/>
  <c r="V7" i="36"/>
  <c r="V22" i="32"/>
  <c r="V23" i="32"/>
  <c r="X10" i="33"/>
  <c r="X11" i="33"/>
  <c r="W15" i="35"/>
  <c r="X13" i="33"/>
  <c r="X15" i="35"/>
  <c r="AD15" i="35"/>
  <c r="H49" i="37"/>
  <c r="W21" i="32"/>
  <c r="AC21" i="32"/>
  <c r="V24" i="32"/>
  <c r="Q30" i="37"/>
  <c r="I49" i="37"/>
  <c r="H33" i="37"/>
  <c r="I33" i="37"/>
  <c r="AC22" i="32"/>
  <c r="H34" i="37"/>
  <c r="W7" i="36"/>
  <c r="W22" i="32"/>
  <c r="W23" i="32"/>
  <c r="AC23" i="32"/>
  <c r="Y7" i="36"/>
  <c r="D69" i="37"/>
  <c r="Z7" i="36"/>
  <c r="E69" i="37"/>
  <c r="AA7" i="36"/>
  <c r="F69" i="37"/>
  <c r="AB7" i="36"/>
  <c r="G69" i="37"/>
  <c r="AC7" i="36"/>
  <c r="H69" i="37"/>
  <c r="AC24" i="32"/>
  <c r="H36" i="37"/>
  <c r="H35" i="37"/>
  <c r="I35" i="37"/>
  <c r="W24" i="32"/>
  <c r="Q23" i="37"/>
  <c r="L26" i="36"/>
  <c r="E6" i="34"/>
  <c r="E23" i="35"/>
  <c r="D23" i="35"/>
  <c r="D25" i="36"/>
  <c r="D26" i="36"/>
  <c r="E7" i="34"/>
  <c r="D25" i="32"/>
  <c r="D27" i="32"/>
  <c r="D6" i="36"/>
  <c r="D18" i="36"/>
  <c r="D28" i="36"/>
  <c r="D31" i="36"/>
  <c r="E30" i="36"/>
  <c r="F6" i="34"/>
  <c r="F23" i="35"/>
  <c r="E25" i="36"/>
  <c r="E26" i="36"/>
  <c r="F7" i="34"/>
  <c r="E25" i="32"/>
  <c r="E27" i="32"/>
  <c r="E6" i="36"/>
  <c r="E18" i="36"/>
  <c r="E28" i="36"/>
  <c r="E31" i="36"/>
  <c r="F30" i="36"/>
  <c r="G6" i="34"/>
  <c r="G23" i="35"/>
  <c r="F25" i="36"/>
  <c r="F26" i="36"/>
  <c r="G7" i="34"/>
  <c r="F25" i="32"/>
  <c r="F27" i="32"/>
  <c r="F6" i="36"/>
  <c r="F18" i="36"/>
  <c r="F28" i="36"/>
  <c r="F31" i="36"/>
  <c r="G30" i="36"/>
  <c r="H6" i="34"/>
  <c r="H23" i="35"/>
  <c r="G25" i="36"/>
  <c r="G26" i="36"/>
  <c r="H7" i="34"/>
  <c r="G25" i="32"/>
  <c r="G27" i="32"/>
  <c r="G6" i="36"/>
  <c r="G18" i="36"/>
  <c r="G28" i="36"/>
  <c r="G31" i="36"/>
  <c r="H30" i="36"/>
  <c r="I6" i="34"/>
  <c r="I23" i="35"/>
  <c r="H25" i="36"/>
  <c r="H26" i="36"/>
  <c r="I7" i="34"/>
  <c r="H25" i="32"/>
  <c r="H27" i="32"/>
  <c r="H6" i="36"/>
  <c r="H18" i="36"/>
  <c r="H28" i="36"/>
  <c r="H31" i="36"/>
  <c r="I30" i="36"/>
  <c r="J6" i="34"/>
  <c r="J23" i="35"/>
  <c r="I25" i="36"/>
  <c r="I26" i="36"/>
  <c r="J7" i="34"/>
  <c r="I25" i="32"/>
  <c r="I27" i="32"/>
  <c r="I6" i="36"/>
  <c r="I18" i="36"/>
  <c r="I28" i="36"/>
  <c r="I31" i="36"/>
  <c r="J30" i="36"/>
  <c r="K6" i="34"/>
  <c r="K23" i="35"/>
  <c r="J25" i="36"/>
  <c r="J26" i="36"/>
  <c r="K7" i="34"/>
  <c r="J25" i="32"/>
  <c r="J27" i="32"/>
  <c r="J6" i="36"/>
  <c r="J18" i="36"/>
  <c r="J28" i="36"/>
  <c r="J31" i="36"/>
  <c r="K30" i="36"/>
  <c r="L6" i="34"/>
  <c r="L23" i="35"/>
  <c r="K25" i="36"/>
  <c r="K26" i="36"/>
  <c r="L7" i="34"/>
  <c r="K25" i="32"/>
  <c r="K27" i="32"/>
  <c r="K6" i="36"/>
  <c r="K18" i="36"/>
  <c r="K28" i="36"/>
  <c r="K31" i="36"/>
  <c r="L30" i="36"/>
  <c r="M6" i="34"/>
  <c r="M7" i="34"/>
  <c r="L25" i="32"/>
  <c r="L27" i="32"/>
  <c r="L6" i="36"/>
  <c r="L18" i="36"/>
  <c r="L28" i="36"/>
  <c r="L31" i="36"/>
  <c r="M30" i="36"/>
  <c r="N6" i="34"/>
  <c r="N23" i="35"/>
  <c r="M23" i="35"/>
  <c r="M25" i="36"/>
  <c r="M26" i="36"/>
  <c r="N7" i="34"/>
  <c r="M25" i="32"/>
  <c r="M27" i="32"/>
  <c r="M6" i="36"/>
  <c r="M18" i="36"/>
  <c r="M28" i="36"/>
  <c r="M31" i="36"/>
  <c r="N30" i="36"/>
  <c r="O6" i="34"/>
  <c r="O23" i="35"/>
  <c r="N25" i="36"/>
  <c r="N26" i="36"/>
  <c r="O7" i="34"/>
  <c r="N25" i="32"/>
  <c r="N27" i="32"/>
  <c r="N6" i="36"/>
  <c r="N18" i="36"/>
  <c r="N28" i="36"/>
  <c r="N31" i="36"/>
  <c r="O30" i="36"/>
  <c r="P6" i="34"/>
  <c r="P23" i="35"/>
  <c r="O25" i="36"/>
  <c r="O26" i="36"/>
  <c r="P7" i="34"/>
  <c r="O25" i="32"/>
  <c r="O27" i="32"/>
  <c r="O6" i="36"/>
  <c r="O18" i="36"/>
  <c r="O28" i="36"/>
  <c r="O31" i="36"/>
  <c r="P30" i="36"/>
  <c r="Q6" i="34"/>
  <c r="Q23" i="35"/>
  <c r="P25" i="36"/>
  <c r="P26" i="36"/>
  <c r="Q7" i="34"/>
  <c r="P25" i="32"/>
  <c r="P27" i="32"/>
  <c r="P6" i="36"/>
  <c r="P18" i="36"/>
  <c r="P28" i="36"/>
  <c r="P31" i="36"/>
  <c r="Q30" i="36"/>
  <c r="R6" i="34"/>
  <c r="R23" i="35"/>
  <c r="Q25" i="36"/>
  <c r="Q26" i="36"/>
  <c r="R7" i="34"/>
  <c r="Q25" i="32"/>
  <c r="Q27" i="32"/>
  <c r="Q6" i="36"/>
  <c r="Q18" i="36"/>
  <c r="Q28" i="36"/>
  <c r="Q31" i="36"/>
  <c r="R30" i="36"/>
  <c r="S6" i="34"/>
  <c r="S23" i="35"/>
  <c r="R25" i="36"/>
  <c r="R26" i="36"/>
  <c r="S7" i="34"/>
  <c r="R25" i="32"/>
  <c r="R27" i="32"/>
  <c r="R6" i="36"/>
  <c r="R18" i="36"/>
  <c r="R28" i="36"/>
  <c r="R31" i="36"/>
  <c r="S30" i="36"/>
  <c r="T6" i="34"/>
  <c r="T23" i="35"/>
  <c r="S25" i="36"/>
  <c r="S26" i="36"/>
  <c r="T7" i="34"/>
  <c r="S25" i="32"/>
  <c r="S27" i="32"/>
  <c r="S6" i="36"/>
  <c r="S18" i="36"/>
  <c r="S28" i="36"/>
  <c r="S31" i="36"/>
  <c r="T30" i="36"/>
  <c r="U6" i="34"/>
  <c r="U23" i="35"/>
  <c r="T25" i="36"/>
  <c r="T26" i="36"/>
  <c r="U7" i="34"/>
  <c r="T25" i="32"/>
  <c r="T27" i="32"/>
  <c r="T6" i="36"/>
  <c r="T18" i="36"/>
  <c r="T28" i="36"/>
  <c r="T31" i="36"/>
  <c r="U30" i="36"/>
  <c r="V6" i="34"/>
  <c r="V23" i="35"/>
  <c r="U25" i="36"/>
  <c r="U26" i="36"/>
  <c r="V7" i="34"/>
  <c r="U25" i="32"/>
  <c r="U27" i="32"/>
  <c r="U6" i="36"/>
  <c r="U18" i="36"/>
  <c r="U28" i="36"/>
  <c r="U31" i="36"/>
  <c r="V30" i="36"/>
  <c r="W6" i="34"/>
  <c r="W23" i="35"/>
  <c r="V25" i="36"/>
  <c r="V26" i="36"/>
  <c r="W7" i="34"/>
  <c r="V25" i="32"/>
  <c r="V27" i="32"/>
  <c r="V6" i="36"/>
  <c r="V18" i="36"/>
  <c r="V28" i="36"/>
  <c r="V31" i="36"/>
  <c r="W30" i="36"/>
  <c r="X6" i="34"/>
  <c r="X23" i="35"/>
  <c r="W25" i="36"/>
  <c r="W26" i="36"/>
  <c r="X7" i="34"/>
  <c r="W25" i="32"/>
  <c r="W27" i="32"/>
  <c r="W6" i="36"/>
  <c r="W18" i="36"/>
  <c r="W28" i="36"/>
  <c r="W31" i="36"/>
  <c r="X9" i="35"/>
  <c r="AD9" i="35"/>
  <c r="H43" i="37"/>
  <c r="AD23" i="35"/>
  <c r="H57" i="37"/>
  <c r="H6" i="37"/>
  <c r="C11" i="37"/>
  <c r="L3" i="37"/>
  <c r="C8" i="37"/>
  <c r="Y27" i="32"/>
  <c r="D39" i="37"/>
  <c r="M19" i="37"/>
  <c r="Z27" i="32"/>
  <c r="E39" i="37"/>
  <c r="N19" i="37"/>
  <c r="AA27" i="32"/>
  <c r="F39" i="37"/>
  <c r="O19" i="37"/>
  <c r="AB27" i="32"/>
  <c r="G39" i="37"/>
  <c r="P19" i="37"/>
  <c r="AC27" i="32"/>
  <c r="H39" i="37"/>
  <c r="Q19" i="37"/>
  <c r="H9" i="35"/>
  <c r="H13" i="35"/>
  <c r="H16" i="35"/>
  <c r="Z16" i="35"/>
  <c r="D50" i="37"/>
  <c r="M25" i="37"/>
  <c r="L9" i="35"/>
  <c r="L13" i="35"/>
  <c r="L16" i="35"/>
  <c r="AA16" i="35"/>
  <c r="E50" i="37"/>
  <c r="N25" i="37"/>
  <c r="P9" i="35"/>
  <c r="P13" i="35"/>
  <c r="P16" i="35"/>
  <c r="AB16" i="35"/>
  <c r="F50" i="37"/>
  <c r="O25" i="37"/>
  <c r="T9" i="35"/>
  <c r="T13" i="35"/>
  <c r="T16" i="35"/>
  <c r="AC16" i="35"/>
  <c r="G50" i="37"/>
  <c r="P25" i="37"/>
  <c r="X13" i="35"/>
  <c r="X16" i="35"/>
  <c r="AD16" i="35"/>
  <c r="H50" i="37"/>
  <c r="Q25" i="37"/>
  <c r="E27" i="35"/>
  <c r="F27" i="35"/>
  <c r="G27" i="35"/>
  <c r="H27" i="35"/>
  <c r="H28" i="35"/>
  <c r="Z28" i="35"/>
  <c r="D62" i="37"/>
  <c r="M27" i="37"/>
  <c r="I27" i="35"/>
  <c r="J27" i="35"/>
  <c r="K27" i="35"/>
  <c r="L27" i="35"/>
  <c r="L28" i="35"/>
  <c r="AA28" i="35"/>
  <c r="E62" i="37"/>
  <c r="N27" i="37"/>
  <c r="M27" i="35"/>
  <c r="N27" i="35"/>
  <c r="O27" i="35"/>
  <c r="P27" i="35"/>
  <c r="P28" i="35"/>
  <c r="AB28" i="35"/>
  <c r="F62" i="37"/>
  <c r="O27" i="37"/>
  <c r="Q27" i="35"/>
  <c r="R27" i="35"/>
  <c r="S27" i="35"/>
  <c r="T27" i="35"/>
  <c r="T28" i="35"/>
  <c r="AC28" i="35"/>
  <c r="G62" i="37"/>
  <c r="P27" i="37"/>
  <c r="U27" i="35"/>
  <c r="V27" i="35"/>
  <c r="W27" i="35"/>
  <c r="X27" i="35"/>
  <c r="X28" i="35"/>
  <c r="AD28" i="35"/>
  <c r="H62" i="37"/>
  <c r="Q27" i="37"/>
  <c r="N32" i="37"/>
  <c r="O32" i="37"/>
  <c r="P32" i="37"/>
  <c r="Q32" i="37"/>
  <c r="AC25" i="32"/>
  <c r="H37" i="37"/>
  <c r="Y25" i="32"/>
  <c r="D37" i="37"/>
  <c r="I37" i="37"/>
  <c r="Y26" i="32"/>
  <c r="D38" i="37"/>
  <c r="Z25" i="32"/>
  <c r="Z26" i="32"/>
  <c r="E38" i="37"/>
  <c r="AA25" i="32"/>
  <c r="AA26" i="32"/>
  <c r="F38" i="37"/>
  <c r="AB25" i="32"/>
  <c r="AB26" i="32"/>
  <c r="G38" i="37"/>
  <c r="AC26" i="32"/>
  <c r="H38" i="37"/>
  <c r="I39" i="37"/>
  <c r="Y28" i="32"/>
  <c r="D40" i="37"/>
  <c r="Z28" i="32"/>
  <c r="E40" i="37"/>
  <c r="AA28" i="32"/>
  <c r="F40" i="37"/>
  <c r="AB28" i="32"/>
  <c r="G40" i="37"/>
  <c r="AC28" i="32"/>
  <c r="H40" i="37"/>
  <c r="Z9" i="35"/>
  <c r="D43" i="37"/>
  <c r="I43" i="37"/>
  <c r="Z23" i="35"/>
  <c r="D57" i="37"/>
  <c r="M45" i="37"/>
  <c r="AA23" i="35"/>
  <c r="E57" i="37"/>
  <c r="N45" i="37"/>
  <c r="AB23" i="35"/>
  <c r="F57" i="37"/>
  <c r="O45" i="37"/>
  <c r="AC23" i="35"/>
  <c r="G57" i="37"/>
  <c r="P45" i="37"/>
  <c r="Q45" i="37"/>
  <c r="AD13" i="35"/>
  <c r="H47" i="37"/>
  <c r="Z13" i="35"/>
  <c r="D47" i="37"/>
  <c r="I47" i="37"/>
  <c r="H24" i="35"/>
  <c r="Z24" i="35"/>
  <c r="D58" i="37"/>
  <c r="M47" i="37"/>
  <c r="L24" i="35"/>
  <c r="AA24" i="35"/>
  <c r="E58" i="37"/>
  <c r="N47" i="37"/>
  <c r="P24" i="35"/>
  <c r="AB24" i="35"/>
  <c r="F58" i="37"/>
  <c r="O47" i="37"/>
  <c r="T24" i="35"/>
  <c r="AC24" i="35"/>
  <c r="G58" i="37"/>
  <c r="P47" i="37"/>
  <c r="X24" i="35"/>
  <c r="AD24" i="35"/>
  <c r="H58" i="37"/>
  <c r="Q47" i="37"/>
  <c r="I50" i="37"/>
  <c r="M50" i="37"/>
  <c r="E37" i="37"/>
  <c r="N50" i="37"/>
  <c r="F37" i="37"/>
  <c r="O50" i="37"/>
  <c r="G37" i="37"/>
  <c r="P50" i="37"/>
  <c r="Q50" i="37"/>
  <c r="M52" i="37"/>
  <c r="N52" i="37"/>
  <c r="O52" i="37"/>
  <c r="P52" i="37"/>
  <c r="Q52" i="37"/>
  <c r="M55" i="37"/>
  <c r="AA13" i="35"/>
  <c r="E47" i="37"/>
  <c r="N55" i="37"/>
  <c r="AB13" i="35"/>
  <c r="F47" i="37"/>
  <c r="O55" i="37"/>
  <c r="AC13" i="35"/>
  <c r="G47" i="37"/>
  <c r="P55" i="37"/>
  <c r="Q55" i="37"/>
  <c r="I57" i="37"/>
  <c r="M57" i="37"/>
  <c r="N57" i="37"/>
  <c r="O57" i="37"/>
  <c r="P57" i="37"/>
  <c r="Q57" i="37"/>
  <c r="I58" i="37"/>
  <c r="M59" i="37"/>
  <c r="N59" i="37"/>
  <c r="O59" i="37"/>
  <c r="P59" i="37"/>
  <c r="Q59" i="37"/>
  <c r="Z27" i="35"/>
  <c r="D61" i="37"/>
  <c r="AA27" i="35"/>
  <c r="E61" i="37"/>
  <c r="AB27" i="35"/>
  <c r="F61" i="37"/>
  <c r="AC27" i="35"/>
  <c r="G61" i="37"/>
  <c r="AD27" i="35"/>
  <c r="H61" i="37"/>
  <c r="I61" i="37"/>
  <c r="M61" i="37"/>
  <c r="AA9" i="35"/>
  <c r="E43" i="37"/>
  <c r="N61" i="37"/>
  <c r="AB9" i="35"/>
  <c r="F43" i="37"/>
  <c r="O61" i="37"/>
  <c r="AC9" i="35"/>
  <c r="G43" i="37"/>
  <c r="P61" i="37"/>
  <c r="Q61" i="37"/>
  <c r="I62" i="37"/>
  <c r="M63" i="37"/>
  <c r="N63" i="37"/>
  <c r="O63" i="37"/>
  <c r="P63" i="37"/>
  <c r="Q63" i="37"/>
  <c r="H30" i="35"/>
  <c r="Z30" i="35"/>
  <c r="D64" i="37"/>
  <c r="L30" i="35"/>
  <c r="AA30" i="35"/>
  <c r="E64" i="37"/>
  <c r="P30" i="35"/>
  <c r="AB30" i="35"/>
  <c r="F64" i="37"/>
  <c r="T30" i="35"/>
  <c r="AC30" i="35"/>
  <c r="G64" i="37"/>
  <c r="X30" i="35"/>
  <c r="AD30" i="35"/>
  <c r="H64" i="37"/>
  <c r="I64" i="37"/>
  <c r="Y6" i="36"/>
  <c r="D68" i="37"/>
  <c r="Z6" i="36"/>
  <c r="E68" i="37"/>
  <c r="AA6" i="36"/>
  <c r="F68" i="37"/>
  <c r="AB6" i="36"/>
  <c r="G68" i="37"/>
  <c r="AC6" i="36"/>
  <c r="H68" i="37"/>
  <c r="M75" i="37"/>
  <c r="N75" i="37"/>
  <c r="O75" i="37"/>
  <c r="P75" i="37"/>
  <c r="Q75" i="37"/>
  <c r="M77" i="37"/>
  <c r="N77" i="37"/>
  <c r="O77" i="37"/>
  <c r="P77" i="37"/>
  <c r="Q77" i="37"/>
  <c r="M79" i="37"/>
  <c r="N79" i="37"/>
  <c r="O79" i="37"/>
  <c r="P79" i="37"/>
  <c r="Q79" i="37"/>
  <c r="Y18" i="36"/>
  <c r="D80" i="37"/>
  <c r="Z18" i="36"/>
  <c r="E80" i="37"/>
  <c r="AA18" i="36"/>
  <c r="F80" i="37"/>
  <c r="AB18" i="36"/>
  <c r="G80" i="37"/>
  <c r="AC18" i="36"/>
  <c r="H80" i="37"/>
  <c r="Y25" i="36"/>
  <c r="D87" i="37"/>
  <c r="Z25" i="36"/>
  <c r="E87" i="37"/>
  <c r="AB25" i="36"/>
  <c r="G87" i="37"/>
  <c r="AC25" i="36"/>
  <c r="H87" i="37"/>
  <c r="Y26" i="36"/>
  <c r="D88" i="37"/>
  <c r="Z26" i="36"/>
  <c r="E88" i="37"/>
  <c r="AA26" i="36"/>
  <c r="F88" i="37"/>
  <c r="AB26" i="36"/>
  <c r="G88" i="37"/>
  <c r="AC26" i="36"/>
  <c r="H88" i="37"/>
  <c r="Y28" i="36"/>
  <c r="D90" i="37"/>
  <c r="Z28" i="36"/>
  <c r="E90" i="37"/>
  <c r="AA28" i="36"/>
  <c r="F90" i="37"/>
  <c r="AB28" i="36"/>
  <c r="G90" i="37"/>
  <c r="AC28" i="36"/>
  <c r="H90" i="37"/>
  <c r="Y31" i="36"/>
  <c r="Z30" i="36"/>
  <c r="E92" i="37"/>
  <c r="Z31" i="36"/>
  <c r="AA30" i="36"/>
  <c r="F92" i="37"/>
  <c r="AA31" i="36"/>
  <c r="AB30" i="36"/>
  <c r="G92" i="37"/>
  <c r="AB31" i="36"/>
  <c r="AC30" i="36"/>
  <c r="H92" i="37"/>
  <c r="D93" i="37"/>
  <c r="E93" i="37"/>
  <c r="F93" i="37"/>
  <c r="G93" i="37"/>
  <c r="AC31" i="36"/>
  <c r="H93" i="37"/>
  <c r="E24" i="35"/>
  <c r="F24" i="35"/>
  <c r="G24" i="35"/>
  <c r="I24" i="35"/>
  <c r="J24" i="35"/>
  <c r="K24" i="35"/>
  <c r="M24" i="35"/>
  <c r="N24" i="35"/>
  <c r="O24" i="35"/>
  <c r="Q24" i="35"/>
  <c r="R24" i="35"/>
  <c r="S24" i="35"/>
  <c r="U24" i="35"/>
  <c r="V24" i="35"/>
  <c r="W24" i="35"/>
  <c r="E28" i="35"/>
  <c r="E30" i="35"/>
  <c r="F28" i="35"/>
  <c r="F30" i="35"/>
  <c r="G28" i="35"/>
  <c r="G30" i="35"/>
  <c r="I28" i="35"/>
  <c r="I30" i="35"/>
  <c r="J28" i="35"/>
  <c r="J30" i="35"/>
  <c r="K28" i="35"/>
  <c r="K30" i="35"/>
  <c r="M28" i="35"/>
  <c r="M30" i="35"/>
  <c r="N28" i="35"/>
  <c r="N30" i="35"/>
  <c r="O28" i="35"/>
  <c r="O30" i="35"/>
  <c r="Q28" i="35"/>
  <c r="Q30" i="35"/>
  <c r="R28" i="35"/>
  <c r="R30" i="35"/>
  <c r="S28" i="35"/>
  <c r="S30" i="35"/>
  <c r="U28" i="35"/>
  <c r="U30" i="35"/>
  <c r="V28" i="35"/>
  <c r="V30" i="35"/>
  <c r="W28" i="35"/>
  <c r="W30" i="35"/>
  <c r="E9" i="35"/>
  <c r="E13" i="35"/>
  <c r="E16" i="35"/>
  <c r="E32" i="35"/>
  <c r="F9" i="35"/>
  <c r="F13" i="35"/>
  <c r="F16" i="35"/>
  <c r="F32" i="35"/>
  <c r="G9" i="35"/>
  <c r="G13" i="35"/>
  <c r="G16" i="35"/>
  <c r="G32" i="35"/>
  <c r="H32" i="35"/>
  <c r="I9" i="35"/>
  <c r="I13" i="35"/>
  <c r="I16" i="35"/>
  <c r="I32" i="35"/>
  <c r="J9" i="35"/>
  <c r="J13" i="35"/>
  <c r="J16" i="35"/>
  <c r="J32" i="35"/>
  <c r="K9" i="35"/>
  <c r="K13" i="35"/>
  <c r="K16" i="35"/>
  <c r="K32" i="35"/>
  <c r="L32" i="35"/>
  <c r="M9" i="35"/>
  <c r="M13" i="35"/>
  <c r="M16" i="35"/>
  <c r="M32" i="35"/>
  <c r="N9" i="35"/>
  <c r="N13" i="35"/>
  <c r="N16" i="35"/>
  <c r="N32" i="35"/>
  <c r="O9" i="35"/>
  <c r="O13" i="35"/>
  <c r="O16" i="35"/>
  <c r="O32" i="35"/>
  <c r="P32" i="35"/>
  <c r="Q9" i="35"/>
  <c r="Q13" i="35"/>
  <c r="Q16" i="35"/>
  <c r="Q32" i="35"/>
  <c r="R9" i="35"/>
  <c r="R13" i="35"/>
  <c r="R16" i="35"/>
  <c r="R32" i="35"/>
  <c r="S9" i="35"/>
  <c r="S13" i="35"/>
  <c r="S16" i="35"/>
  <c r="S32" i="35"/>
  <c r="T32" i="35"/>
  <c r="U9" i="35"/>
  <c r="U13" i="35"/>
  <c r="U16" i="35"/>
  <c r="U32" i="35"/>
  <c r="V9" i="35"/>
  <c r="V13" i="35"/>
  <c r="V16" i="35"/>
  <c r="V32" i="35"/>
  <c r="W9" i="35"/>
  <c r="W13" i="35"/>
  <c r="W16" i="35"/>
  <c r="W32" i="35"/>
  <c r="X32" i="35"/>
  <c r="Z32" i="35"/>
  <c r="AA32" i="35"/>
  <c r="AB32" i="35"/>
  <c r="AC32" i="35"/>
  <c r="AD32" i="35"/>
  <c r="AA25" i="36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W26" i="32"/>
  <c r="D28" i="32"/>
  <c r="E28" i="32"/>
  <c r="F28" i="32"/>
  <c r="G28" i="32"/>
  <c r="H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W28" i="32"/>
  <c r="X3" i="16"/>
  <c r="S5" i="16"/>
  <c r="E3" i="16"/>
  <c r="S7" i="16"/>
  <c r="R10" i="16"/>
  <c r="AA10" i="16"/>
  <c r="R22" i="16"/>
  <c r="R39" i="16"/>
  <c r="R49" i="16"/>
  <c r="V49" i="16"/>
  <c r="R59" i="16"/>
  <c r="R69" i="16"/>
  <c r="R82" i="16"/>
  <c r="R92" i="16"/>
  <c r="R11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<sst xmlns="http://schemas.openxmlformats.org/spreadsheetml/2006/main" count="1324" uniqueCount="355">
  <si>
    <t>Healthcare benefits (% of total comp)</t>
  </si>
  <si>
    <t>Payroll taxes (% of total comp)</t>
  </si>
  <si>
    <t>Continuing education (% of total comp)</t>
  </si>
  <si>
    <t>Insurance - Worker's Comp (% of total comp)</t>
  </si>
  <si>
    <t>401-K (% of total comp)</t>
  </si>
  <si>
    <t>Other</t>
  </si>
  <si>
    <t>Year 1</t>
  </si>
  <si>
    <t>Year 2</t>
  </si>
  <si>
    <t>Year 3</t>
  </si>
  <si>
    <t>Year 4</t>
  </si>
  <si>
    <t>Year 5</t>
  </si>
  <si>
    <t>Q1</t>
  </si>
  <si>
    <t>Q2</t>
  </si>
  <si>
    <t>Q3</t>
  </si>
  <si>
    <t>Q4</t>
  </si>
  <si>
    <t>Revenue</t>
  </si>
  <si>
    <t>Insurance - Gen Liability (% of total comp)</t>
  </si>
  <si>
    <t>Software Costs</t>
  </si>
  <si>
    <t>Leadership</t>
  </si>
  <si>
    <t>Chief Executive Officer</t>
  </si>
  <si>
    <t>President / COO</t>
  </si>
  <si>
    <t>Chief Financial Officer</t>
  </si>
  <si>
    <t>Finance &amp; Accounting</t>
  </si>
  <si>
    <t>Controller</t>
  </si>
  <si>
    <t>Accounts Payable Clerk</t>
  </si>
  <si>
    <t>M&amp;A Analyst</t>
  </si>
  <si>
    <t>Operations</t>
  </si>
  <si>
    <t>Human Resources</t>
  </si>
  <si>
    <t>HR Manager</t>
  </si>
  <si>
    <t>Learning and Development Lead</t>
  </si>
  <si>
    <t>Marketing</t>
  </si>
  <si>
    <t>Marketing Director</t>
  </si>
  <si>
    <t>Marketing Manager</t>
  </si>
  <si>
    <t>IT Manager (outsourced)</t>
  </si>
  <si>
    <t>Office Manager</t>
  </si>
  <si>
    <t>BUFFER</t>
  </si>
  <si>
    <t>Total</t>
  </si>
  <si>
    <t>Total Comp</t>
  </si>
  <si>
    <t>% of Total</t>
  </si>
  <si>
    <t>Chief of Staff</t>
  </si>
  <si>
    <t>Regional Manager</t>
  </si>
  <si>
    <t>Payroll Tax and Benefits</t>
  </si>
  <si>
    <t>Rent</t>
  </si>
  <si>
    <t>Utilities</t>
  </si>
  <si>
    <t>Corporate Travel Expenses</t>
  </si>
  <si>
    <t>Assumptions</t>
  </si>
  <si>
    <t>Rent Expense</t>
  </si>
  <si>
    <t>Office Space (sq ft)</t>
  </si>
  <si>
    <t>Rent / sq ft</t>
  </si>
  <si>
    <t>Annual Rent</t>
  </si>
  <si>
    <t>Utilities (% of rent)</t>
  </si>
  <si>
    <t>Repairs &amp; Maintenance (% of rent)</t>
  </si>
  <si>
    <t>Office supplies / month</t>
  </si>
  <si>
    <t>Postage / month</t>
  </si>
  <si>
    <t>Telephone / month</t>
  </si>
  <si>
    <t>Internet / month</t>
  </si>
  <si>
    <t>Travel / month</t>
  </si>
  <si>
    <t>Hotel / month</t>
  </si>
  <si>
    <t>Meals &amp; Entertainment / month</t>
  </si>
  <si>
    <t>Total Corporate Travel Expenses</t>
  </si>
  <si>
    <t>Developing</t>
  </si>
  <si>
    <t>Established</t>
  </si>
  <si>
    <t>Emerging</t>
  </si>
  <si>
    <t>Percent of Openings by Market Type</t>
  </si>
  <si>
    <t>GM Bonus (based on % salary)</t>
  </si>
  <si>
    <t>GM Salary</t>
  </si>
  <si>
    <t>GM Wages + Bonus</t>
  </si>
  <si>
    <t># Hours/Wk</t>
  </si>
  <si>
    <t>Avg. Wage</t>
  </si>
  <si>
    <t>Team Wages</t>
  </si>
  <si>
    <t>% Revenue</t>
  </si>
  <si>
    <t>Food Costs</t>
  </si>
  <si>
    <t>Paper Costs</t>
  </si>
  <si>
    <t>Marketing Expense</t>
  </si>
  <si>
    <t>Supplies</t>
  </si>
  <si>
    <t>Repair &amp; Maintenance</t>
  </si>
  <si>
    <t>Point of Sale Expenses</t>
  </si>
  <si>
    <t>Cams</t>
  </si>
  <si>
    <t>Revenue/Wk</t>
  </si>
  <si>
    <t>Fixed</t>
  </si>
  <si>
    <t>Variable</t>
  </si>
  <si>
    <t># Stores</t>
  </si>
  <si>
    <t>Store#1</t>
  </si>
  <si>
    <t>Store#2</t>
  </si>
  <si>
    <t>Store#3</t>
  </si>
  <si>
    <t>Store#4</t>
  </si>
  <si>
    <t>Store#5</t>
  </si>
  <si>
    <t>StoreName</t>
  </si>
  <si>
    <t>Revenue Growth Rate</t>
  </si>
  <si>
    <t>New Store - ProForma Scenarios</t>
  </si>
  <si>
    <t>Scenario #1</t>
  </si>
  <si>
    <t>Scenario #2</t>
  </si>
  <si>
    <t>NSO Pro Forma Scenario</t>
  </si>
  <si>
    <t>Store Expenses Scenario</t>
  </si>
  <si>
    <t>Store Expenses Scenarios</t>
  </si>
  <si>
    <t>Scenario #3</t>
  </si>
  <si>
    <t>Existing Store Assumptions</t>
  </si>
  <si>
    <t>New Store Opening Schedule</t>
  </si>
  <si>
    <t>Avg. Weekly Sales</t>
  </si>
  <si>
    <t>Total Openings</t>
  </si>
  <si>
    <t>Financial Model Components</t>
  </si>
  <si>
    <t>*Created a weighted average for each new opening based on the percentage of openings expected in each market</t>
  </si>
  <si>
    <t>*Financial Model should allow you to easily toggle between the different New Store Pro-Forma Scenarios</t>
  </si>
  <si>
    <t>*The Financial Model should allow you to easily toggle between the different store expense scenarios</t>
  </si>
  <si>
    <t>New Store Sales Growth Rate</t>
  </si>
  <si>
    <t>Create a tab with a Pro-Forma Income Statement for the average new store for the average store starting point:</t>
  </si>
  <si>
    <t>Create a tab that using the Pro-Forma Income Statement for the new store and projects the 5 year growth by Quarter:</t>
  </si>
  <si>
    <t>*Utilize Fixed &amp; Variable Cost assumptions on the Input Sheet</t>
  </si>
  <si>
    <t>*Utilize the New Store Sales Growth Rate on the Input Sheet</t>
  </si>
  <si>
    <t>Create a tab that utilizes the 5 Year projection for an average new store and combines it with the new store opening schedule:</t>
  </si>
  <si>
    <t>*Utilizing Tranpose() and SumProduct() create a pro-forma schedule that lines up with the rollout schedule</t>
  </si>
  <si>
    <t>*Tab should utilize the New Store Opening Schedule on the Input Sheet</t>
  </si>
  <si>
    <t>*Pro-Forma should estimate the profit and loss statement for all new stores based on their timed openings</t>
  </si>
  <si>
    <t>New Store Openings</t>
  </si>
  <si>
    <t>Existing Stores</t>
  </si>
  <si>
    <t>Create a tab the projects the current annual Income Statement for the existing five stores in the input sheet:</t>
  </si>
  <si>
    <t>*Utilize the Average Weekly Sales on the Input Sheet to estimate the current annual revenue</t>
  </si>
  <si>
    <t>*Utilize the Store Expenses Scenario Grid to make it easy to toggle between the different Store Expense Scenarios</t>
  </si>
  <si>
    <t>Create a template that allows us to project the five year Income Statement by Quarter for the five existing stores:</t>
  </si>
  <si>
    <t>*Build this in a way that allows us to easily toggle between the five stores listed</t>
  </si>
  <si>
    <t>*Utilize the Revenue Growth Rate for each specifc store on the Input Sheet</t>
  </si>
  <si>
    <t>Leverage the new template tab and Copy the tab to have a version for each of the five stores listed</t>
  </si>
  <si>
    <t>*Copy the template and have a tab for each existing store so you have a five year income statement for each existing store by quarter</t>
  </si>
  <si>
    <t>Create a tab that sums across the 5 tabs for each existing store and gives us an Income Statement for each store for the next 5 years by Quarter:</t>
  </si>
  <si>
    <t>*Utilize Sum() formula using the IN:OUT Method taught to summarize results for existing stores across the 5 existing stores</t>
  </si>
  <si>
    <t>Total Company Income Statement</t>
  </si>
  <si>
    <t>Add the Existing Store &amp; New Store Income Statements together to create a total copmany income statement by quarter for the next five years</t>
  </si>
  <si>
    <t>General &amp; Administrative Expenses</t>
  </si>
  <si>
    <t>Utilize Assumptions in the G&amp;A Tab to project the Administrative Costs by Quarter for the next five years</t>
  </si>
  <si>
    <t>*Utilize the Infomration from the New Store Opening Schedule to populate the total number of stores by Quarter</t>
  </si>
  <si>
    <t xml:space="preserve">*Utilize the Stores by Quarter to Project how many employees and salary you will have by quarter </t>
  </si>
  <si>
    <t>*Add a BUFFER utilizing the assumption on the G&amp;A Tab</t>
  </si>
  <si>
    <t>*After projecting the salaries for each employee estimate the benefits by employee</t>
  </si>
  <si>
    <t>*Estimate the Other G&amp;A Costs based on the Assumptiosn from the G&amp;A Tab</t>
  </si>
  <si>
    <t>*Create a total G&amp;A Cost Summary by quarter at the bottom of the Tab</t>
  </si>
  <si>
    <t>Total Company Profit &amp; Loss Statement</t>
  </si>
  <si>
    <t>Create a tab that combines the Total Company Income Statement &amp; G&amp;A Expenses</t>
  </si>
  <si>
    <t>*Utilizing Template Provided create a summarized version of the Copmany Income Statement by Quarter</t>
  </si>
  <si>
    <t>*Summarized Version of Company Income Statement should include Revenue, F&amp;P, Labor, Other Operating, Occupancy, &amp; Store Level EBITDA</t>
  </si>
  <si>
    <t>*Show % of Revenue for each cost Category</t>
  </si>
  <si>
    <t>*Add in G&amp;A Expense Below SLEBITDA (and % Revenue below that)</t>
  </si>
  <si>
    <t>*Project EBITDA by subtracing the G&amp;A from the SLEBITDA</t>
  </si>
  <si>
    <t>CAPex Cost for New Stores</t>
  </si>
  <si>
    <t>CAPex Expense Projection</t>
  </si>
  <si>
    <t>Create a tab to project the CAPex expense associated with building new stores</t>
  </si>
  <si>
    <t>*Utilize the Average Cost per Store on the Input Sheet</t>
  </si>
  <si>
    <t>*Utilize the New Store Opening Schedule from the New Store Opening 5 Year Projection Tab</t>
  </si>
  <si>
    <t>Balance Sheet</t>
  </si>
  <si>
    <t>Cash and cash equivalents</t>
  </si>
  <si>
    <t>Accounts receivable</t>
  </si>
  <si>
    <t>Inventory</t>
  </si>
  <si>
    <t>Prepaids and other current assets</t>
  </si>
  <si>
    <t>Total current assets</t>
  </si>
  <si>
    <t>PP&amp;E, net</t>
  </si>
  <si>
    <t>Total assets</t>
  </si>
  <si>
    <t>Accounts payable</t>
  </si>
  <si>
    <t>Accrued liabilities</t>
  </si>
  <si>
    <t>Other current liabilities</t>
  </si>
  <si>
    <t>Total current liabiilities</t>
  </si>
  <si>
    <t>Revolving credit facility</t>
  </si>
  <si>
    <t>Total liabilities</t>
  </si>
  <si>
    <t>Shareholders' equity</t>
  </si>
  <si>
    <t>Retained earnings</t>
  </si>
  <si>
    <t>Total shareholders' equity</t>
  </si>
  <si>
    <t>Total liabilities and equity</t>
  </si>
  <si>
    <t>Interest Expense</t>
  </si>
  <si>
    <t>Annual Interest Rate</t>
  </si>
  <si>
    <t>Start</t>
  </si>
  <si>
    <t>Cash Flows Statement</t>
  </si>
  <si>
    <t>*Create a balance sheet using the balance sheet assumptions on the Input Tab</t>
  </si>
  <si>
    <t>*Using the Income Statement and Balance Sheet create a statement of cash flows</t>
  </si>
  <si>
    <t>*Statement of Cash Flows should have a section for each type of activity</t>
  </si>
  <si>
    <t>Balance Sheet Assumptions</t>
  </si>
  <si>
    <t>G&amp;A Assumptions</t>
  </si>
  <si>
    <t>Create a tab to forecast the balance sheet</t>
  </si>
  <si>
    <t>Create a tab the statement of Cash flows</t>
  </si>
  <si>
    <t>Create a tab to forecast the companies interest using the Debt Assumptions</t>
  </si>
  <si>
    <t>Business Memo Notes</t>
  </si>
  <si>
    <t>You are an investor that recently bought a restaurant business</t>
  </si>
  <si>
    <t>You plan to grow this business for 5 years by opening more restaurants during the next five years</t>
  </si>
  <si>
    <t>The Scenario</t>
  </si>
  <si>
    <t>At the end of five years you hope to sell the business for a return</t>
  </si>
  <si>
    <t>Things to consider</t>
  </si>
  <si>
    <t>Based on the balance sheet approximately how much debt and equity can we determine we paid for the business</t>
  </si>
  <si>
    <t xml:space="preserve">How much do we think we could sell the business for at the end of five years under the different scenarios </t>
  </si>
  <si>
    <t>What is the IRR and NPV based on different exit multiples for the business</t>
  </si>
  <si>
    <t>Do you think the planned scenarios make sense?</t>
  </si>
  <si>
    <t>What suggestions do you have for the planned scenarios to help improve the investment returns?</t>
  </si>
  <si>
    <t>What do other assumptions do you think we should consider in this financial model?</t>
  </si>
  <si>
    <t>What do you think the biggest assumptions in this model are?</t>
  </si>
  <si>
    <t xml:space="preserve">Where do you think we should go into more detail on this analysis? </t>
  </si>
  <si>
    <t>Any other relevant thoughts!!!</t>
  </si>
  <si>
    <t>Average Store Assumptions</t>
  </si>
  <si>
    <t>Weighted Average</t>
  </si>
  <si>
    <t>New Store Assumptions</t>
  </si>
  <si>
    <t>Key Assumptions</t>
  </si>
  <si>
    <t>Store Expense Scenario Selected-&gt;&gt;</t>
  </si>
  <si>
    <t>Store Operating Scenario-&gt;&gt;</t>
  </si>
  <si>
    <t># Hours/Yr</t>
  </si>
  <si>
    <t>Total Team &amp; Manager Wages</t>
  </si>
  <si>
    <t>Total Benefits</t>
  </si>
  <si>
    <t>Total Labor &amp; Benefits</t>
  </si>
  <si>
    <t>Total Food &amp; Paper Costs</t>
  </si>
  <si>
    <t>Total Other Operating Expenses</t>
  </si>
  <si>
    <t>Total Occupancy Costs</t>
  </si>
  <si>
    <t>Restaurant Cashflow</t>
  </si>
  <si>
    <t xml:space="preserve"> </t>
  </si>
  <si>
    <t xml:space="preserve">Income Statement </t>
  </si>
  <si>
    <t>Average New Store - 5 Year Pro-Forma</t>
  </si>
  <si>
    <t>Revenue Growth Assumption--&gt;&gt;</t>
  </si>
  <si>
    <t>MRQ</t>
  </si>
  <si>
    <t>% of Revenue</t>
  </si>
  <si>
    <t>Fixed/Variable</t>
  </si>
  <si>
    <t>New Stores</t>
  </si>
  <si>
    <t>Fiscal Year-&gt;</t>
  </si>
  <si>
    <t>Beg. # Stores</t>
  </si>
  <si>
    <t># New Stores Added</t>
  </si>
  <si>
    <t>Ending # Stores</t>
  </si>
  <si>
    <t>Quarters Owned</t>
  </si>
  <si>
    <t>Weighted Average Length of Ownership</t>
  </si>
  <si>
    <t>Store #-&gt;&gt;&gt;</t>
  </si>
  <si>
    <t>Average Weekly Sales-&gt;&gt;&gt;</t>
  </si>
  <si>
    <t># of Stores</t>
  </si>
  <si>
    <t>Fractional Years</t>
  </si>
  <si>
    <t>Other Administrative Expenses</t>
  </si>
  <si>
    <t xml:space="preserve">Utilities </t>
  </si>
  <si>
    <t>Repairs &amp; Maintenance</t>
  </si>
  <si>
    <t>Office Supplies</t>
  </si>
  <si>
    <t>Postage</t>
  </si>
  <si>
    <t>Telephone</t>
  </si>
  <si>
    <t>Internet</t>
  </si>
  <si>
    <t>Total G&amp;A Expense</t>
  </si>
  <si>
    <t>Food &amp; Paper Costs</t>
  </si>
  <si>
    <t>Labor &amp; Benefits</t>
  </si>
  <si>
    <t>Other Operating Expenses</t>
  </si>
  <si>
    <t>Occupancy Costs</t>
  </si>
  <si>
    <t>SLEBITDA</t>
  </si>
  <si>
    <t>Depreciation</t>
  </si>
  <si>
    <t>EBIT</t>
  </si>
  <si>
    <t>Net Income</t>
  </si>
  <si>
    <t>G&amp;A</t>
  </si>
  <si>
    <t>EBITDA</t>
  </si>
  <si>
    <t>CapEx Expense by Quarter</t>
  </si>
  <si>
    <t>Depreciation Expense (annual rate based on beg. PP&amp;E)</t>
  </si>
  <si>
    <t>Beginning PP&amp;E (Net)</t>
  </si>
  <si>
    <t>CapEx Expense</t>
  </si>
  <si>
    <t>End PP&amp;E</t>
  </si>
  <si>
    <t>Revolver Debt</t>
  </si>
  <si>
    <t>Revenue by Quarter</t>
  </si>
  <si>
    <t>Retained earnings + Current Year Net Income</t>
  </si>
  <si>
    <t>Tie Out</t>
  </si>
  <si>
    <t>Operating Activities</t>
  </si>
  <si>
    <t>Plus: Depreciation &amp; Amortization</t>
  </si>
  <si>
    <t>Changes in Working Capital</t>
  </si>
  <si>
    <t>(Inc.)/Dec. in Accounts Recievables</t>
  </si>
  <si>
    <t>(Inc.)/Dec. in Inventory</t>
  </si>
  <si>
    <t>(Inc.)/Dec. in Prepaid and Other Current Assets</t>
  </si>
  <si>
    <t>Inc./(Dec.) in Accounts Payable</t>
  </si>
  <si>
    <t>Inc./(Dec.) in Accrued Liabilities</t>
  </si>
  <si>
    <t>Inc./(Dec.) in Other Current Liabilities</t>
  </si>
  <si>
    <t>Inc./(Dec.) in Net Working Capital</t>
  </si>
  <si>
    <t>Cash Flow from Operating Activities</t>
  </si>
  <si>
    <t>Investing Activities</t>
  </si>
  <si>
    <t>Capital Expenditures (Fixed Assets)</t>
  </si>
  <si>
    <t>Cash Flow from Investing Activities</t>
  </si>
  <si>
    <t>Financing Activities</t>
  </si>
  <si>
    <t>Proceeds from / repayment of revolving credit facility</t>
  </si>
  <si>
    <t>Cash Flow from Financing Activities</t>
  </si>
  <si>
    <t>Net Change in Cash</t>
  </si>
  <si>
    <t>Beg Cash Balance</t>
  </si>
  <si>
    <t>End Cash Balance</t>
  </si>
  <si>
    <t>Year ---&gt;&gt;</t>
  </si>
  <si>
    <t>Profit and Loss Statement</t>
  </si>
  <si>
    <t>Additional Debt</t>
  </si>
  <si>
    <t>Investment Cashflow</t>
  </si>
  <si>
    <t>IRR</t>
  </si>
  <si>
    <t>Year 0</t>
  </si>
  <si>
    <t>NPV</t>
  </si>
  <si>
    <t>Hurdle Rate</t>
  </si>
  <si>
    <t>EBITDA Exit Multiple</t>
  </si>
  <si>
    <t>Discount Rate</t>
  </si>
  <si>
    <t>Exit Multiple</t>
  </si>
  <si>
    <t>Profitability Ratios</t>
  </si>
  <si>
    <t>Profit Margin</t>
  </si>
  <si>
    <t>EBITDA Margin</t>
  </si>
  <si>
    <t>Return on Assets</t>
  </si>
  <si>
    <t>Return on Equity</t>
  </si>
  <si>
    <t>Asset Turnover</t>
  </si>
  <si>
    <t>Inventory Ratios</t>
  </si>
  <si>
    <t>Inventory Turnover</t>
  </si>
  <si>
    <t>Avg. days in Inventory</t>
  </si>
  <si>
    <t>Receivables Ratios</t>
  </si>
  <si>
    <t>Receivables Turnover</t>
  </si>
  <si>
    <t>Days Sales in Receivables</t>
  </si>
  <si>
    <t>Leverage Ratios</t>
  </si>
  <si>
    <t>Debt to Equity Ratio</t>
  </si>
  <si>
    <t>Total Debt Ratio</t>
  </si>
  <si>
    <t>Coverage Ratios</t>
  </si>
  <si>
    <t>Times Interest Earned</t>
  </si>
  <si>
    <t>Cash Coverage Ratio</t>
  </si>
  <si>
    <t>Liquidity Ratios</t>
  </si>
  <si>
    <t>Current Ratio</t>
  </si>
  <si>
    <t>Quick Ratio</t>
  </si>
  <si>
    <t>Cash Ratio</t>
  </si>
  <si>
    <t>Working Capital Metrics</t>
  </si>
  <si>
    <t>Days Inventory Outstanding</t>
  </si>
  <si>
    <t>Days Sales Outstanding</t>
  </si>
  <si>
    <t>Days Payable Outstanding</t>
  </si>
  <si>
    <t>Cash Conversion Cycle</t>
  </si>
  <si>
    <t>EBIT Margin</t>
  </si>
  <si>
    <t>Fixed Asset Turnover</t>
  </si>
  <si>
    <t>NWC % Revenue</t>
  </si>
  <si>
    <t>Net Debt</t>
  </si>
  <si>
    <t>Gearing Ratios</t>
  </si>
  <si>
    <t>Equity Ratio</t>
  </si>
  <si>
    <t>Debt Ratio</t>
  </si>
  <si>
    <t>Accounts Receivable % of Revenue</t>
  </si>
  <si>
    <t>Accounts Payable % of Revenue</t>
  </si>
  <si>
    <t>Store Expense Scenario #3</t>
  </si>
  <si>
    <t>Debt</t>
  </si>
  <si>
    <t>Equity</t>
  </si>
  <si>
    <t>Data table Comparing the impacts on investment IRR when selecting NSO proforma scenarios 1 &amp; 2 and store expenses scenarios 1,2 &amp; 3.</t>
  </si>
  <si>
    <t>Data table comparing changes in new store CapEx and new store growth rate have on NPV.</t>
  </si>
  <si>
    <t>Table that shows investment IRR and NPV given changes in the exit multiple and hurdle rate respectively.</t>
  </si>
  <si>
    <t>Data table that shows how changes in A/R % and A/P % impact IRR.</t>
  </si>
  <si>
    <t>Analysis of store expense scenario 3</t>
  </si>
  <si>
    <t>Data table that explores how rising food costs coupled with rising rents would impact investment NPV under expense scenario 3.</t>
  </si>
  <si>
    <t>Data table that explores how investment NPV is impacted by rising rents under NSO scenarios 1 &amp; 2.</t>
  </si>
  <si>
    <t>Data table that explores how increasing food costs impact investment NPV under NSO scenarios 1 &amp; 2.</t>
  </si>
  <si>
    <t>Data table that explores how increasing food costs impact investment IRR under NSO scenarios 1 &amp; 2.</t>
  </si>
  <si>
    <t>Chart that contrasts how increasing food prices impact investment IRR under NSO scenarios 1 &amp; 2.</t>
  </si>
  <si>
    <t>Sales Growth Rate -&gt;&gt;</t>
  </si>
  <si>
    <t>Avg. Hourly Wage</t>
  </si>
  <si>
    <t>Standard Deviation</t>
  </si>
  <si>
    <t>Skewness</t>
  </si>
  <si>
    <t>NSO1</t>
  </si>
  <si>
    <t>NSO2</t>
  </si>
  <si>
    <t>Data table that contrasts how increasing employee wages and rising food costs impact NPV.</t>
  </si>
  <si>
    <t>Data table that analyzes how changes in the exit multiple and new store sales growth rate impact NPV.</t>
  </si>
  <si>
    <t>Data table that analyzes how changes in the exit multiple and the discount rate impact NPV.</t>
  </si>
  <si>
    <t>Discounted cashflow analysis that shows changes in project NPV and IRR given changes in exit multiple and discount rate.</t>
  </si>
  <si>
    <t>Key Financial Ratios</t>
  </si>
  <si>
    <t>Asset Turnover Ratios</t>
  </si>
  <si>
    <t>Inventory Turnover Ratios</t>
  </si>
  <si>
    <t>Sensitivity Analysis, Data Tables and Financial Ratios</t>
  </si>
  <si>
    <t>NSO Scenario</t>
  </si>
  <si>
    <t>17,801,836 Y2Q3</t>
  </si>
  <si>
    <t>1,3</t>
  </si>
  <si>
    <t>16,163,317 Y2Q3</t>
  </si>
  <si>
    <t>15,389,410 Y2Q3</t>
  </si>
  <si>
    <t>1,2</t>
  </si>
  <si>
    <t>1,1</t>
  </si>
  <si>
    <t>2,650,000 Y3Q1</t>
  </si>
  <si>
    <t>3,150,000 Y3Q1</t>
  </si>
  <si>
    <t>3,570,000 Y3Q1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</si>
</sst>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[$$]#,##0_)_%;\([$$]#,##0\)_%;_(&quot;–&quot;_)_%;_(@_)_%"/>
    <numFmt numFmtId="166" formatCode="_(&quot;$&quot;* #,##0_);_(&quot;$&quot;* \(#,##0\);_(&quot;$&quot;* &quot;-&quot;??_);_(@_)"/>
    <numFmt numFmtId="167" formatCode="_(#,##0_)_%;\(#,##0\)_%;_(&quot;–&quot;_)_%;_(@_)_%"/>
    <numFmt numFmtId="168" formatCode="_(#,##0.0%_);\(#,##0.0%\);_(&quot;–&quot;_)_%;_(@_)_%"/>
    <numFmt numFmtId="169" formatCode="_(* #,##0_);_(* \(#,##0\);_(* &quot;-&quot;??_);_(@_)"/>
    <numFmt numFmtId="170" formatCode="#,##0;\(#,##0\);&quot;–&quot;;@"/>
    <numFmt numFmtId="171" formatCode="#,##0.00%;\(#,##0.00%\);&quot;–&quot;;@"/>
    <numFmt numFmtId="172" formatCode="_(* #,##0.0%_);_(* \(#,##0.0%\);_(* &quot;--- %&quot;_);_(* @_%_)"/>
    <numFmt numFmtId="173" formatCode="_(&quot;$&quot;* #,##0_);_(&quot;$&quot;* \(#,##0\);_(&quot;$&quot;* &quot;-&quot;?_);_(@_)"/>
    <numFmt numFmtId="174" formatCode="_(* #,##0_);_(* \(#,##0\);_(* &quot;-&quot;?_);_(@_)"/>
    <numFmt numFmtId="175" formatCode="0.0\x"/>
    <numFmt numFmtId="176" formatCode="&quot;$&quot;#,##0"/>
    <numFmt numFmtId="177" formatCode="0.00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rgb="FFC00000"/>
      <name val="Calibri"/>
      <family val="2"/>
      <scheme val="minor"/>
    </font>
    <font>
      <u/>
      <sz val="8"/>
      <color theme="1"/>
      <name val="Times New Roman"/>
      <family val="1"/>
    </font>
    <font>
      <b/>
      <u val="singleAccounting"/>
      <sz val="8"/>
      <color theme="1"/>
      <name val="Times New Roman"/>
      <family val="1"/>
    </font>
    <font>
      <sz val="8"/>
      <color rgb="FF0000FF"/>
      <name val="Calibri"/>
      <family val="2"/>
      <scheme val="minor"/>
    </font>
    <font>
      <b/>
      <u val="singleAccounting"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i/>
      <sz val="8"/>
      <name val="Calibri"/>
      <family val="2"/>
      <scheme val="minor"/>
    </font>
    <font>
      <sz val="8"/>
      <color theme="1"/>
      <name val="Times New Roman"/>
      <family val="1"/>
    </font>
    <font>
      <sz val="8"/>
      <color rgb="FF0000FF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name val="Times New Roman"/>
      <family val="1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 val="singleAccounting"/>
      <sz val="8"/>
      <color rgb="FF00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u val="singleAccounting"/>
      <sz val="8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MS Sans Serif"/>
      <family val="2"/>
    </font>
    <font>
      <sz val="9"/>
      <name val="Times New Roman"/>
      <family val="1"/>
    </font>
    <font>
      <sz val="10"/>
      <name val="Arial"/>
      <family val="2"/>
    </font>
    <font>
      <b/>
      <sz val="8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8"/>
      <color rgb="FF008000"/>
      <name val="Times New Roman"/>
      <family val="1"/>
    </font>
    <font>
      <sz val="11"/>
      <color rgb="FF008000"/>
      <name val="Times New Roman"/>
      <family val="1"/>
    </font>
    <font>
      <sz val="11"/>
      <name val="Times New Roman"/>
      <family val="1"/>
    </font>
    <font>
      <b/>
      <sz val="11"/>
      <color rgb="FF008000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8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4"/>
      <name val="Calibri"/>
      <family val="2"/>
      <scheme val="minor"/>
    </font>
    <font>
      <u val="singleAccounting"/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72" fontId="28" fillId="0" borderId="0" applyFont="0" applyFill="0" applyBorder="0" applyAlignment="0" applyProtection="0">
      <alignment horizontal="right"/>
    </xf>
    <xf numFmtId="0" fontId="1" fillId="0" borderId="0"/>
    <xf numFmtId="0" fontId="29" fillId="0" borderId="0"/>
    <xf numFmtId="0" fontId="52" fillId="0" borderId="0" applyNumberFormat="0" applyFill="0" applyBorder="0" applyAlignment="0" applyProtection="0"/>
  </cellStyleXfs>
  <cellXfs count="51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Continuous"/>
    </xf>
    <xf numFmtId="0" fontId="9" fillId="0" borderId="0" xfId="0" applyFont="1"/>
    <xf numFmtId="0" fontId="10" fillId="5" borderId="9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0" fillId="5" borderId="11" xfId="0" applyFont="1" applyFill="1" applyBorder="1"/>
    <xf numFmtId="0" fontId="11" fillId="5" borderId="0" xfId="0" applyFont="1" applyFill="1"/>
    <xf numFmtId="166" fontId="11" fillId="5" borderId="0" xfId="1" applyNumberFormat="1" applyFont="1" applyFill="1" applyBorder="1" applyAlignment="1">
      <alignment horizontal="center"/>
    </xf>
    <xf numFmtId="166" fontId="11" fillId="5" borderId="12" xfId="1" applyNumberFormat="1" applyFont="1" applyFill="1" applyBorder="1" applyAlignment="1">
      <alignment horizontal="center"/>
    </xf>
    <xf numFmtId="0" fontId="12" fillId="5" borderId="11" xfId="0" applyFont="1" applyFill="1" applyBorder="1"/>
    <xf numFmtId="0" fontId="10" fillId="5" borderId="13" xfId="0" applyFont="1" applyFill="1" applyBorder="1"/>
    <xf numFmtId="9" fontId="11" fillId="5" borderId="1" xfId="0" applyNumberFormat="1" applyFont="1" applyFill="1" applyBorder="1" applyAlignment="1">
      <alignment horizontal="center"/>
    </xf>
    <xf numFmtId="9" fontId="11" fillId="5" borderId="14" xfId="0" applyNumberFormat="1" applyFont="1" applyFill="1" applyBorder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166" fontId="11" fillId="5" borderId="8" xfId="1" applyNumberFormat="1" applyFont="1" applyFill="1" applyBorder="1"/>
    <xf numFmtId="166" fontId="11" fillId="5" borderId="10" xfId="1" applyNumberFormat="1" applyFont="1" applyFill="1" applyBorder="1"/>
    <xf numFmtId="9" fontId="11" fillId="5" borderId="0" xfId="2" applyFont="1" applyFill="1" applyBorder="1" applyAlignment="1">
      <alignment horizontal="center"/>
    </xf>
    <xf numFmtId="9" fontId="11" fillId="5" borderId="12" xfId="2" applyFont="1" applyFill="1" applyBorder="1" applyAlignment="1">
      <alignment horizontal="center"/>
    </xf>
    <xf numFmtId="166" fontId="10" fillId="5" borderId="0" xfId="1" applyNumberFormat="1" applyFont="1" applyFill="1" applyBorder="1" applyAlignment="1">
      <alignment horizontal="center"/>
    </xf>
    <xf numFmtId="166" fontId="10" fillId="5" borderId="12" xfId="1" applyNumberFormat="1" applyFont="1" applyFill="1" applyBorder="1" applyAlignment="1">
      <alignment horizontal="center"/>
    </xf>
    <xf numFmtId="169" fontId="11" fillId="5" borderId="0" xfId="3" applyNumberFormat="1" applyFont="1" applyFill="1" applyBorder="1" applyAlignment="1"/>
    <xf numFmtId="169" fontId="11" fillId="5" borderId="12" xfId="3" applyNumberFormat="1" applyFont="1" applyFill="1" applyBorder="1" applyAlignment="1"/>
    <xf numFmtId="6" fontId="11" fillId="5" borderId="0" xfId="0" applyNumberFormat="1" applyFont="1" applyFill="1"/>
    <xf numFmtId="44" fontId="11" fillId="5" borderId="0" xfId="1" applyFont="1" applyFill="1" applyBorder="1"/>
    <xf numFmtId="44" fontId="11" fillId="5" borderId="12" xfId="1" applyFont="1" applyFill="1" applyBorder="1"/>
    <xf numFmtId="164" fontId="11" fillId="5" borderId="0" xfId="2" applyNumberFormat="1" applyFont="1" applyFill="1" applyBorder="1" applyAlignment="1">
      <alignment horizontal="center"/>
    </xf>
    <xf numFmtId="164" fontId="11" fillId="5" borderId="12" xfId="2" applyNumberFormat="1" applyFont="1" applyFill="1" applyBorder="1" applyAlignment="1">
      <alignment horizontal="center"/>
    </xf>
    <xf numFmtId="166" fontId="11" fillId="5" borderId="1" xfId="1" applyNumberFormat="1" applyFont="1" applyFill="1" applyBorder="1" applyAlignment="1">
      <alignment horizontal="center"/>
    </xf>
    <xf numFmtId="166" fontId="11" fillId="5" borderId="14" xfId="1" applyNumberFormat="1" applyFont="1" applyFill="1" applyBorder="1" applyAlignment="1">
      <alignment horizontal="center"/>
    </xf>
    <xf numFmtId="0" fontId="10" fillId="0" borderId="0" xfId="0" applyFont="1"/>
    <xf numFmtId="164" fontId="11" fillId="2" borderId="2" xfId="2" applyNumberFormat="1" applyFont="1" applyFill="1" applyBorder="1" applyAlignment="1">
      <alignment horizontal="center"/>
    </xf>
    <xf numFmtId="6" fontId="14" fillId="5" borderId="0" xfId="0" applyNumberFormat="1" applyFont="1" applyFill="1" applyAlignment="1">
      <alignment horizontal="center"/>
    </xf>
    <xf numFmtId="6" fontId="14" fillId="5" borderId="1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/>
    </xf>
    <xf numFmtId="169" fontId="6" fillId="5" borderId="0" xfId="3" applyNumberFormat="1" applyFont="1" applyFill="1" applyBorder="1"/>
    <xf numFmtId="164" fontId="6" fillId="5" borderId="12" xfId="0" applyNumberFormat="1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169" fontId="6" fillId="5" borderId="1" xfId="3" applyNumberFormat="1" applyFont="1" applyFill="1" applyBorder="1"/>
    <xf numFmtId="164" fontId="6" fillId="5" borderId="14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16" fillId="0" borderId="0" xfId="0" applyFont="1"/>
    <xf numFmtId="166" fontId="6" fillId="4" borderId="16" xfId="1" applyNumberFormat="1" applyFont="1" applyFill="1" applyBorder="1" applyAlignment="1">
      <alignment horizontal="center"/>
    </xf>
    <xf numFmtId="166" fontId="6" fillId="4" borderId="17" xfId="1" applyNumberFormat="1" applyFont="1" applyFill="1" applyBorder="1" applyAlignment="1">
      <alignment horizontal="center"/>
    </xf>
    <xf numFmtId="166" fontId="6" fillId="4" borderId="18" xfId="1" applyNumberFormat="1" applyFont="1" applyFill="1" applyBorder="1" applyAlignment="1">
      <alignment horizontal="center"/>
    </xf>
    <xf numFmtId="166" fontId="6" fillId="4" borderId="19" xfId="1" applyNumberFormat="1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166" fontId="6" fillId="4" borderId="21" xfId="1" applyNumberFormat="1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66" fontId="6" fillId="4" borderId="23" xfId="1" applyNumberFormat="1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166" fontId="6" fillId="4" borderId="6" xfId="1" applyNumberFormat="1" applyFont="1" applyFill="1" applyBorder="1" applyAlignment="1">
      <alignment horizontal="center"/>
    </xf>
    <xf numFmtId="9" fontId="6" fillId="4" borderId="7" xfId="0" applyNumberFormat="1" applyFont="1" applyFill="1" applyBorder="1" applyAlignment="1">
      <alignment horizontal="center"/>
    </xf>
    <xf numFmtId="0" fontId="17" fillId="0" borderId="8" xfId="0" applyFont="1" applyBorder="1"/>
    <xf numFmtId="0" fontId="21" fillId="3" borderId="3" xfId="0" applyFont="1" applyFill="1" applyBorder="1"/>
    <xf numFmtId="0" fontId="21" fillId="3" borderId="4" xfId="0" applyFont="1" applyFill="1" applyBorder="1"/>
    <xf numFmtId="0" fontId="21" fillId="3" borderId="5" xfId="0" applyFont="1" applyFill="1" applyBorder="1"/>
    <xf numFmtId="0" fontId="22" fillId="0" borderId="15" xfId="0" applyFont="1" applyBorder="1"/>
    <xf numFmtId="166" fontId="2" fillId="0" borderId="0" xfId="1" applyNumberFormat="1" applyFont="1" applyBorder="1"/>
    <xf numFmtId="0" fontId="2" fillId="0" borderId="8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7" borderId="11" xfId="0" applyFont="1" applyFill="1" applyBorder="1"/>
    <xf numFmtId="0" fontId="2" fillId="7" borderId="0" xfId="0" applyFont="1" applyFill="1"/>
    <xf numFmtId="0" fontId="2" fillId="7" borderId="12" xfId="0" applyFont="1" applyFill="1" applyBorder="1"/>
    <xf numFmtId="0" fontId="5" fillId="7" borderId="0" xfId="0" applyFont="1" applyFill="1" applyAlignment="1">
      <alignment horizontal="centerContinuous"/>
    </xf>
    <xf numFmtId="0" fontId="2" fillId="7" borderId="13" xfId="0" applyFont="1" applyFill="1" applyBorder="1"/>
    <xf numFmtId="0" fontId="2" fillId="7" borderId="1" xfId="0" applyFont="1" applyFill="1" applyBorder="1"/>
    <xf numFmtId="0" fontId="2" fillId="7" borderId="14" xfId="0" applyFont="1" applyFill="1" applyBorder="1"/>
    <xf numFmtId="0" fontId="2" fillId="7" borderId="11" xfId="0" applyFont="1" applyFill="1" applyBorder="1" applyAlignment="1">
      <alignment vertical="top"/>
    </xf>
    <xf numFmtId="0" fontId="2" fillId="7" borderId="0" xfId="0" applyFont="1" applyFill="1" applyAlignment="1">
      <alignment vertical="top"/>
    </xf>
    <xf numFmtId="0" fontId="2" fillId="7" borderId="12" xfId="0" applyFont="1" applyFill="1" applyBorder="1" applyAlignment="1">
      <alignment vertical="top"/>
    </xf>
    <xf numFmtId="0" fontId="5" fillId="7" borderId="0" xfId="0" applyFont="1" applyFill="1" applyAlignment="1">
      <alignment horizontal="centerContinuous" vertical="top"/>
    </xf>
    <xf numFmtId="0" fontId="17" fillId="7" borderId="11" xfId="0" applyFont="1" applyFill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0" fontId="17" fillId="7" borderId="11" xfId="0" applyFont="1" applyFill="1" applyBorder="1"/>
    <xf numFmtId="0" fontId="17" fillId="8" borderId="3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25" fillId="9" borderId="9" xfId="0" applyFont="1" applyFill="1" applyBorder="1"/>
    <xf numFmtId="0" fontId="26" fillId="9" borderId="8" xfId="0" applyFont="1" applyFill="1" applyBorder="1"/>
    <xf numFmtId="0" fontId="26" fillId="9" borderId="10" xfId="0" applyFont="1" applyFill="1" applyBorder="1"/>
    <xf numFmtId="6" fontId="6" fillId="0" borderId="5" xfId="0" applyNumberFormat="1" applyFont="1" applyBorder="1" applyAlignment="1">
      <alignment horizontal="center" vertical="center"/>
    </xf>
    <xf numFmtId="171" fontId="11" fillId="4" borderId="27" xfId="4" applyNumberFormat="1" applyFont="1" applyFill="1" applyBorder="1" applyAlignment="1">
      <alignment horizontal="center"/>
    </xf>
    <xf numFmtId="171" fontId="11" fillId="4" borderId="28" xfId="4" applyNumberFormat="1" applyFont="1" applyFill="1" applyBorder="1" applyAlignment="1">
      <alignment horizontal="center"/>
    </xf>
    <xf numFmtId="0" fontId="30" fillId="0" borderId="15" xfId="4" applyFont="1" applyBorder="1"/>
    <xf numFmtId="0" fontId="30" fillId="5" borderId="15" xfId="4" applyFont="1" applyFill="1" applyBorder="1"/>
    <xf numFmtId="0" fontId="2" fillId="0" borderId="9" xfId="0" applyFont="1" applyBorder="1"/>
    <xf numFmtId="0" fontId="17" fillId="0" borderId="10" xfId="0" applyFont="1" applyBorder="1" applyAlignment="1">
      <alignment horizontal="center"/>
    </xf>
    <xf numFmtId="0" fontId="16" fillId="0" borderId="11" xfId="4" applyFont="1" applyBorder="1" applyAlignment="1">
      <alignment horizontal="left" indent="1"/>
    </xf>
    <xf numFmtId="0" fontId="6" fillId="0" borderId="0" xfId="4" applyFont="1" applyAlignment="1">
      <alignment horizontal="left" indent="1"/>
    </xf>
    <xf numFmtId="166" fontId="6" fillId="2" borderId="12" xfId="1" applyNumberFormat="1" applyFont="1" applyFill="1" applyBorder="1" applyAlignment="1">
      <alignment horizontal="left" indent="1"/>
    </xf>
    <xf numFmtId="171" fontId="11" fillId="4" borderId="0" xfId="4" applyNumberFormat="1" applyFont="1" applyFill="1" applyAlignment="1">
      <alignment horizontal="center"/>
    </xf>
    <xf numFmtId="169" fontId="6" fillId="0" borderId="12" xfId="3" applyNumberFormat="1" applyFont="1" applyBorder="1" applyAlignment="1">
      <alignment horizontal="left" indent="1"/>
    </xf>
    <xf numFmtId="0" fontId="15" fillId="0" borderId="29" xfId="4" applyFont="1" applyBorder="1"/>
    <xf numFmtId="169" fontId="30" fillId="0" borderId="30" xfId="3" applyNumberFormat="1" applyFont="1" applyBorder="1"/>
    <xf numFmtId="0" fontId="2" fillId="0" borderId="11" xfId="0" applyFont="1" applyBorder="1"/>
    <xf numFmtId="0" fontId="6" fillId="0" borderId="0" xfId="0" applyFont="1"/>
    <xf numFmtId="0" fontId="6" fillId="0" borderId="12" xfId="0" applyFont="1" applyBorder="1"/>
    <xf numFmtId="0" fontId="15" fillId="5" borderId="29" xfId="4" applyFont="1" applyFill="1" applyBorder="1"/>
    <xf numFmtId="169" fontId="30" fillId="5" borderId="30" xfId="3" applyNumberFormat="1" applyFont="1" applyFill="1" applyBorder="1"/>
    <xf numFmtId="169" fontId="6" fillId="2" borderId="0" xfId="3" applyNumberFormat="1" applyFont="1" applyFill="1" applyBorder="1" applyAlignment="1">
      <alignment horizontal="left" indent="1"/>
    </xf>
    <xf numFmtId="169" fontId="30" fillId="0" borderId="30" xfId="4" applyNumberFormat="1" applyFont="1" applyBorder="1"/>
    <xf numFmtId="0" fontId="17" fillId="0" borderId="11" xfId="4" applyFont="1" applyBorder="1"/>
    <xf numFmtId="0" fontId="30" fillId="0" borderId="0" xfId="4" applyFont="1"/>
    <xf numFmtId="0" fontId="30" fillId="0" borderId="12" xfId="4" applyFont="1" applyBorder="1"/>
    <xf numFmtId="0" fontId="15" fillId="5" borderId="3" xfId="4" applyFont="1" applyFill="1" applyBorder="1"/>
    <xf numFmtId="0" fontId="30" fillId="5" borderId="4" xfId="4" applyFont="1" applyFill="1" applyBorder="1"/>
    <xf numFmtId="169" fontId="30" fillId="5" borderId="5" xfId="3" applyNumberFormat="1" applyFont="1" applyFill="1" applyBorder="1"/>
    <xf numFmtId="0" fontId="17" fillId="0" borderId="8" xfId="0" applyFont="1" applyBorder="1" applyAlignment="1">
      <alignment horizontal="center"/>
    </xf>
    <xf numFmtId="0" fontId="19" fillId="0" borderId="9" xfId="0" applyFont="1" applyBorder="1"/>
    <xf numFmtId="0" fontId="18" fillId="0" borderId="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left" indent="1"/>
    </xf>
    <xf numFmtId="0" fontId="6" fillId="4" borderId="31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19" fillId="0" borderId="11" xfId="0" applyFont="1" applyBorder="1"/>
    <xf numFmtId="0" fontId="2" fillId="0" borderId="12" xfId="0" applyFont="1" applyBorder="1"/>
    <xf numFmtId="0" fontId="20" fillId="0" borderId="0" xfId="0" applyFont="1" applyAlignment="1">
      <alignment horizontal="center"/>
    </xf>
    <xf numFmtId="0" fontId="16" fillId="0" borderId="11" xfId="0" applyFont="1" applyBorder="1"/>
    <xf numFmtId="0" fontId="15" fillId="0" borderId="9" xfId="0" applyFont="1" applyBorder="1"/>
    <xf numFmtId="0" fontId="17" fillId="0" borderId="10" xfId="0" applyFont="1" applyBorder="1"/>
    <xf numFmtId="0" fontId="22" fillId="0" borderId="11" xfId="0" applyFont="1" applyBorder="1"/>
    <xf numFmtId="0" fontId="22" fillId="0" borderId="0" xfId="0" applyFont="1"/>
    <xf numFmtId="0" fontId="22" fillId="0" borderId="12" xfId="0" applyFont="1" applyBorder="1"/>
    <xf numFmtId="168" fontId="6" fillId="6" borderId="31" xfId="0" applyNumberFormat="1" applyFont="1" applyFill="1" applyBorder="1"/>
    <xf numFmtId="0" fontId="23" fillId="0" borderId="11" xfId="0" applyFont="1" applyBorder="1"/>
    <xf numFmtId="167" fontId="6" fillId="6" borderId="32" xfId="0" applyNumberFormat="1" applyFont="1" applyFill="1" applyBorder="1"/>
    <xf numFmtId="165" fontId="6" fillId="6" borderId="32" xfId="0" applyNumberFormat="1" applyFont="1" applyFill="1" applyBorder="1"/>
    <xf numFmtId="0" fontId="15" fillId="0" borderId="29" xfId="0" applyFont="1" applyBorder="1"/>
    <xf numFmtId="170" fontId="15" fillId="0" borderId="30" xfId="0" applyNumberFormat="1" applyFont="1" applyBorder="1"/>
    <xf numFmtId="0" fontId="24" fillId="0" borderId="11" xfId="0" applyFont="1" applyBorder="1"/>
    <xf numFmtId="170" fontId="22" fillId="0" borderId="12" xfId="0" applyNumberFormat="1" applyFont="1" applyBorder="1"/>
    <xf numFmtId="168" fontId="6" fillId="6" borderId="32" xfId="0" applyNumberFormat="1" applyFont="1" applyFill="1" applyBorder="1"/>
    <xf numFmtId="165" fontId="6" fillId="6" borderId="31" xfId="0" applyNumberFormat="1" applyFont="1" applyFill="1" applyBorder="1"/>
    <xf numFmtId="0" fontId="15" fillId="0" borderId="23" xfId="0" applyFont="1" applyBorder="1"/>
    <xf numFmtId="0" fontId="24" fillId="0" borderId="33" xfId="0" applyFont="1" applyBorder="1"/>
    <xf numFmtId="165" fontId="15" fillId="0" borderId="34" xfId="0" applyNumberFormat="1" applyFont="1" applyBorder="1"/>
    <xf numFmtId="0" fontId="2" fillId="0" borderId="3" xfId="0" applyFont="1" applyBorder="1"/>
    <xf numFmtId="9" fontId="6" fillId="2" borderId="2" xfId="0" applyNumberFormat="1" applyFont="1" applyFill="1" applyBorder="1" applyAlignment="1">
      <alignment horizontal="center"/>
    </xf>
    <xf numFmtId="0" fontId="2" fillId="7" borderId="13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10" borderId="0" xfId="0" applyFill="1"/>
    <xf numFmtId="0" fontId="32" fillId="10" borderId="0" xfId="0" applyFont="1" applyFill="1"/>
    <xf numFmtId="0" fontId="33" fillId="10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/>
    <xf numFmtId="0" fontId="31" fillId="0" borderId="0" xfId="0" applyFont="1"/>
    <xf numFmtId="0" fontId="35" fillId="0" borderId="2" xfId="0" applyFont="1" applyBorder="1" applyAlignment="1">
      <alignment horizontal="center"/>
    </xf>
    <xf numFmtId="166" fontId="35" fillId="0" borderId="0" xfId="1" applyNumberFormat="1" applyFont="1" applyAlignment="1">
      <alignment horizontal="center"/>
    </xf>
    <xf numFmtId="9" fontId="35" fillId="0" borderId="0" xfId="2" applyFont="1" applyAlignment="1">
      <alignment horizontal="center"/>
    </xf>
    <xf numFmtId="166" fontId="36" fillId="0" borderId="0" xfId="1" applyNumberFormat="1" applyFont="1" applyAlignment="1">
      <alignment horizontal="center"/>
    </xf>
    <xf numFmtId="166" fontId="0" fillId="0" borderId="0" xfId="1" applyNumberFormat="1" applyFont="1"/>
    <xf numFmtId="0" fontId="0" fillId="0" borderId="0" xfId="0" applyAlignment="1">
      <alignment horizontal="left"/>
    </xf>
    <xf numFmtId="9" fontId="38" fillId="0" borderId="0" xfId="2" applyFont="1" applyFill="1" applyBorder="1" applyAlignment="1">
      <alignment horizontal="center"/>
    </xf>
    <xf numFmtId="166" fontId="38" fillId="0" borderId="0" xfId="1" applyNumberFormat="1" applyFont="1" applyFill="1" applyBorder="1" applyAlignment="1">
      <alignment horizontal="center"/>
    </xf>
    <xf numFmtId="6" fontId="38" fillId="0" borderId="0" xfId="0" applyNumberFormat="1" applyFont="1"/>
    <xf numFmtId="164" fontId="38" fillId="0" borderId="0" xfId="2" applyNumberFormat="1" applyFont="1" applyFill="1" applyBorder="1" applyAlignment="1">
      <alignment horizontal="center"/>
    </xf>
    <xf numFmtId="166" fontId="0" fillId="0" borderId="0" xfId="0" applyNumberFormat="1"/>
    <xf numFmtId="0" fontId="0" fillId="0" borderId="8" xfId="0" applyBorder="1"/>
    <xf numFmtId="166" fontId="38" fillId="0" borderId="8" xfId="1" applyNumberFormat="1" applyFont="1" applyFill="1" applyBorder="1" applyAlignment="1">
      <alignment horizontal="center"/>
    </xf>
    <xf numFmtId="166" fontId="0" fillId="0" borderId="8" xfId="0" applyNumberFormat="1" applyBorder="1"/>
    <xf numFmtId="166" fontId="38" fillId="0" borderId="0" xfId="1" applyNumberFormat="1" applyFont="1" applyFill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44" fontId="38" fillId="0" borderId="0" xfId="1" applyFont="1" applyFill="1" applyBorder="1"/>
    <xf numFmtId="44" fontId="0" fillId="0" borderId="0" xfId="0" applyNumberFormat="1"/>
    <xf numFmtId="173" fontId="0" fillId="0" borderId="0" xfId="0" applyNumberFormat="1"/>
    <xf numFmtId="0" fontId="31" fillId="0" borderId="8" xfId="0" applyFont="1" applyBorder="1"/>
    <xf numFmtId="164" fontId="40" fillId="0" borderId="8" xfId="2" applyNumberFormat="1" applyFont="1" applyFill="1" applyBorder="1" applyAlignment="1">
      <alignment horizontal="center"/>
    </xf>
    <xf numFmtId="173" fontId="31" fillId="0" borderId="8" xfId="0" applyNumberFormat="1" applyFont="1" applyBorder="1"/>
    <xf numFmtId="166" fontId="40" fillId="0" borderId="8" xfId="1" applyNumberFormat="1" applyFont="1" applyFill="1" applyBorder="1" applyAlignment="1">
      <alignment horizontal="center"/>
    </xf>
    <xf numFmtId="166" fontId="31" fillId="0" borderId="8" xfId="0" applyNumberFormat="1" applyFont="1" applyBorder="1"/>
    <xf numFmtId="0" fontId="41" fillId="0" borderId="8" xfId="0" applyFont="1" applyBorder="1" applyAlignment="1">
      <alignment horizontal="center"/>
    </xf>
    <xf numFmtId="6" fontId="40" fillId="0" borderId="8" xfId="0" applyNumberFormat="1" applyFont="1" applyBorder="1"/>
    <xf numFmtId="164" fontId="0" fillId="0" borderId="0" xfId="2" applyNumberFormat="1" applyFont="1"/>
    <xf numFmtId="164" fontId="0" fillId="0" borderId="8" xfId="2" applyNumberFormat="1" applyFont="1" applyBorder="1"/>
    <xf numFmtId="0" fontId="0" fillId="0" borderId="0" xfId="0" applyAlignment="1">
      <alignment horizontal="center"/>
    </xf>
    <xf numFmtId="0" fontId="17" fillId="0" borderId="0" xfId="0" applyFont="1"/>
    <xf numFmtId="46" fontId="2" fillId="0" borderId="0" xfId="0" applyNumberFormat="1" applyFont="1"/>
    <xf numFmtId="0" fontId="2" fillId="0" borderId="0" xfId="0" applyFont="1" applyAlignment="1">
      <alignment horizontal="right"/>
    </xf>
    <xf numFmtId="9" fontId="44" fillId="0" borderId="0" xfId="0" applyNumberFormat="1" applyFont="1" applyAlignment="1">
      <alignment horizontal="center"/>
    </xf>
    <xf numFmtId="0" fontId="17" fillId="0" borderId="1" xfId="0" applyFont="1" applyBorder="1" applyAlignment="1">
      <alignment horizontal="centerContinuous"/>
    </xf>
    <xf numFmtId="0" fontId="45" fillId="0" borderId="0" xfId="0" applyFont="1" applyAlignment="1">
      <alignment horizontal="center"/>
    </xf>
    <xf numFmtId="166" fontId="37" fillId="0" borderId="0" xfId="1" applyNumberFormat="1" applyFont="1" applyFill="1" applyBorder="1"/>
    <xf numFmtId="164" fontId="14" fillId="0" borderId="0" xfId="2" applyNumberFormat="1" applyFont="1" applyFill="1" applyBorder="1" applyAlignment="1">
      <alignment horizontal="center"/>
    </xf>
    <xf numFmtId="166" fontId="44" fillId="0" borderId="0" xfId="1" applyNumberFormat="1" applyFont="1" applyBorder="1"/>
    <xf numFmtId="164" fontId="22" fillId="0" borderId="0" xfId="2" applyNumberFormat="1" applyFont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166" fontId="46" fillId="0" borderId="8" xfId="1" applyNumberFormat="1" applyFont="1" applyBorder="1"/>
    <xf numFmtId="164" fontId="24" fillId="0" borderId="8" xfId="2" applyNumberFormat="1" applyFont="1" applyBorder="1" applyAlignment="1">
      <alignment horizontal="center"/>
    </xf>
    <xf numFmtId="0" fontId="44" fillId="0" borderId="0" xfId="0" applyFont="1" applyAlignment="1">
      <alignment horizontal="center"/>
    </xf>
    <xf numFmtId="166" fontId="44" fillId="0" borderId="0" xfId="1" applyNumberFormat="1" applyFont="1"/>
    <xf numFmtId="164" fontId="22" fillId="0" borderId="0" xfId="2" applyNumberFormat="1" applyFont="1" applyAlignment="1">
      <alignment horizontal="center"/>
    </xf>
    <xf numFmtId="166" fontId="46" fillId="0" borderId="8" xfId="1" applyNumberFormat="1" applyFont="1" applyFill="1" applyBorder="1"/>
    <xf numFmtId="164" fontId="24" fillId="0" borderId="8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31" fillId="0" borderId="8" xfId="0" applyFont="1" applyBorder="1" applyAlignment="1">
      <alignment horizontal="center"/>
    </xf>
    <xf numFmtId="0" fontId="47" fillId="11" borderId="0" xfId="0" applyFont="1" applyFill="1" applyAlignment="1">
      <alignment horizontal="center"/>
    </xf>
    <xf numFmtId="0" fontId="0" fillId="11" borderId="0" xfId="0" applyFill="1"/>
    <xf numFmtId="169" fontId="35" fillId="0" borderId="0" xfId="3" applyNumberFormat="1" applyFont="1" applyAlignment="1">
      <alignment horizontal="center"/>
    </xf>
    <xf numFmtId="169" fontId="0" fillId="11" borderId="0" xfId="3" applyNumberFormat="1" applyFont="1" applyFill="1"/>
    <xf numFmtId="169" fontId="0" fillId="11" borderId="0" xfId="3" applyNumberFormat="1" applyFont="1" applyFill="1" applyAlignment="1">
      <alignment horizontal="center"/>
    </xf>
    <xf numFmtId="0" fontId="0" fillId="11" borderId="4" xfId="0" applyFill="1" applyBorder="1"/>
    <xf numFmtId="166" fontId="14" fillId="0" borderId="0" xfId="1" applyNumberFormat="1" applyFont="1" applyFill="1" applyBorder="1"/>
    <xf numFmtId="166" fontId="22" fillId="0" borderId="0" xfId="1" applyNumberFormat="1" applyFont="1" applyBorder="1"/>
    <xf numFmtId="166" fontId="24" fillId="0" borderId="8" xfId="1" applyNumberFormat="1" applyFont="1" applyBorder="1"/>
    <xf numFmtId="166" fontId="22" fillId="0" borderId="0" xfId="1" applyNumberFormat="1" applyFont="1"/>
    <xf numFmtId="166" fontId="24" fillId="0" borderId="8" xfId="1" applyNumberFormat="1" applyFont="1" applyFill="1" applyBorder="1"/>
    <xf numFmtId="166" fontId="43" fillId="0" borderId="0" xfId="1" applyNumberFormat="1" applyFont="1" applyAlignment="1">
      <alignment horizontal="center"/>
    </xf>
    <xf numFmtId="0" fontId="17" fillId="0" borderId="0" xfId="0" applyFont="1" applyAlignment="1">
      <alignment horizontal="right"/>
    </xf>
    <xf numFmtId="0" fontId="48" fillId="0" borderId="2" xfId="0" applyFont="1" applyBorder="1" applyAlignment="1">
      <alignment horizontal="center"/>
    </xf>
    <xf numFmtId="9" fontId="44" fillId="0" borderId="2" xfId="0" applyNumberFormat="1" applyFont="1" applyBorder="1" applyAlignment="1">
      <alignment horizontal="center"/>
    </xf>
    <xf numFmtId="166" fontId="2" fillId="0" borderId="2" xfId="1" applyNumberFormat="1" applyFont="1" applyBorder="1" applyAlignment="1">
      <alignment horizontal="center"/>
    </xf>
    <xf numFmtId="164" fontId="22" fillId="0" borderId="0" xfId="2" applyNumberFormat="1" applyFont="1" applyFill="1" applyBorder="1" applyAlignment="1">
      <alignment horizontal="center"/>
    </xf>
    <xf numFmtId="166" fontId="44" fillId="0" borderId="0" xfId="1" applyNumberFormat="1" applyFont="1" applyFill="1" applyBorder="1"/>
    <xf numFmtId="164" fontId="22" fillId="0" borderId="0" xfId="2" applyNumberFormat="1" applyFont="1" applyFill="1" applyAlignment="1">
      <alignment horizontal="center"/>
    </xf>
    <xf numFmtId="166" fontId="46" fillId="0" borderId="0" xfId="1" applyNumberFormat="1" applyFont="1" applyFill="1" applyBorder="1"/>
    <xf numFmtId="164" fontId="24" fillId="0" borderId="0" xfId="2" applyNumberFormat="1" applyFont="1" applyFill="1" applyBorder="1" applyAlignment="1">
      <alignment horizontal="center"/>
    </xf>
    <xf numFmtId="0" fontId="46" fillId="0" borderId="8" xfId="0" applyFont="1" applyBorder="1" applyAlignment="1">
      <alignment horizontal="center"/>
    </xf>
    <xf numFmtId="0" fontId="2" fillId="0" borderId="1" xfId="0" applyFont="1" applyBorder="1"/>
    <xf numFmtId="0" fontId="6" fillId="0" borderId="0" xfId="0" applyFont="1" applyAlignment="1">
      <alignment horizontal="center"/>
    </xf>
    <xf numFmtId="0" fontId="44" fillId="0" borderId="0" xfId="0" applyFont="1"/>
    <xf numFmtId="166" fontId="44" fillId="4" borderId="16" xfId="1" applyNumberFormat="1" applyFont="1" applyFill="1" applyBorder="1" applyAlignment="1">
      <alignment horizontal="center"/>
    </xf>
    <xf numFmtId="0" fontId="44" fillId="4" borderId="31" xfId="0" applyFont="1" applyFill="1" applyBorder="1" applyAlignment="1">
      <alignment horizontal="center"/>
    </xf>
    <xf numFmtId="166" fontId="44" fillId="4" borderId="17" xfId="1" applyNumberFormat="1" applyFont="1" applyFill="1" applyBorder="1" applyAlignment="1">
      <alignment horizontal="center"/>
    </xf>
    <xf numFmtId="0" fontId="44" fillId="4" borderId="22" xfId="0" applyFont="1" applyFill="1" applyBorder="1" applyAlignment="1">
      <alignment horizontal="center"/>
    </xf>
    <xf numFmtId="166" fontId="44" fillId="4" borderId="18" xfId="1" applyNumberFormat="1" applyFont="1" applyFill="1" applyBorder="1" applyAlignment="1">
      <alignment horizontal="center"/>
    </xf>
    <xf numFmtId="0" fontId="44" fillId="4" borderId="32" xfId="0" applyFont="1" applyFill="1" applyBorder="1" applyAlignment="1">
      <alignment horizontal="center"/>
    </xf>
    <xf numFmtId="0" fontId="44" fillId="0" borderId="12" xfId="0" applyFont="1" applyBorder="1"/>
    <xf numFmtId="166" fontId="44" fillId="4" borderId="19" xfId="1" applyNumberFormat="1" applyFont="1" applyFill="1" applyBorder="1" applyAlignment="1">
      <alignment horizontal="center"/>
    </xf>
    <xf numFmtId="0" fontId="44" fillId="4" borderId="20" xfId="0" applyFont="1" applyFill="1" applyBorder="1" applyAlignment="1">
      <alignment horizontal="center"/>
    </xf>
    <xf numFmtId="166" fontId="44" fillId="4" borderId="21" xfId="1" applyNumberFormat="1" applyFont="1" applyFill="1" applyBorder="1" applyAlignment="1">
      <alignment horizontal="center"/>
    </xf>
    <xf numFmtId="166" fontId="44" fillId="4" borderId="23" xfId="1" applyNumberFormat="1" applyFont="1" applyFill="1" applyBorder="1" applyAlignment="1">
      <alignment horizontal="center"/>
    </xf>
    <xf numFmtId="0" fontId="44" fillId="4" borderId="24" xfId="0" applyFont="1" applyFill="1" applyBorder="1" applyAlignment="1">
      <alignment horizontal="center"/>
    </xf>
    <xf numFmtId="166" fontId="44" fillId="4" borderId="6" xfId="1" applyNumberFormat="1" applyFont="1" applyFill="1" applyBorder="1" applyAlignment="1">
      <alignment horizontal="center"/>
    </xf>
    <xf numFmtId="43" fontId="2" fillId="0" borderId="0" xfId="3" applyFont="1"/>
    <xf numFmtId="169" fontId="2" fillId="0" borderId="0" xfId="3" applyNumberFormat="1" applyFont="1"/>
    <xf numFmtId="169" fontId="2" fillId="0" borderId="0" xfId="0" applyNumberFormat="1" applyFont="1"/>
    <xf numFmtId="0" fontId="49" fillId="0" borderId="0" xfId="0" applyFont="1" applyAlignment="1">
      <alignment horizontal="center"/>
    </xf>
    <xf numFmtId="169" fontId="2" fillId="0" borderId="8" xfId="0" applyNumberFormat="1" applyFont="1" applyBorder="1"/>
    <xf numFmtId="169" fontId="17" fillId="0" borderId="8" xfId="0" applyNumberFormat="1" applyFont="1" applyBorder="1"/>
    <xf numFmtId="0" fontId="21" fillId="12" borderId="0" xfId="0" applyFont="1" applyFill="1"/>
    <xf numFmtId="0" fontId="2" fillId="12" borderId="0" xfId="0" applyFont="1" applyFill="1"/>
    <xf numFmtId="9" fontId="44" fillId="4" borderId="2" xfId="0" applyNumberFormat="1" applyFont="1" applyFill="1" applyBorder="1" applyAlignment="1">
      <alignment horizontal="center"/>
    </xf>
    <xf numFmtId="166" fontId="44" fillId="4" borderId="35" xfId="1" applyNumberFormat="1" applyFont="1" applyFill="1" applyBorder="1" applyAlignment="1">
      <alignment horizontal="center"/>
    </xf>
    <xf numFmtId="168" fontId="44" fillId="6" borderId="31" xfId="0" applyNumberFormat="1" applyFont="1" applyFill="1" applyBorder="1"/>
    <xf numFmtId="167" fontId="44" fillId="6" borderId="32" xfId="0" applyNumberFormat="1" applyFont="1" applyFill="1" applyBorder="1"/>
    <xf numFmtId="165" fontId="44" fillId="6" borderId="32" xfId="0" applyNumberFormat="1" applyFont="1" applyFill="1" applyBorder="1"/>
    <xf numFmtId="170" fontId="46" fillId="0" borderId="30" xfId="0" applyNumberFormat="1" applyFont="1" applyBorder="1"/>
    <xf numFmtId="170" fontId="44" fillId="0" borderId="12" xfId="0" applyNumberFormat="1" applyFont="1" applyBorder="1"/>
    <xf numFmtId="168" fontId="44" fillId="6" borderId="32" xfId="0" applyNumberFormat="1" applyFont="1" applyFill="1" applyBorder="1"/>
    <xf numFmtId="165" fontId="44" fillId="6" borderId="31" xfId="0" applyNumberFormat="1" applyFont="1" applyFill="1" applyBorder="1"/>
    <xf numFmtId="165" fontId="46" fillId="0" borderId="34" xfId="0" applyNumberFormat="1" applyFont="1" applyBorder="1"/>
    <xf numFmtId="174" fontId="2" fillId="0" borderId="0" xfId="0" applyNumberFormat="1" applyFont="1"/>
    <xf numFmtId="174" fontId="17" fillId="0" borderId="8" xfId="0" applyNumberFormat="1" applyFont="1" applyBorder="1"/>
    <xf numFmtId="5" fontId="17" fillId="0" borderId="8" xfId="0" applyNumberFormat="1" applyFont="1" applyBorder="1"/>
    <xf numFmtId="43" fontId="0" fillId="0" borderId="0" xfId="3" applyFont="1"/>
    <xf numFmtId="169" fontId="0" fillId="0" borderId="0" xfId="3" applyNumberFormat="1" applyFont="1"/>
    <xf numFmtId="169" fontId="0" fillId="0" borderId="0" xfId="0" applyNumberFormat="1"/>
    <xf numFmtId="169" fontId="0" fillId="0" borderId="8" xfId="0" applyNumberFormat="1" applyBorder="1"/>
    <xf numFmtId="164" fontId="42" fillId="0" borderId="0" xfId="2" applyNumberFormat="1" applyFont="1"/>
    <xf numFmtId="9" fontId="42" fillId="0" borderId="0" xfId="2" applyFont="1"/>
    <xf numFmtId="169" fontId="35" fillId="0" borderId="0" xfId="3" applyNumberFormat="1" applyFont="1"/>
    <xf numFmtId="169" fontId="35" fillId="0" borderId="8" xfId="3" applyNumberFormat="1" applyFont="1" applyBorder="1"/>
    <xf numFmtId="169" fontId="42" fillId="0" borderId="8" xfId="3" applyNumberFormat="1" applyFont="1" applyBorder="1"/>
    <xf numFmtId="169" fontId="42" fillId="0" borderId="0" xfId="3" applyNumberFormat="1" applyFont="1"/>
    <xf numFmtId="6" fontId="44" fillId="0" borderId="5" xfId="0" applyNumberFormat="1" applyFont="1" applyBorder="1" applyAlignment="1">
      <alignment horizontal="center" vertical="center"/>
    </xf>
    <xf numFmtId="9" fontId="44" fillId="0" borderId="2" xfId="0" applyNumberFormat="1" applyFont="1" applyBorder="1" applyAlignment="1">
      <alignment horizontal="center" vertical="center"/>
    </xf>
    <xf numFmtId="6" fontId="0" fillId="0" borderId="0" xfId="0" applyNumberFormat="1"/>
    <xf numFmtId="6" fontId="0" fillId="0" borderId="8" xfId="0" applyNumberFormat="1" applyBorder="1"/>
    <xf numFmtId="6" fontId="31" fillId="0" borderId="8" xfId="0" applyNumberFormat="1" applyFont="1" applyBorder="1"/>
    <xf numFmtId="166" fontId="44" fillId="2" borderId="12" xfId="1" applyNumberFormat="1" applyFont="1" applyFill="1" applyBorder="1" applyAlignment="1">
      <alignment horizontal="left" indent="1"/>
    </xf>
    <xf numFmtId="169" fontId="44" fillId="0" borderId="12" xfId="3" applyNumberFormat="1" applyFont="1" applyBorder="1" applyAlignment="1">
      <alignment horizontal="left" indent="1"/>
    </xf>
    <xf numFmtId="169" fontId="46" fillId="0" borderId="30" xfId="3" applyNumberFormat="1" applyFont="1" applyBorder="1"/>
    <xf numFmtId="169" fontId="46" fillId="5" borderId="30" xfId="3" applyNumberFormat="1" applyFont="1" applyFill="1" applyBorder="1"/>
    <xf numFmtId="169" fontId="46" fillId="0" borderId="30" xfId="4" applyNumberFormat="1" applyFont="1" applyBorder="1"/>
    <xf numFmtId="0" fontId="46" fillId="0" borderId="12" xfId="4" applyFont="1" applyBorder="1"/>
    <xf numFmtId="169" fontId="46" fillId="5" borderId="5" xfId="3" applyNumberFormat="1" applyFont="1" applyFill="1" applyBorder="1"/>
    <xf numFmtId="171" fontId="37" fillId="4" borderId="0" xfId="4" applyNumberFormat="1" applyFont="1" applyFill="1" applyAlignment="1">
      <alignment horizontal="center"/>
    </xf>
    <xf numFmtId="171" fontId="37" fillId="4" borderId="27" xfId="4" applyNumberFormat="1" applyFont="1" applyFill="1" applyBorder="1" applyAlignment="1">
      <alignment horizontal="center"/>
    </xf>
    <xf numFmtId="171" fontId="37" fillId="4" borderId="28" xfId="4" applyNumberFormat="1" applyFont="1" applyFill="1" applyBorder="1" applyAlignment="1">
      <alignment horizontal="center"/>
    </xf>
    <xf numFmtId="0" fontId="46" fillId="0" borderId="15" xfId="4" applyFont="1" applyBorder="1"/>
    <xf numFmtId="0" fontId="44" fillId="0" borderId="0" xfId="4" applyFont="1" applyAlignment="1">
      <alignment horizontal="left" indent="1"/>
    </xf>
    <xf numFmtId="0" fontId="46" fillId="5" borderId="15" xfId="4" applyFont="1" applyFill="1" applyBorder="1"/>
    <xf numFmtId="169" fontId="0" fillId="0" borderId="9" xfId="0" applyNumberFormat="1" applyBorder="1"/>
    <xf numFmtId="6" fontId="0" fillId="0" borderId="9" xfId="0" applyNumberFormat="1" applyBorder="1"/>
    <xf numFmtId="6" fontId="0" fillId="0" borderId="3" xfId="0" applyNumberFormat="1" applyBorder="1"/>
    <xf numFmtId="6" fontId="0" fillId="0" borderId="4" xfId="0" applyNumberFormat="1" applyBorder="1"/>
    <xf numFmtId="6" fontId="0" fillId="0" borderId="5" xfId="0" applyNumberFormat="1" applyBorder="1"/>
    <xf numFmtId="9" fontId="35" fillId="0" borderId="0" xfId="0" applyNumberFormat="1" applyFont="1"/>
    <xf numFmtId="0" fontId="5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1" fillId="0" borderId="0" xfId="0" applyFont="1" applyAlignment="1">
      <alignment horizontal="left"/>
    </xf>
    <xf numFmtId="43" fontId="0" fillId="0" borderId="8" xfId="3" applyFont="1" applyBorder="1"/>
    <xf numFmtId="169" fontId="0" fillId="0" borderId="8" xfId="3" applyNumberFormat="1" applyFont="1" applyBorder="1"/>
    <xf numFmtId="169" fontId="31" fillId="0" borderId="3" xfId="3" applyNumberFormat="1" applyFont="1" applyBorder="1"/>
    <xf numFmtId="169" fontId="31" fillId="0" borderId="4" xfId="3" applyNumberFormat="1" applyFont="1" applyBorder="1"/>
    <xf numFmtId="169" fontId="31" fillId="0" borderId="5" xfId="3" applyNumberFormat="1" applyFont="1" applyBorder="1"/>
    <xf numFmtId="0" fontId="42" fillId="0" borderId="0" xfId="0" applyFont="1"/>
    <xf numFmtId="169" fontId="22" fillId="0" borderId="8" xfId="3" applyNumberFormat="1" applyFont="1" applyBorder="1"/>
    <xf numFmtId="0" fontId="2" fillId="13" borderId="0" xfId="0" applyFont="1" applyFill="1"/>
    <xf numFmtId="0" fontId="21" fillId="9" borderId="0" xfId="0" applyFont="1" applyFill="1" applyAlignment="1">
      <alignment horizontal="centerContinuous"/>
    </xf>
    <xf numFmtId="0" fontId="21" fillId="13" borderId="1" xfId="0" applyFont="1" applyFill="1" applyBorder="1" applyAlignment="1">
      <alignment horizontal="centerContinuous"/>
    </xf>
    <xf numFmtId="6" fontId="2" fillId="0" borderId="8" xfId="0" applyNumberFormat="1" applyFont="1" applyBorder="1"/>
    <xf numFmtId="0" fontId="22" fillId="0" borderId="8" xfId="0" applyFont="1" applyBorder="1"/>
    <xf numFmtId="169" fontId="42" fillId="0" borderId="8" xfId="0" applyNumberFormat="1" applyFont="1" applyBorder="1"/>
    <xf numFmtId="43" fontId="42" fillId="0" borderId="0" xfId="3" applyFont="1"/>
    <xf numFmtId="43" fontId="42" fillId="0" borderId="8" xfId="3" applyFont="1" applyBorder="1"/>
    <xf numFmtId="169" fontId="43" fillId="0" borderId="8" xfId="3" applyNumberFormat="1" applyFont="1" applyBorder="1"/>
    <xf numFmtId="169" fontId="22" fillId="0" borderId="8" xfId="0" applyNumberFormat="1" applyFont="1" applyBorder="1"/>
    <xf numFmtId="169" fontId="24" fillId="0" borderId="8" xfId="3" applyNumberFormat="1" applyFont="1" applyBorder="1"/>
    <xf numFmtId="169" fontId="22" fillId="0" borderId="1" xfId="3" applyNumberFormat="1" applyFont="1" applyBorder="1"/>
    <xf numFmtId="0" fontId="16" fillId="0" borderId="9" xfId="4" applyFont="1" applyBorder="1" applyAlignment="1">
      <alignment horizontal="left" indent="1"/>
    </xf>
    <xf numFmtId="169" fontId="2" fillId="0" borderId="10" xfId="0" applyNumberFormat="1" applyFont="1" applyBorder="1"/>
    <xf numFmtId="169" fontId="2" fillId="0" borderId="12" xfId="0" applyNumberFormat="1" applyFont="1" applyBorder="1"/>
    <xf numFmtId="6" fontId="2" fillId="0" borderId="0" xfId="0" applyNumberFormat="1" applyFont="1"/>
    <xf numFmtId="6" fontId="2" fillId="0" borderId="12" xfId="0" applyNumberFormat="1" applyFont="1" applyBorder="1"/>
    <xf numFmtId="6" fontId="2" fillId="0" borderId="10" xfId="0" applyNumberFormat="1" applyFont="1" applyBorder="1"/>
    <xf numFmtId="0" fontId="17" fillId="0" borderId="9" xfId="0" applyFont="1" applyBorder="1"/>
    <xf numFmtId="0" fontId="22" fillId="0" borderId="10" xfId="0" applyFont="1" applyBorder="1"/>
    <xf numFmtId="0" fontId="2" fillId="0" borderId="11" xfId="0" applyFont="1" applyBorder="1" applyAlignment="1">
      <alignment horizontal="left" indent="1"/>
    </xf>
    <xf numFmtId="169" fontId="22" fillId="0" borderId="0" xfId="3" applyNumberFormat="1" applyFont="1" applyBorder="1"/>
    <xf numFmtId="169" fontId="22" fillId="0" borderId="12" xfId="3" applyNumberFormat="1" applyFont="1" applyBorder="1"/>
    <xf numFmtId="0" fontId="17" fillId="0" borderId="11" xfId="0" applyFont="1" applyBorder="1"/>
    <xf numFmtId="0" fontId="17" fillId="0" borderId="11" xfId="0" applyFont="1" applyBorder="1" applyAlignment="1">
      <alignment horizontal="left"/>
    </xf>
    <xf numFmtId="169" fontId="22" fillId="0" borderId="10" xfId="3" applyNumberFormat="1" applyFont="1" applyBorder="1"/>
    <xf numFmtId="169" fontId="22" fillId="0" borderId="10" xfId="0" applyNumberFormat="1" applyFont="1" applyBorder="1"/>
    <xf numFmtId="169" fontId="24" fillId="0" borderId="10" xfId="3" applyNumberFormat="1" applyFont="1" applyBorder="1"/>
    <xf numFmtId="169" fontId="22" fillId="0" borderId="14" xfId="3" applyNumberFormat="1" applyFont="1" applyBorder="1"/>
    <xf numFmtId="0" fontId="2" fillId="0" borderId="13" xfId="0" applyFont="1" applyBorder="1"/>
    <xf numFmtId="0" fontId="2" fillId="0" borderId="13" xfId="0" applyFont="1" applyBorder="1" applyAlignment="1">
      <alignment horizontal="left" indent="1"/>
    </xf>
    <xf numFmtId="0" fontId="17" fillId="0" borderId="13" xfId="0" applyFont="1" applyBorder="1"/>
    <xf numFmtId="0" fontId="51" fillId="0" borderId="11" xfId="0" applyFont="1" applyBorder="1" applyAlignment="1">
      <alignment horizontal="left" indent="1"/>
    </xf>
    <xf numFmtId="9" fontId="22" fillId="0" borderId="0" xfId="2" applyFont="1" applyBorder="1"/>
    <xf numFmtId="9" fontId="22" fillId="0" borderId="12" xfId="2" applyFont="1" applyBorder="1"/>
    <xf numFmtId="164" fontId="22" fillId="0" borderId="0" xfId="2" applyNumberFormat="1" applyFont="1" applyBorder="1"/>
    <xf numFmtId="164" fontId="22" fillId="0" borderId="12" xfId="2" applyNumberFormat="1" applyFont="1" applyBorder="1"/>
    <xf numFmtId="0" fontId="51" fillId="0" borderId="13" xfId="0" applyFont="1" applyBorder="1" applyAlignment="1">
      <alignment horizontal="left" indent="1"/>
    </xf>
    <xf numFmtId="164" fontId="22" fillId="0" borderId="1" xfId="2" applyNumberFormat="1" applyFont="1" applyBorder="1"/>
    <xf numFmtId="164" fontId="22" fillId="0" borderId="14" xfId="2" applyNumberFormat="1" applyFont="1" applyBorder="1"/>
    <xf numFmtId="6" fontId="42" fillId="0" borderId="0" xfId="0" applyNumberFormat="1" applyFont="1"/>
    <xf numFmtId="169" fontId="1" fillId="0" borderId="0" xfId="3" applyNumberFormat="1" applyFont="1" applyAlignment="1">
      <alignment horizontal="center"/>
    </xf>
    <xf numFmtId="169" fontId="0" fillId="0" borderId="0" xfId="3" applyNumberFormat="1" applyFont="1" applyAlignment="1">
      <alignment horizontal="center"/>
    </xf>
    <xf numFmtId="175" fontId="22" fillId="0" borderId="0" xfId="0" applyNumberFormat="1" applyFont="1" applyAlignment="1">
      <alignment horizontal="center"/>
    </xf>
    <xf numFmtId="43" fontId="22" fillId="0" borderId="0" xfId="3" applyFont="1" applyFill="1" applyAlignment="1">
      <alignment horizontal="center"/>
    </xf>
    <xf numFmtId="169" fontId="22" fillId="0" borderId="0" xfId="3" applyNumberFormat="1" applyFont="1" applyFill="1" applyAlignment="1">
      <alignment horizontal="center"/>
    </xf>
    <xf numFmtId="0" fontId="51" fillId="0" borderId="0" xfId="0" applyFont="1" applyAlignment="1">
      <alignment horizontal="left" indent="1"/>
    </xf>
    <xf numFmtId="0" fontId="51" fillId="0" borderId="1" xfId="0" applyFont="1" applyBorder="1" applyAlignment="1">
      <alignment horizontal="left" indent="1"/>
    </xf>
    <xf numFmtId="0" fontId="16" fillId="0" borderId="8" xfId="4" applyFont="1" applyBorder="1" applyAlignment="1">
      <alignment horizontal="left" indent="1"/>
    </xf>
    <xf numFmtId="0" fontId="16" fillId="0" borderId="0" xfId="4" applyFont="1" applyAlignment="1">
      <alignment horizontal="left" indent="1"/>
    </xf>
    <xf numFmtId="0" fontId="17" fillId="0" borderId="0" xfId="4" applyFont="1"/>
    <xf numFmtId="0" fontId="15" fillId="5" borderId="4" xfId="4" applyFont="1" applyFill="1" applyBorder="1"/>
    <xf numFmtId="0" fontId="2" fillId="0" borderId="0" xfId="0" applyFont="1" applyAlignment="1">
      <alignment horizontal="left" indent="1"/>
    </xf>
    <xf numFmtId="0" fontId="21" fillId="9" borderId="0" xfId="0" applyFont="1" applyFill="1" applyAlignment="1">
      <alignment horizontal="left"/>
    </xf>
    <xf numFmtId="0" fontId="15" fillId="0" borderId="8" xfId="4" applyFont="1" applyBorder="1"/>
    <xf numFmtId="0" fontId="15" fillId="5" borderId="8" xfId="4" applyFont="1" applyFill="1" applyBorder="1"/>
    <xf numFmtId="6" fontId="2" fillId="8" borderId="8" xfId="0" applyNumberFormat="1" applyFont="1" applyFill="1" applyBorder="1"/>
    <xf numFmtId="6" fontId="2" fillId="8" borderId="10" xfId="0" applyNumberFormat="1" applyFont="1" applyFill="1" applyBorder="1"/>
    <xf numFmtId="0" fontId="15" fillId="8" borderId="29" xfId="4" applyFont="1" applyFill="1" applyBorder="1"/>
    <xf numFmtId="0" fontId="15" fillId="8" borderId="8" xfId="4" applyFont="1" applyFill="1" applyBorder="1"/>
    <xf numFmtId="0" fontId="17" fillId="0" borderId="8" xfId="0" applyFont="1" applyBorder="1" applyAlignment="1">
      <alignment horizontal="left"/>
    </xf>
    <xf numFmtId="176" fontId="22" fillId="8" borderId="4" xfId="0" applyNumberFormat="1" applyFont="1" applyFill="1" applyBorder="1"/>
    <xf numFmtId="176" fontId="22" fillId="8" borderId="5" xfId="0" applyNumberFormat="1" applyFont="1" applyFill="1" applyBorder="1"/>
    <xf numFmtId="9" fontId="2" fillId="0" borderId="0" xfId="2" applyFont="1" applyAlignment="1">
      <alignment horizontal="center"/>
    </xf>
    <xf numFmtId="0" fontId="0" fillId="0" borderId="0" xfId="0" applyAlignment="1">
      <alignment horizontal="right"/>
    </xf>
    <xf numFmtId="0" fontId="21" fillId="13" borderId="0" xfId="0" applyFont="1" applyFill="1" applyAlignment="1">
      <alignment horizontal="centerContinuous"/>
    </xf>
    <xf numFmtId="6" fontId="2" fillId="8" borderId="0" xfId="0" applyNumberFormat="1" applyFont="1" applyFill="1"/>
    <xf numFmtId="176" fontId="22" fillId="8" borderId="0" xfId="0" applyNumberFormat="1" applyFont="1" applyFill="1"/>
    <xf numFmtId="169" fontId="22" fillId="0" borderId="0" xfId="0" applyNumberFormat="1" applyFont="1"/>
    <xf numFmtId="169" fontId="24" fillId="0" borderId="0" xfId="3" applyNumberFormat="1" applyFont="1" applyBorder="1"/>
    <xf numFmtId="0" fontId="2" fillId="0" borderId="0" xfId="0" applyFont="1" applyAlignment="1">
      <alignment horizontal="centerContinuous"/>
    </xf>
    <xf numFmtId="166" fontId="0" fillId="0" borderId="0" xfId="1" applyNumberFormat="1" applyFont="1" applyAlignment="1">
      <alignment horizontal="center"/>
    </xf>
    <xf numFmtId="169" fontId="0" fillId="0" borderId="13" xfId="0" applyNumberFormat="1" applyBorder="1"/>
    <xf numFmtId="169" fontId="0" fillId="0" borderId="21" xfId="0" applyNumberFormat="1" applyBorder="1"/>
    <xf numFmtId="0" fontId="21" fillId="13" borderId="1" xfId="0" applyFont="1" applyFill="1" applyBorder="1" applyAlignment="1">
      <alignment horizontal="center"/>
    </xf>
    <xf numFmtId="0" fontId="21" fillId="13" borderId="0" xfId="0" applyFont="1" applyFill="1" applyAlignment="1">
      <alignment horizontal="center"/>
    </xf>
    <xf numFmtId="0" fontId="21" fillId="13" borderId="0" xfId="0" applyFont="1" applyFill="1" applyAlignment="1">
      <alignment horizontal="left"/>
    </xf>
    <xf numFmtId="169" fontId="2" fillId="0" borderId="4" xfId="3" applyNumberFormat="1" applyFont="1" applyBorder="1"/>
    <xf numFmtId="169" fontId="2" fillId="0" borderId="5" xfId="3" applyNumberFormat="1" applyFont="1" applyBorder="1"/>
    <xf numFmtId="169" fontId="2" fillId="0" borderId="2" xfId="0" applyNumberFormat="1" applyFont="1" applyBorder="1"/>
    <xf numFmtId="164" fontId="2" fillId="0" borderId="25" xfId="2" applyNumberFormat="1" applyFont="1" applyBorder="1"/>
    <xf numFmtId="164" fontId="2" fillId="0" borderId="26" xfId="2" applyNumberFormat="1" applyFont="1" applyBorder="1"/>
    <xf numFmtId="0" fontId="17" fillId="0" borderId="0" xfId="0" applyFont="1" applyAlignment="1">
      <alignment horizontal="centerContinuous"/>
    </xf>
    <xf numFmtId="164" fontId="2" fillId="0" borderId="36" xfId="2" applyNumberFormat="1" applyFont="1" applyBorder="1"/>
    <xf numFmtId="0" fontId="31" fillId="0" borderId="0" xfId="0" applyFont="1" applyAlignment="1">
      <alignment horizontal="centerContinuous"/>
    </xf>
    <xf numFmtId="164" fontId="2" fillId="0" borderId="2" xfId="0" applyNumberFormat="1" applyFont="1" applyBorder="1"/>
    <xf numFmtId="169" fontId="2" fillId="0" borderId="9" xfId="3" applyNumberFormat="1" applyFont="1" applyBorder="1"/>
    <xf numFmtId="169" fontId="2" fillId="0" borderId="8" xfId="3" applyNumberFormat="1" applyFont="1" applyBorder="1"/>
    <xf numFmtId="169" fontId="2" fillId="0" borderId="10" xfId="3" applyNumberFormat="1" applyFont="1" applyBorder="1"/>
    <xf numFmtId="169" fontId="2" fillId="0" borderId="11" xfId="3" applyNumberFormat="1" applyFont="1" applyBorder="1"/>
    <xf numFmtId="169" fontId="2" fillId="0" borderId="0" xfId="3" applyNumberFormat="1" applyFont="1" applyBorder="1"/>
    <xf numFmtId="169" fontId="2" fillId="0" borderId="12" xfId="3" applyNumberFormat="1" applyFont="1" applyBorder="1"/>
    <xf numFmtId="169" fontId="2" fillId="0" borderId="13" xfId="3" applyNumberFormat="1" applyFont="1" applyBorder="1"/>
    <xf numFmtId="169" fontId="2" fillId="0" borderId="1" xfId="3" applyNumberFormat="1" applyFont="1" applyBorder="1"/>
    <xf numFmtId="169" fontId="2" fillId="0" borderId="14" xfId="3" applyNumberFormat="1" applyFont="1" applyBorder="1"/>
    <xf numFmtId="164" fontId="2" fillId="0" borderId="9" xfId="2" applyNumberFormat="1" applyFont="1" applyBorder="1" applyAlignment="1">
      <alignment horizontal="center"/>
    </xf>
    <xf numFmtId="164" fontId="2" fillId="0" borderId="10" xfId="2" applyNumberFormat="1" applyFont="1" applyBorder="1" applyAlignment="1">
      <alignment horizontal="center"/>
    </xf>
    <xf numFmtId="164" fontId="2" fillId="0" borderId="13" xfId="2" applyNumberFormat="1" applyFont="1" applyBorder="1" applyAlignment="1">
      <alignment horizontal="center"/>
    </xf>
    <xf numFmtId="164" fontId="2" fillId="0" borderId="14" xfId="2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5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2" fillId="0" borderId="2" xfId="0" applyFont="1" applyBorder="1"/>
    <xf numFmtId="169" fontId="22" fillId="0" borderId="2" xfId="3" applyNumberFormat="1" applyFont="1" applyFill="1" applyBorder="1" applyAlignment="1">
      <alignment horizontal="center"/>
    </xf>
    <xf numFmtId="37" fontId="22" fillId="0" borderId="2" xfId="3" applyNumberFormat="1" applyFont="1" applyFill="1" applyBorder="1" applyAlignment="1">
      <alignment horizontal="center"/>
    </xf>
    <xf numFmtId="164" fontId="22" fillId="0" borderId="2" xfId="2" applyNumberFormat="1" applyFont="1" applyFill="1" applyBorder="1" applyAlignment="1">
      <alignment horizontal="center"/>
    </xf>
    <xf numFmtId="9" fontId="2" fillId="0" borderId="2" xfId="2" applyFont="1" applyBorder="1" applyAlignment="1">
      <alignment horizontal="center"/>
    </xf>
    <xf numFmtId="43" fontId="2" fillId="0" borderId="2" xfId="3" applyFont="1" applyBorder="1"/>
    <xf numFmtId="43" fontId="22" fillId="0" borderId="2" xfId="3" applyFont="1" applyFill="1" applyBorder="1" applyAlignment="1">
      <alignment horizontal="center"/>
    </xf>
    <xf numFmtId="164" fontId="2" fillId="0" borderId="11" xfId="2" applyNumberFormat="1" applyFont="1" applyBorder="1" applyAlignment="1">
      <alignment horizontal="center" vertical="center"/>
    </xf>
    <xf numFmtId="164" fontId="2" fillId="0" borderId="12" xfId="2" applyNumberFormat="1" applyFont="1" applyBorder="1" applyAlignment="1">
      <alignment horizontal="center" vertical="center"/>
    </xf>
    <xf numFmtId="43" fontId="2" fillId="0" borderId="0" xfId="0" applyNumberFormat="1" applyFont="1"/>
    <xf numFmtId="2" fontId="2" fillId="0" borderId="0" xfId="0" applyNumberFormat="1" applyFont="1"/>
    <xf numFmtId="43" fontId="22" fillId="0" borderId="0" xfId="3" applyFont="1" applyBorder="1"/>
    <xf numFmtId="9" fontId="2" fillId="0" borderId="0" xfId="2" applyFont="1"/>
    <xf numFmtId="9" fontId="2" fillId="0" borderId="4" xfId="2" applyFont="1" applyBorder="1" applyAlignment="1">
      <alignment horizontal="center"/>
    </xf>
    <xf numFmtId="9" fontId="2" fillId="0" borderId="5" xfId="2" applyFont="1" applyBorder="1" applyAlignment="1">
      <alignment horizontal="center"/>
    </xf>
    <xf numFmtId="9" fontId="2" fillId="0" borderId="25" xfId="2" applyFont="1" applyBorder="1"/>
    <xf numFmtId="9" fontId="2" fillId="0" borderId="26" xfId="2" applyFont="1" applyBorder="1"/>
    <xf numFmtId="9" fontId="2" fillId="0" borderId="36" xfId="2" applyFont="1" applyBorder="1"/>
    <xf numFmtId="164" fontId="2" fillId="0" borderId="9" xfId="2" applyNumberFormat="1" applyFont="1" applyBorder="1"/>
    <xf numFmtId="164" fontId="2" fillId="0" borderId="8" xfId="2" applyNumberFormat="1" applyFont="1" applyBorder="1"/>
    <xf numFmtId="164" fontId="2" fillId="0" borderId="10" xfId="2" applyNumberFormat="1" applyFont="1" applyBorder="1"/>
    <xf numFmtId="164" fontId="2" fillId="0" borderId="11" xfId="2" applyNumberFormat="1" applyFont="1" applyBorder="1"/>
    <xf numFmtId="164" fontId="2" fillId="0" borderId="0" xfId="2" applyNumberFormat="1" applyFont="1" applyBorder="1"/>
    <xf numFmtId="164" fontId="2" fillId="0" borderId="12" xfId="2" applyNumberFormat="1" applyFont="1" applyBorder="1"/>
    <xf numFmtId="164" fontId="2" fillId="0" borderId="13" xfId="2" applyNumberFormat="1" applyFont="1" applyBorder="1"/>
    <xf numFmtId="164" fontId="2" fillId="0" borderId="1" xfId="2" applyNumberFormat="1" applyFont="1" applyBorder="1"/>
    <xf numFmtId="164" fontId="2" fillId="0" borderId="14" xfId="2" applyNumberFormat="1" applyFont="1" applyBorder="1"/>
    <xf numFmtId="0" fontId="2" fillId="0" borderId="26" xfId="0" applyFont="1" applyBorder="1"/>
    <xf numFmtId="169" fontId="2" fillId="0" borderId="25" xfId="3" applyNumberFormat="1" applyFont="1" applyBorder="1"/>
    <xf numFmtId="169" fontId="2" fillId="0" borderId="36" xfId="3" applyNumberFormat="1" applyFont="1" applyBorder="1"/>
    <xf numFmtId="169" fontId="2" fillId="0" borderId="26" xfId="3" applyNumberFormat="1" applyFont="1" applyBorder="1"/>
    <xf numFmtId="0" fontId="17" fillId="7" borderId="0" xfId="0" applyFont="1" applyFill="1" applyAlignment="1">
      <alignment vertical="top"/>
    </xf>
    <xf numFmtId="0" fontId="17" fillId="8" borderId="8" xfId="0" applyFont="1" applyFill="1" applyBorder="1" applyAlignment="1">
      <alignment vertical="top"/>
    </xf>
    <xf numFmtId="0" fontId="2" fillId="8" borderId="8" xfId="0" applyFont="1" applyFill="1" applyBorder="1" applyAlignment="1">
      <alignment vertical="top"/>
    </xf>
    <xf numFmtId="0" fontId="2" fillId="8" borderId="10" xfId="0" applyFont="1" applyFill="1" applyBorder="1" applyAlignment="1">
      <alignment vertical="top"/>
    </xf>
    <xf numFmtId="0" fontId="17" fillId="8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2" fillId="0" borderId="0" xfId="3" applyNumberFormat="1" applyFont="1" applyFill="1" applyAlignment="1">
      <alignment horizontal="center"/>
    </xf>
    <xf numFmtId="169" fontId="2" fillId="0" borderId="0" xfId="3" applyNumberFormat="1" applyFont="1" applyFill="1"/>
    <xf numFmtId="0" fontId="2" fillId="0" borderId="25" xfId="0" applyFont="1" applyBorder="1"/>
    <xf numFmtId="9" fontId="2" fillId="0" borderId="4" xfId="2" applyFont="1" applyBorder="1"/>
    <xf numFmtId="9" fontId="2" fillId="0" borderId="5" xfId="2" applyFont="1" applyBorder="1"/>
    <xf numFmtId="176" fontId="0" fillId="0" borderId="0" xfId="0" applyNumberFormat="1" applyAlignment="1">
      <alignment horizontal="center"/>
    </xf>
    <xf numFmtId="0" fontId="2" fillId="11" borderId="9" xfId="0" applyFont="1" applyFill="1" applyBorder="1"/>
    <xf numFmtId="0" fontId="2" fillId="11" borderId="8" xfId="0" applyFont="1" applyFill="1" applyBorder="1"/>
    <xf numFmtId="0" fontId="2" fillId="11" borderId="8" xfId="0" applyFont="1" applyFill="1" applyBorder="1" applyAlignment="1">
      <alignment horizontal="centerContinuous"/>
    </xf>
    <xf numFmtId="0" fontId="2" fillId="11" borderId="10" xfId="0" applyFont="1" applyFill="1" applyBorder="1"/>
    <xf numFmtId="0" fontId="2" fillId="11" borderId="11" xfId="0" applyFont="1" applyFill="1" applyBorder="1"/>
    <xf numFmtId="169" fontId="2" fillId="11" borderId="0" xfId="0" applyNumberFormat="1" applyFont="1" applyFill="1"/>
    <xf numFmtId="9" fontId="2" fillId="11" borderId="0" xfId="2" applyFont="1" applyFill="1" applyBorder="1" applyAlignment="1">
      <alignment horizontal="center"/>
    </xf>
    <xf numFmtId="0" fontId="2" fillId="11" borderId="12" xfId="0" applyFont="1" applyFill="1" applyBorder="1"/>
    <xf numFmtId="0" fontId="2" fillId="11" borderId="0" xfId="0" applyFont="1" applyFill="1"/>
    <xf numFmtId="169" fontId="2" fillId="11" borderId="0" xfId="3" applyNumberFormat="1" applyFont="1" applyFill="1" applyBorder="1"/>
    <xf numFmtId="0" fontId="2" fillId="11" borderId="13" xfId="0" applyFont="1" applyFill="1" applyBorder="1"/>
    <xf numFmtId="0" fontId="2" fillId="11" borderId="1" xfId="0" applyFont="1" applyFill="1" applyBorder="1"/>
    <xf numFmtId="0" fontId="2" fillId="11" borderId="14" xfId="0" applyFont="1" applyFill="1" applyBorder="1"/>
    <xf numFmtId="0" fontId="17" fillId="11" borderId="8" xfId="0" applyFont="1" applyFill="1" applyBorder="1" applyAlignment="1">
      <alignment horizontal="centerContinuous"/>
    </xf>
    <xf numFmtId="164" fontId="2" fillId="0" borderId="0" xfId="0" applyNumberFormat="1" applyFont="1"/>
    <xf numFmtId="169" fontId="2" fillId="14" borderId="0" xfId="3" applyNumberFormat="1" applyFont="1" applyFill="1" applyBorder="1"/>
    <xf numFmtId="0" fontId="2" fillId="0" borderId="36" xfId="0" applyFont="1" applyBorder="1"/>
    <xf numFmtId="44" fontId="0" fillId="0" borderId="0" xfId="1" applyFont="1"/>
    <xf numFmtId="0" fontId="0" fillId="11" borderId="0" xfId="0" applyFill="1" applyAlignment="1">
      <alignment horizontal="center"/>
    </xf>
    <xf numFmtId="0" fontId="52" fillId="11" borderId="0" xfId="11" applyFill="1" applyAlignment="1">
      <alignment horizontal="center"/>
    </xf>
    <xf numFmtId="0" fontId="33" fillId="11" borderId="0" xfId="0" applyFont="1" applyFill="1" applyAlignment="1">
      <alignment horizontal="center"/>
    </xf>
    <xf numFmtId="0" fontId="52" fillId="11" borderId="0" xfId="11" quotePrefix="1" applyFill="1" applyAlignment="1">
      <alignment horizontal="center"/>
    </xf>
    <xf numFmtId="0" fontId="53" fillId="11" borderId="0" xfId="0" applyFont="1" applyFill="1" applyAlignment="1">
      <alignment horizontal="center"/>
    </xf>
    <xf numFmtId="0" fontId="0" fillId="11" borderId="2" xfId="0" applyFill="1" applyBorder="1" applyAlignment="1">
      <alignment horizontal="center"/>
    </xf>
    <xf numFmtId="169" fontId="0" fillId="11" borderId="2" xfId="3" applyNumberFormat="1" applyFont="1" applyFill="1" applyBorder="1" applyAlignment="1">
      <alignment horizontal="center"/>
    </xf>
    <xf numFmtId="177" fontId="0" fillId="11" borderId="2" xfId="0" applyNumberFormat="1" applyFill="1" applyBorder="1" applyAlignment="1">
      <alignment horizontal="center"/>
    </xf>
    <xf numFmtId="0" fontId="31" fillId="16" borderId="2" xfId="0" applyFont="1" applyFill="1" applyBorder="1" applyAlignment="1">
      <alignment horizontal="center"/>
    </xf>
    <xf numFmtId="0" fontId="31" fillId="16" borderId="2" xfId="0" applyFont="1" applyFill="1" applyBorder="1"/>
    <xf numFmtId="0" fontId="17" fillId="11" borderId="11" xfId="0" applyFont="1" applyFill="1" applyBorder="1" applyAlignment="1">
      <alignment vertical="center" textRotation="90"/>
    </xf>
    <xf numFmtId="0" fontId="2" fillId="11" borderId="0" xfId="0" applyFont="1" applyFill="1" applyAlignment="1">
      <alignment horizontal="right"/>
    </xf>
    <xf numFmtId="0" fontId="17" fillId="11" borderId="0" xfId="0" applyFont="1" applyFill="1" applyAlignment="1">
      <alignment horizontal="centerContinuous"/>
    </xf>
    <xf numFmtId="2" fontId="2" fillId="11" borderId="0" xfId="0" applyNumberFormat="1" applyFont="1" applyFill="1"/>
    <xf numFmtId="6" fontId="2" fillId="11" borderId="0" xfId="0" applyNumberFormat="1" applyFont="1" applyFill="1"/>
    <xf numFmtId="0" fontId="0" fillId="11" borderId="0" xfId="0" applyFill="1" applyAlignment="1">
      <alignment horizontal="centerContinuous"/>
    </xf>
    <xf numFmtId="43" fontId="0" fillId="11" borderId="2" xfId="3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" xfId="0" applyFill="1" applyBorder="1"/>
    <xf numFmtId="43" fontId="2" fillId="11" borderId="0" xfId="0" applyNumberFormat="1" applyFont="1" applyFill="1"/>
    <xf numFmtId="10" fontId="2" fillId="11" borderId="0" xfId="2" applyNumberFormat="1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2" fillId="0" borderId="12" xfId="0" applyFont="1" applyBorder="1" applyAlignment="1">
      <alignment horizontal="right" vertical="center" textRotation="90"/>
    </xf>
    <xf numFmtId="0" fontId="2" fillId="0" borderId="25" xfId="0" applyFont="1" applyBorder="1" applyAlignment="1">
      <alignment horizontal="right" vertical="center" textRotation="90"/>
    </xf>
    <xf numFmtId="0" fontId="31" fillId="0" borderId="0" xfId="0" applyFont="1" applyAlignment="1">
      <alignment horizontal="right" vertical="center" textRotation="90" wrapText="1"/>
    </xf>
    <xf numFmtId="0" fontId="2" fillId="0" borderId="25" xfId="0" applyFont="1" applyBorder="1" applyAlignment="1">
      <alignment horizontal="right" vertical="center" textRotation="90" wrapText="1"/>
    </xf>
    <xf numFmtId="0" fontId="17" fillId="0" borderId="0" xfId="0" applyFont="1" applyAlignment="1">
      <alignment horizontal="right" vertical="center" textRotation="90" wrapText="1"/>
    </xf>
    <xf numFmtId="0" fontId="17" fillId="11" borderId="11" xfId="0" applyFont="1" applyFill="1" applyBorder="1" applyAlignment="1">
      <alignment horizontal="center" vertical="center" textRotation="90"/>
    </xf>
    <xf numFmtId="0" fontId="0" fillId="11" borderId="12" xfId="0" applyFill="1" applyBorder="1" applyAlignment="1">
      <alignment horizontal="center" vertical="center" textRotation="90" wrapText="1"/>
    </xf>
  </cellXfs>
  <cellStyles count="12">
    <cellStyle name="_x000a_386grabber=M" xfId="7" xr:uid="{AB44E7F0-5516-4AD9-B6B7-5D3FB469F624}"/>
    <cellStyle name="AFE 2" xfId="10" xr:uid="{D0A1ED1C-78C6-42ED-B2C8-519B6087FA2F}"/>
    <cellStyle name="Comma" xfId="3" builtinId="3"/>
    <cellStyle name="Currency" xfId="1" builtinId="4"/>
    <cellStyle name="Currency 2" xfId="5" xr:uid="{B97509D4-DF10-446F-8FF0-9EE904F4B872}"/>
    <cellStyle name="Hyperlink" xfId="11" builtinId="8"/>
    <cellStyle name="Normal" xfId="0" builtinId="0"/>
    <cellStyle name="Normal 2" xfId="9" xr:uid="{FFD2B1A5-1E11-4CCE-A12D-3A30BAAE20B1}"/>
    <cellStyle name="Normal 3" xfId="4" xr:uid="{F24CC3FC-9656-4D34-A6EB-195F998855A1}"/>
    <cellStyle name="Pctg" xfId="8" xr:uid="{665C3189-FDCB-457D-8391-3159107B6325}"/>
    <cellStyle name="Percent" xfId="2" builtinId="5"/>
    <cellStyle name="Percent 2" xfId="6" xr:uid="{989BD6B6-861C-4D59-A169-04AC63D3F5DB}"/>
  </cellStyles>
  <dxfs count="0"/>
  <tableStyles count="0" defaultTableStyle="TableStyleMedium2" defaultPivotStyle="PivotStyleLight16"/>
  <colors>
    <mruColors>
      <color rgb="FF008000"/>
      <color rgb="FF0000FF"/>
      <color rgb="FF7B95B1"/>
      <color rgb="FFB2C1D2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of IRR to Changes in Food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NSO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Inputs!$R$60:$R$65</c:f>
              <c:numCache>
                <c:formatCode>0%</c:formatCode>
                <c:ptCount val="6"/>
                <c:pt idx="0">
                  <c:v>0.24</c:v>
                </c:pt>
                <c:pt idx="1">
                  <c:v>0.25</c:v>
                </c:pt>
                <c:pt idx="2">
                  <c:v>0.26</c:v>
                </c:pt>
                <c:pt idx="3">
                  <c:v>0.27</c:v>
                </c:pt>
                <c:pt idx="4">
                  <c:v>0.28000000000000003</c:v>
                </c:pt>
                <c:pt idx="5">
                  <c:v>0.3</c:v>
                </c:pt>
              </c:numCache>
            </c:numRef>
          </c:xVal>
          <c:yVal>
            <c:numRef>
              <c:f>Inputs!$S$60:$S$65</c:f>
              <c:numCache>
                <c:formatCode>0.0%</c:formatCode>
                <c:ptCount val="6"/>
                <c:pt idx="0">
                  <c:v>0.59119041931151983</c:v>
                </c:pt>
                <c:pt idx="1">
                  <c:v>0.54316148085172866</c:v>
                </c:pt>
                <c:pt idx="2">
                  <c:v>0.48828126092616775</c:v>
                </c:pt>
                <c:pt idx="3">
                  <c:v>0.4238609630951915</c:v>
                </c:pt>
                <c:pt idx="4">
                  <c:v>0.34509646901214786</c:v>
                </c:pt>
                <c:pt idx="5">
                  <c:v>8.5144245473989244E-2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7F-4113-BB2E-820551F9703C}"/>
            </c:ext>
          </c:extLst>
        </c:ser>
        <c:ser>
          <c:idx val="1"/>
          <c:order val="1"/>
          <c:tx>
            <c:v>NSO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Inputs!$R$60:$R$65</c:f>
              <c:numCache>
                <c:formatCode>0%</c:formatCode>
                <c:ptCount val="6"/>
                <c:pt idx="0">
                  <c:v>0.24</c:v>
                </c:pt>
                <c:pt idx="1">
                  <c:v>0.25</c:v>
                </c:pt>
                <c:pt idx="2">
                  <c:v>0.26</c:v>
                </c:pt>
                <c:pt idx="3">
                  <c:v>0.27</c:v>
                </c:pt>
                <c:pt idx="4">
                  <c:v>0.28000000000000003</c:v>
                </c:pt>
                <c:pt idx="5">
                  <c:v>0.3</c:v>
                </c:pt>
              </c:numCache>
            </c:numRef>
          </c:xVal>
          <c:yVal>
            <c:numRef>
              <c:f>Inputs!$T$60:$T$65</c:f>
              <c:numCache>
                <c:formatCode>0.0%</c:formatCode>
                <c:ptCount val="6"/>
                <c:pt idx="0">
                  <c:v>0.87292827752536595</c:v>
                </c:pt>
                <c:pt idx="1">
                  <c:v>0.84550389390153446</c:v>
                </c:pt>
                <c:pt idx="2">
                  <c:v>0.81634529254562671</c:v>
                </c:pt>
                <c:pt idx="3">
                  <c:v>0.78518435022092437</c:v>
                </c:pt>
                <c:pt idx="4">
                  <c:v>0.7516823385437843</c:v>
                </c:pt>
                <c:pt idx="5">
                  <c:v>0.67576433423497106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7F-4113-BB2E-820551F97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76344"/>
        <c:axId val="500675688"/>
      </c:scatterChart>
      <c:valAx>
        <c:axId val="500676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 Cost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75688"/>
        <c:crosses val="autoZero"/>
        <c:crossBetween val="midCat"/>
      </c:valAx>
      <c:valAx>
        <c:axId val="50067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7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Existing Stores Cashflow </a:t>
            </a:r>
            <a:r>
              <a:rPr lang="en-US" baseline="0"/>
              <a:t>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25-43C3-94DD-9678AB6BF1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25-43C3-94DD-9678AB6BF1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25-43C3-94DD-9678AB6BF1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25-43C3-94DD-9678AB6BF1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25-43C3-94DD-9678AB6BF1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IS_Existing!$D$11:$H$11</c:f>
              <c:strCache>
                <c:ptCount val="5"/>
                <c:pt idx="0">
                  <c:v>Store#1</c:v>
                </c:pt>
                <c:pt idx="1">
                  <c:v>Store#2</c:v>
                </c:pt>
                <c:pt idx="2">
                  <c:v>Store#3</c:v>
                </c:pt>
                <c:pt idx="3">
                  <c:v>Store#4</c:v>
                </c:pt>
                <c:pt idx="4">
                  <c:v>Store#5</c:v>
                </c:pt>
              </c:strCache>
            </c:strRef>
          </c:cat>
          <c:val>
            <c:numRef>
              <c:f>IS_Existing!$D$58:$H$58</c:f>
              <c:numCache>
                <c:formatCode>_("$"* #,##0_);_("$"* \(#,##0\);_("$"* "-"??_);_(@_)</c:formatCode>
                <c:ptCount val="5"/>
                <c:pt idx="0">
                  <c:v>-78756.097999999998</c:v>
                </c:pt>
                <c:pt idx="1">
                  <c:v>324181.50200000009</c:v>
                </c:pt>
                <c:pt idx="2">
                  <c:v>789643.90200000023</c:v>
                </c:pt>
                <c:pt idx="3">
                  <c:v>1512847.422</c:v>
                </c:pt>
                <c:pt idx="4">
                  <c:v>657577.63000000012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C-4051-898A-C744337C4B6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Revenues by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75-4B91-84E2-69BA8F6263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75-4B91-84E2-69BA8F6263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75-4B91-84E2-69BA8F6263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75-4B91-84E2-69BA8F6263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75-4B91-84E2-69BA8F6263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IS_Existing!$D$11:$H$11</c:f>
              <c:strCache>
                <c:ptCount val="5"/>
                <c:pt idx="0">
                  <c:v>Store#1</c:v>
                </c:pt>
                <c:pt idx="1">
                  <c:v>Store#2</c:v>
                </c:pt>
                <c:pt idx="2">
                  <c:v>Store#3</c:v>
                </c:pt>
                <c:pt idx="3">
                  <c:v>Store#4</c:v>
                </c:pt>
                <c:pt idx="4">
                  <c:v>Store#5</c:v>
                </c:pt>
              </c:strCache>
            </c:strRef>
          </c:cat>
          <c:val>
            <c:numRef>
              <c:f>IS_Existing!$D$13:$H$13</c:f>
              <c:numCache>
                <c:formatCode>_("$"* #,##0_);_("$"* \(#,##0\);_("$"* "-"??_);_(@_)</c:formatCode>
                <c:ptCount val="5"/>
                <c:pt idx="0">
                  <c:v>1149200</c:v>
                </c:pt>
                <c:pt idx="1">
                  <c:v>1752400</c:v>
                </c:pt>
                <c:pt idx="2">
                  <c:v>2449200</c:v>
                </c:pt>
                <c:pt idx="3">
                  <c:v>3531840</c:v>
                </c:pt>
                <c:pt idx="4">
                  <c:v>2251496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F-4EDD-B03E-972FF519B9D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619125</xdr:colOff>
      <xdr:row>58</xdr:row>
      <xdr:rowOff>14286</xdr:rowOff>
    </xdr:from>
    <xdr:to>
      <xdr:col>29</xdr:col>
      <xdr:colOff>209550</xdr:colOff>
      <xdr:row>78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8A823-C931-00B0-B453-B8517F2EB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364190</xdr:colOff>
      <xdr:row>44</xdr:row>
      <xdr:rowOff>34737</xdr:rowOff>
    </xdr:from>
    <xdr:to>
      <xdr:col>16</xdr:col>
      <xdr:colOff>532278</xdr:colOff>
      <xdr:row>58</xdr:row>
      <xdr:rowOff>122143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4C861-DF5C-CA46-498A-3D51056B6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577103</xdr:colOff>
      <xdr:row>5</xdr:row>
      <xdr:rowOff>79560</xdr:rowOff>
    </xdr:from>
    <xdr:to>
      <xdr:col>17</xdr:col>
      <xdr:colOff>140074</xdr:colOff>
      <xdr:row>19</xdr:row>
      <xdr:rowOff>155760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6E2F92-FA6F-49EF-00B1-51FAF672D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017F-9C50-4C27-BE6F-53B64FC0D93B}">
  <sheetPr>
    <tabColor rgb="FF7030A0"/>
  </sheetPr>
  <dimension ref="B2:AL156"/>
  <sheetViews>
    <sheetView showGridLines="0" topLeftCell="C25" workbookViewId="0">
      <selection activeCell="Q38" sqref="Q38:X46"/>
    </sheetView>
  </sheetViews>
  <sheetFormatPr defaultColWidth="8.85546875" defaultRowHeight="11.25" outlineLevelCol="1" x14ac:dyDescent="0.2"/>
  <cols>
    <col min="1" max="1" width="2.140625" style="1" customWidth="1"/>
    <col min="2" max="2" width="39.140625" style="1" bestFit="1" customWidth="1"/>
    <col min="3" max="3" width="10.85546875" style="1" bestFit="1" customWidth="1"/>
    <col min="4" max="4" width="11.7109375" style="1" bestFit="1" customWidth="1"/>
    <col min="5" max="7" width="9.7109375" style="1" customWidth="1"/>
    <col min="8" max="8" width="1.5703125" style="1" customWidth="1"/>
    <col min="9" max="16" width="11.28515625" style="1" hidden="1" customWidth="1" outlineLevel="1"/>
    <col min="17" max="17" width="8.85546875" style="1" collapsed="1"/>
    <col min="18" max="18" width="15.28515625" style="1" bestFit="1" customWidth="1"/>
    <col min="19" max="23" width="12.28515625" style="1" bestFit="1" customWidth="1"/>
    <col min="24" max="24" width="11.7109375" style="1" bestFit="1" customWidth="1"/>
    <col min="25" max="25" width="10.42578125" style="1" bestFit="1" customWidth="1"/>
    <col min="26" max="26" width="4.85546875" style="1" customWidth="1"/>
    <col min="27" max="27" width="5.140625" style="1" bestFit="1" customWidth="1"/>
    <col min="28" max="36" width="8.85546875" style="1"/>
    <col min="37" max="37" width="2.7109375" style="1" bestFit="1" customWidth="1"/>
    <col min="38" max="38" width="3.85546875" style="1" bestFit="1" customWidth="1"/>
    <col min="39" max="16384" width="8.85546875" style="1"/>
  </cols>
  <sheetData>
    <row r="2" spans="2:38" ht="15.75" x14ac:dyDescent="0.25">
      <c r="B2" s="89" t="s">
        <v>92</v>
      </c>
      <c r="C2" s="90">
        <v>1</v>
      </c>
      <c r="F2" s="390" t="str">
        <f>B2</f>
        <v>NSO Pro Forma Scenario</v>
      </c>
      <c r="G2" s="390"/>
      <c r="I2" s="96" t="s">
        <v>100</v>
      </c>
      <c r="J2" s="97"/>
      <c r="K2" s="97"/>
      <c r="L2" s="97"/>
      <c r="M2" s="97"/>
      <c r="N2" s="97"/>
      <c r="O2" s="97"/>
      <c r="P2" s="98"/>
      <c r="R2" s="395"/>
      <c r="S2" s="395" t="s">
        <v>276</v>
      </c>
      <c r="T2" s="394" t="s">
        <v>6</v>
      </c>
      <c r="U2" s="394" t="s">
        <v>7</v>
      </c>
      <c r="V2" s="394" t="s">
        <v>8</v>
      </c>
      <c r="W2" s="394" t="s">
        <v>9</v>
      </c>
      <c r="X2" s="394" t="s">
        <v>10</v>
      </c>
    </row>
    <row r="3" spans="2:38" x14ac:dyDescent="0.2">
      <c r="B3" s="89" t="s">
        <v>93</v>
      </c>
      <c r="C3" s="90">
        <v>3</v>
      </c>
      <c r="E3" s="405">
        <f ca="1">S5</f>
        <v>0.48828126092616775</v>
      </c>
      <c r="F3" s="419">
        <v>1</v>
      </c>
      <c r="G3" s="420">
        <v>2</v>
      </c>
      <c r="I3" s="93" t="s">
        <v>113</v>
      </c>
      <c r="J3" s="94"/>
      <c r="K3" s="94"/>
      <c r="L3" s="94"/>
      <c r="M3" s="94"/>
      <c r="N3" s="94"/>
      <c r="O3" s="94"/>
      <c r="P3" s="95"/>
      <c r="R3" s="423" t="s">
        <v>274</v>
      </c>
      <c r="S3" s="424">
        <f>-BalanceSheet!D26</f>
        <v>-5245631</v>
      </c>
      <c r="T3" s="428">
        <v>0</v>
      </c>
      <c r="U3" s="429">
        <v>0</v>
      </c>
      <c r="V3" s="429">
        <v>0</v>
      </c>
      <c r="W3" s="429">
        <v>0</v>
      </c>
      <c r="X3" s="424">
        <f ca="1">'Annual Summary'!H31*S4+'Annual Summary'!H43-'Annual Summary'!H57</f>
        <v>38302119.328660384</v>
      </c>
    </row>
    <row r="4" spans="2:38" x14ac:dyDescent="0.2">
      <c r="B4" s="89" t="s">
        <v>104</v>
      </c>
      <c r="C4" s="91">
        <v>0.03</v>
      </c>
      <c r="D4" s="511" t="str">
        <f>B3</f>
        <v>Store Expenses Scenario</v>
      </c>
      <c r="E4" s="421">
        <v>1</v>
      </c>
      <c r="F4" s="415">
        <f t="dataTable" ref="F4:G6" dt2D="1" dtr="1" r1="C2" r2="C3" ca="1"/>
        <v>0.53519455843059527</v>
      </c>
      <c r="G4" s="416">
        <v>0.83832919550623308</v>
      </c>
      <c r="I4" s="88" t="s">
        <v>105</v>
      </c>
      <c r="J4" s="85"/>
      <c r="K4" s="85"/>
      <c r="L4" s="85"/>
      <c r="M4" s="85"/>
      <c r="N4" s="85"/>
      <c r="O4" s="85"/>
      <c r="P4" s="86"/>
      <c r="Q4" s="480"/>
      <c r="R4" s="423" t="s">
        <v>279</v>
      </c>
      <c r="S4" s="425">
        <v>10</v>
      </c>
      <c r="T4" s="255"/>
      <c r="U4" s="364"/>
      <c r="V4" s="364"/>
      <c r="W4" s="364"/>
      <c r="X4" s="365"/>
      <c r="AK4" s="1">
        <v>1</v>
      </c>
      <c r="AL4" s="435">
        <v>0.05</v>
      </c>
    </row>
    <row r="5" spans="2:38" ht="15" customHeight="1" x14ac:dyDescent="0.2">
      <c r="B5" s="89" t="s">
        <v>142</v>
      </c>
      <c r="C5" s="99">
        <v>1250000</v>
      </c>
      <c r="D5" s="511"/>
      <c r="E5" s="421">
        <v>2</v>
      </c>
      <c r="F5" s="430">
        <v>0.51204585910616518</v>
      </c>
      <c r="G5" s="431">
        <v>0.82727277692753232</v>
      </c>
      <c r="I5" s="84" t="s">
        <v>101</v>
      </c>
      <c r="J5" s="85"/>
      <c r="K5" s="85"/>
      <c r="L5" s="85"/>
      <c r="M5" s="85"/>
      <c r="N5" s="85"/>
      <c r="O5" s="85"/>
      <c r="P5" s="86"/>
      <c r="Q5" s="480"/>
      <c r="R5" s="423" t="s">
        <v>275</v>
      </c>
      <c r="S5" s="426">
        <f ca="1">IRR(S3:X3)</f>
        <v>0.48828126092616775</v>
      </c>
      <c r="U5" s="363"/>
      <c r="V5" s="363"/>
      <c r="W5" s="363"/>
      <c r="X5" s="363"/>
      <c r="AK5" s="1">
        <v>2</v>
      </c>
      <c r="AL5" s="435">
        <v>0.06</v>
      </c>
    </row>
    <row r="6" spans="2:38" x14ac:dyDescent="0.2">
      <c r="B6" s="89" t="s">
        <v>243</v>
      </c>
      <c r="C6" s="91">
        <v>0.15</v>
      </c>
      <c r="D6" s="511"/>
      <c r="E6" s="422">
        <v>3</v>
      </c>
      <c r="F6" s="417">
        <v>0.48828126092616775</v>
      </c>
      <c r="G6" s="418">
        <v>0.81634529254562671</v>
      </c>
      <c r="I6" s="84"/>
      <c r="J6" s="85"/>
      <c r="K6" s="85"/>
      <c r="L6" s="85"/>
      <c r="M6" s="85"/>
      <c r="N6" s="85"/>
      <c r="O6" s="85"/>
      <c r="P6" s="86"/>
      <c r="Q6" s="480"/>
      <c r="R6" s="423" t="s">
        <v>278</v>
      </c>
      <c r="S6" s="427">
        <v>0.1</v>
      </c>
      <c r="T6" s="363"/>
      <c r="U6" s="363"/>
      <c r="V6" s="363"/>
      <c r="W6" s="363"/>
      <c r="X6" s="363"/>
      <c r="AK6" s="1">
        <v>3</v>
      </c>
      <c r="AL6" s="435">
        <v>7.0000000000000007E-2</v>
      </c>
    </row>
    <row r="7" spans="2:38" x14ac:dyDescent="0.2">
      <c r="I7" s="84" t="s">
        <v>102</v>
      </c>
      <c r="J7" s="85"/>
      <c r="K7" s="85"/>
      <c r="L7" s="85"/>
      <c r="M7" s="85"/>
      <c r="N7" s="85"/>
      <c r="O7" s="85"/>
      <c r="P7" s="86"/>
      <c r="R7" s="423" t="s">
        <v>277</v>
      </c>
      <c r="S7" s="399">
        <f ca="1">NPV(S6,T3:X3)+S3</f>
        <v>18536971.609521434</v>
      </c>
      <c r="T7" s="363"/>
      <c r="U7" s="363"/>
      <c r="V7" s="363"/>
      <c r="W7" s="363"/>
      <c r="X7" s="363"/>
      <c r="AK7" s="1">
        <v>4</v>
      </c>
      <c r="AL7" s="435">
        <v>0.08</v>
      </c>
    </row>
    <row r="8" spans="2:38" ht="12.75" x14ac:dyDescent="0.2">
      <c r="B8" s="2" t="s">
        <v>96</v>
      </c>
      <c r="I8" s="84" t="s">
        <v>103</v>
      </c>
      <c r="J8" s="85"/>
      <c r="K8" s="85"/>
      <c r="L8" s="85"/>
      <c r="M8" s="85"/>
      <c r="N8" s="85"/>
      <c r="O8" s="87"/>
      <c r="P8" s="86"/>
      <c r="T8" s="363"/>
      <c r="U8" s="363"/>
      <c r="V8" s="363"/>
      <c r="W8" s="363"/>
      <c r="X8" s="363"/>
      <c r="AK8" s="1">
        <v>5</v>
      </c>
      <c r="AL8" s="435">
        <v>0.09</v>
      </c>
    </row>
    <row r="9" spans="2:38" ht="22.5" x14ac:dyDescent="0.3">
      <c r="B9" s="37" t="s">
        <v>87</v>
      </c>
      <c r="C9" s="38" t="s">
        <v>98</v>
      </c>
      <c r="D9" s="39" t="s">
        <v>88</v>
      </c>
      <c r="I9" s="77"/>
      <c r="J9" s="78"/>
      <c r="K9" s="78"/>
      <c r="L9" s="78"/>
      <c r="M9" s="78"/>
      <c r="N9" s="78"/>
      <c r="O9" s="80"/>
      <c r="P9" s="79"/>
      <c r="S9" s="404" t="str">
        <f>B5</f>
        <v>CAPex Cost for New Stores</v>
      </c>
      <c r="T9" s="402"/>
      <c r="U9" s="402"/>
      <c r="V9" s="402"/>
      <c r="W9" s="402"/>
      <c r="X9" s="402"/>
      <c r="AB9" s="402" t="s">
        <v>104</v>
      </c>
      <c r="AC9" s="402"/>
      <c r="AD9" s="402"/>
      <c r="AE9" s="402"/>
      <c r="AF9" s="402"/>
      <c r="AG9" s="402"/>
      <c r="AH9" s="402"/>
      <c r="AK9" s="1">
        <v>6</v>
      </c>
      <c r="AL9" s="435">
        <v>0.1</v>
      </c>
    </row>
    <row r="10" spans="2:38" ht="12.75" x14ac:dyDescent="0.3">
      <c r="B10" s="40" t="s">
        <v>82</v>
      </c>
      <c r="C10" s="41">
        <v>22100</v>
      </c>
      <c r="D10" s="42">
        <v>0.02</v>
      </c>
      <c r="F10" s="3"/>
      <c r="I10" s="92" t="s">
        <v>106</v>
      </c>
      <c r="J10" s="78"/>
      <c r="K10" s="78"/>
      <c r="L10" s="78"/>
      <c r="M10" s="78"/>
      <c r="N10" s="78"/>
      <c r="O10" s="80"/>
      <c r="P10" s="79"/>
      <c r="R10" s="399">
        <f ca="1">S7</f>
        <v>18536971.609521434</v>
      </c>
      <c r="S10" s="397">
        <v>1250000</v>
      </c>
      <c r="T10" s="397">
        <v>1500000</v>
      </c>
      <c r="U10" s="397">
        <v>1750000</v>
      </c>
      <c r="V10" s="397">
        <v>2000000</v>
      </c>
      <c r="W10" s="397">
        <v>2250000</v>
      </c>
      <c r="X10" s="398">
        <v>2500000</v>
      </c>
      <c r="AA10" s="405">
        <f ca="1">S5</f>
        <v>0.48828126092616775</v>
      </c>
      <c r="AB10" s="463">
        <v>0.01</v>
      </c>
      <c r="AC10" s="463">
        <v>0.02</v>
      </c>
      <c r="AD10" s="463">
        <v>0.03</v>
      </c>
      <c r="AE10" s="463">
        <v>0.04</v>
      </c>
      <c r="AF10" s="463">
        <v>0.05</v>
      </c>
      <c r="AG10" s="463">
        <v>0.06</v>
      </c>
      <c r="AH10" s="464">
        <v>7.0000000000000007E-2</v>
      </c>
      <c r="AK10" s="1">
        <v>7</v>
      </c>
      <c r="AL10" s="435">
        <v>0.11</v>
      </c>
    </row>
    <row r="11" spans="2:38" ht="12.75" x14ac:dyDescent="0.3">
      <c r="B11" s="40" t="s">
        <v>83</v>
      </c>
      <c r="C11" s="41">
        <v>33700</v>
      </c>
      <c r="D11" s="42">
        <v>0.03</v>
      </c>
      <c r="F11" s="3"/>
      <c r="I11" s="77" t="s">
        <v>107</v>
      </c>
      <c r="J11" s="78"/>
      <c r="K11" s="78"/>
      <c r="L11" s="78"/>
      <c r="M11" s="78"/>
      <c r="N11" s="78"/>
      <c r="O11" s="78"/>
      <c r="P11" s="78"/>
      <c r="Q11" s="510" t="str">
        <f>B4</f>
        <v>New Store Sales Growth Rate</v>
      </c>
      <c r="R11" s="403">
        <v>0.01</v>
      </c>
      <c r="S11" s="406">
        <f t="dataTable" ref="S11:X17" dt2D="1" dtr="1" r1="C5" r2="C4" ca="1"/>
        <v>14249655.154735748</v>
      </c>
      <c r="T11" s="407">
        <v>9592745.2317920923</v>
      </c>
      <c r="U11" s="407">
        <v>4935835.3088484295</v>
      </c>
      <c r="V11" s="407">
        <v>278925.38590476848</v>
      </c>
      <c r="W11" s="407">
        <v>-4377984.5370388879</v>
      </c>
      <c r="X11" s="408">
        <v>-9034894.4599825498</v>
      </c>
      <c r="Z11" s="507" t="s">
        <v>281</v>
      </c>
      <c r="AA11" s="462">
        <v>4</v>
      </c>
      <c r="AB11" s="441" t="e">
        <f t="dataTable" ref="AB11:AH19" dt2D="1" dtr="1" r1="C4" r2="S4" ca="1"/>
        <v>#NUM!</v>
      </c>
      <c r="AC11" s="442" t="e">
        <v>#NUM!</v>
      </c>
      <c r="AD11" s="442">
        <v>-0.25072125756877894</v>
      </c>
      <c r="AE11" s="442">
        <v>-0.10701924370403426</v>
      </c>
      <c r="AF11" s="442">
        <v>-1.8977494242936821E-2</v>
      </c>
      <c r="AG11" s="442">
        <v>4.7127850576332397E-2</v>
      </c>
      <c r="AH11" s="443">
        <v>0.10114763627100998</v>
      </c>
      <c r="AK11" s="1">
        <v>8</v>
      </c>
      <c r="AL11" s="435">
        <v>0.12</v>
      </c>
    </row>
    <row r="12" spans="2:38" ht="12.75" x14ac:dyDescent="0.3">
      <c r="B12" s="40" t="s">
        <v>84</v>
      </c>
      <c r="C12" s="41">
        <v>47100</v>
      </c>
      <c r="D12" s="42">
        <v>0.04</v>
      </c>
      <c r="F12" s="3"/>
      <c r="I12" s="77" t="s">
        <v>108</v>
      </c>
      <c r="J12" s="78"/>
      <c r="K12" s="78"/>
      <c r="L12" s="78"/>
      <c r="M12" s="78"/>
      <c r="N12" s="78"/>
      <c r="O12" s="80"/>
      <c r="P12" s="78"/>
      <c r="Q12" s="510"/>
      <c r="R12" s="400">
        <v>0.02</v>
      </c>
      <c r="S12" s="409">
        <v>16362950.092045087</v>
      </c>
      <c r="T12" s="410">
        <v>11706040.169101428</v>
      </c>
      <c r="U12" s="410">
        <v>7049130.2461577691</v>
      </c>
      <c r="V12" s="410">
        <v>2392220.32321411</v>
      </c>
      <c r="W12" s="410">
        <v>-2264689.5997295561</v>
      </c>
      <c r="X12" s="411">
        <v>-6921599.5226732222</v>
      </c>
      <c r="Z12" s="507"/>
      <c r="AA12" s="462">
        <v>5</v>
      </c>
      <c r="AB12" s="444">
        <v>-7.8723714312909032E-2</v>
      </c>
      <c r="AC12" s="445">
        <v>6.6228883478578471E-3</v>
      </c>
      <c r="AD12" s="445">
        <v>7.17043865495266E-2</v>
      </c>
      <c r="AE12" s="445">
        <v>0.1253184148306925</v>
      </c>
      <c r="AF12" s="445">
        <v>0.17148073236244454</v>
      </c>
      <c r="AG12" s="445">
        <v>0.21238522262585802</v>
      </c>
      <c r="AH12" s="446">
        <v>0.24937042823446198</v>
      </c>
      <c r="AK12" s="1">
        <v>9</v>
      </c>
      <c r="AL12" s="435">
        <v>0.13</v>
      </c>
    </row>
    <row r="13" spans="2:38" ht="12.75" x14ac:dyDescent="0.3">
      <c r="B13" s="40" t="s">
        <v>85</v>
      </c>
      <c r="C13" s="41">
        <v>67920</v>
      </c>
      <c r="D13" s="42">
        <v>1.2E-2</v>
      </c>
      <c r="I13" s="77"/>
      <c r="J13" s="78"/>
      <c r="K13" s="78"/>
      <c r="L13" s="78"/>
      <c r="M13" s="78"/>
      <c r="N13" s="78"/>
      <c r="O13" s="80"/>
      <c r="P13" s="78"/>
      <c r="Q13" s="510"/>
      <c r="R13" s="400">
        <v>0.03</v>
      </c>
      <c r="S13" s="409">
        <v>18536971.609521434</v>
      </c>
      <c r="T13" s="410">
        <v>13880061.686577775</v>
      </c>
      <c r="U13" s="410">
        <v>9223151.7636341155</v>
      </c>
      <c r="V13" s="410">
        <v>4566241.8406904545</v>
      </c>
      <c r="W13" s="410">
        <v>-90668.082253207453</v>
      </c>
      <c r="X13" s="411">
        <v>-4747578.0051968638</v>
      </c>
      <c r="Z13" s="507"/>
      <c r="AA13" s="462">
        <v>6</v>
      </c>
      <c r="AB13" s="444">
        <v>0.11560301321165034</v>
      </c>
      <c r="AC13" s="445">
        <v>0.16583434247717066</v>
      </c>
      <c r="AD13" s="445">
        <v>0.20977669297021717</v>
      </c>
      <c r="AE13" s="445">
        <v>0.24914610016667038</v>
      </c>
      <c r="AF13" s="445">
        <v>0.28503361777091674</v>
      </c>
      <c r="AG13" s="445">
        <v>0.31817880339710158</v>
      </c>
      <c r="AH13" s="446">
        <v>0.34910756487823091</v>
      </c>
      <c r="AK13" s="1">
        <v>10</v>
      </c>
      <c r="AL13" s="435">
        <v>0.14000000000000001</v>
      </c>
    </row>
    <row r="14" spans="2:38" x14ac:dyDescent="0.2">
      <c r="B14" s="43" t="s">
        <v>86</v>
      </c>
      <c r="C14" s="44">
        <v>43298</v>
      </c>
      <c r="D14" s="45">
        <v>2.5000000000000001E-2</v>
      </c>
      <c r="I14" s="92" t="s">
        <v>109</v>
      </c>
      <c r="J14" s="78"/>
      <c r="K14" s="78"/>
      <c r="L14" s="78"/>
      <c r="M14" s="78"/>
      <c r="N14" s="78"/>
      <c r="O14" s="78"/>
      <c r="P14" s="78"/>
      <c r="Q14" s="510"/>
      <c r="R14" s="400">
        <v>0.04</v>
      </c>
      <c r="S14" s="409">
        <v>20773598.609166179</v>
      </c>
      <c r="T14" s="410">
        <v>16116688.68622252</v>
      </c>
      <c r="U14" s="410">
        <v>11459778.763278859</v>
      </c>
      <c r="V14" s="410">
        <v>6802868.840335194</v>
      </c>
      <c r="W14" s="410">
        <v>2145958.917391534</v>
      </c>
      <c r="X14" s="411">
        <v>-2510951.0055521368</v>
      </c>
      <c r="Z14" s="507"/>
      <c r="AA14" s="462">
        <v>7</v>
      </c>
      <c r="AB14" s="444">
        <v>0.22798943468126676</v>
      </c>
      <c r="AC14" s="445">
        <v>0.26768495816180859</v>
      </c>
      <c r="AD14" s="445">
        <v>0.30389881647222716</v>
      </c>
      <c r="AE14" s="445">
        <v>0.3373665193882307</v>
      </c>
      <c r="AF14" s="445">
        <v>0.36861222148187078</v>
      </c>
      <c r="AG14" s="445">
        <v>0.39802347496189916</v>
      </c>
      <c r="AH14" s="446">
        <v>0.42589542729328778</v>
      </c>
      <c r="AK14" s="1">
        <v>11</v>
      </c>
      <c r="AL14" s="435">
        <v>0.15</v>
      </c>
    </row>
    <row r="15" spans="2:38" x14ac:dyDescent="0.2">
      <c r="I15" s="77" t="s">
        <v>110</v>
      </c>
      <c r="J15" s="78"/>
      <c r="K15" s="78"/>
      <c r="L15" s="78"/>
      <c r="M15" s="78"/>
      <c r="N15" s="78"/>
      <c r="O15" s="78"/>
      <c r="P15" s="78"/>
      <c r="Q15" s="510"/>
      <c r="R15" s="400">
        <v>0.05</v>
      </c>
      <c r="S15" s="409">
        <v>23074768.754966643</v>
      </c>
      <c r="T15" s="410">
        <v>18417858.832022984</v>
      </c>
      <c r="U15" s="410">
        <v>13760948.909079324</v>
      </c>
      <c r="V15" s="410">
        <v>9104038.9861356597</v>
      </c>
      <c r="W15" s="410">
        <v>4447129.0631920006</v>
      </c>
      <c r="X15" s="411">
        <v>-209780.85975165758</v>
      </c>
      <c r="Z15" s="507"/>
      <c r="AA15" s="462">
        <v>8</v>
      </c>
      <c r="AB15" s="444">
        <v>0.3099167927025912</v>
      </c>
      <c r="AC15" s="445">
        <v>0.34453305574896365</v>
      </c>
      <c r="AD15" s="445">
        <v>0.37676621779610198</v>
      </c>
      <c r="AE15" s="445">
        <v>0.40704234829156594</v>
      </c>
      <c r="AF15" s="445">
        <v>0.43568341245730724</v>
      </c>
      <c r="AG15" s="445">
        <v>0.46293902030212708</v>
      </c>
      <c r="AH15" s="446">
        <v>0.48900685642503627</v>
      </c>
      <c r="AK15" s="1">
        <v>12</v>
      </c>
      <c r="AL15" s="435">
        <v>0.16</v>
      </c>
    </row>
    <row r="16" spans="2:38" x14ac:dyDescent="0.2">
      <c r="B16" s="2" t="s">
        <v>97</v>
      </c>
      <c r="I16" s="77" t="s">
        <v>111</v>
      </c>
      <c r="J16" s="78"/>
      <c r="K16" s="78"/>
      <c r="L16" s="78"/>
      <c r="M16" s="78"/>
      <c r="N16" s="78"/>
      <c r="O16" s="78"/>
      <c r="P16" s="78"/>
      <c r="Q16" s="510"/>
      <c r="R16" s="400">
        <v>0.06</v>
      </c>
      <c r="S16" s="409">
        <v>25442480.275206219</v>
      </c>
      <c r="T16" s="410">
        <v>20785570.352262557</v>
      </c>
      <c r="U16" s="410">
        <v>16128660.429318897</v>
      </c>
      <c r="V16" s="410">
        <v>11471750.506375242</v>
      </c>
      <c r="W16" s="410">
        <v>6814840.5834315754</v>
      </c>
      <c r="X16" s="411">
        <v>2157930.6604879135</v>
      </c>
      <c r="Z16" s="507"/>
      <c r="AA16" s="462">
        <v>9</v>
      </c>
      <c r="AB16" s="444">
        <v>0.37534617726744601</v>
      </c>
      <c r="AC16" s="445">
        <v>0.40700332679953055</v>
      </c>
      <c r="AD16" s="445">
        <v>0.43684137517710209</v>
      </c>
      <c r="AE16" s="445">
        <v>0.46514927673082584</v>
      </c>
      <c r="AF16" s="445">
        <v>0.49215335724335252</v>
      </c>
      <c r="AG16" s="445">
        <v>0.51803441592713884</v>
      </c>
      <c r="AH16" s="446">
        <v>0.5429393265035849</v>
      </c>
      <c r="AK16" s="1">
        <v>13</v>
      </c>
      <c r="AL16" s="435">
        <v>0.17</v>
      </c>
    </row>
    <row r="17" spans="2:38" ht="12.75" x14ac:dyDescent="0.3">
      <c r="B17" s="46"/>
      <c r="C17" s="47" t="s">
        <v>6</v>
      </c>
      <c r="D17" s="47" t="s">
        <v>7</v>
      </c>
      <c r="E17" s="47" t="s">
        <v>8</v>
      </c>
      <c r="F17" s="47" t="s">
        <v>9</v>
      </c>
      <c r="G17" s="48" t="s">
        <v>10</v>
      </c>
      <c r="I17" s="77" t="s">
        <v>112</v>
      </c>
      <c r="J17" s="78"/>
      <c r="K17" s="78"/>
      <c r="L17" s="78"/>
      <c r="M17" s="78"/>
      <c r="N17" s="78"/>
      <c r="O17" s="78"/>
      <c r="P17" s="78"/>
      <c r="Q17" s="510"/>
      <c r="R17" s="401">
        <v>7.0000000000000007E-2</v>
      </c>
      <c r="S17" s="412">
        <v>27878793.818016253</v>
      </c>
      <c r="T17" s="413">
        <v>23221883.895072594</v>
      </c>
      <c r="U17" s="413">
        <v>18564973.972128935</v>
      </c>
      <c r="V17" s="413">
        <v>13908064.049185269</v>
      </c>
      <c r="W17" s="413">
        <v>9251154.1262416057</v>
      </c>
      <c r="X17" s="414">
        <v>4594244.2032979485</v>
      </c>
      <c r="Z17" s="507"/>
      <c r="AA17" s="462">
        <v>10</v>
      </c>
      <c r="AB17" s="444">
        <v>0.43027339599683367</v>
      </c>
      <c r="AC17" s="445">
        <v>0.46001859740392326</v>
      </c>
      <c r="AD17" s="445">
        <v>0.48828126092616775</v>
      </c>
      <c r="AE17" s="445">
        <v>0.51527697627078606</v>
      </c>
      <c r="AF17" s="445">
        <v>0.54117875466591814</v>
      </c>
      <c r="AG17" s="445">
        <v>0.56612769566379395</v>
      </c>
      <c r="AH17" s="446">
        <v>0.59024048926617212</v>
      </c>
      <c r="AK17" s="1">
        <v>14</v>
      </c>
      <c r="AL17" s="435">
        <v>0.18</v>
      </c>
    </row>
    <row r="18" spans="2:38" x14ac:dyDescent="0.2">
      <c r="B18" s="49" t="s">
        <v>11</v>
      </c>
      <c r="C18" s="50">
        <v>1</v>
      </c>
      <c r="D18" s="50">
        <f>C18</f>
        <v>1</v>
      </c>
      <c r="E18" s="50">
        <f t="shared" ref="E18:G18" si="0">D18</f>
        <v>1</v>
      </c>
      <c r="F18" s="50">
        <f t="shared" si="0"/>
        <v>1</v>
      </c>
      <c r="G18" s="51">
        <f t="shared" si="0"/>
        <v>1</v>
      </c>
      <c r="I18" s="77"/>
      <c r="J18" s="78"/>
      <c r="K18" s="78"/>
      <c r="L18" s="78"/>
      <c r="M18" s="78"/>
      <c r="N18" s="78"/>
      <c r="O18" s="78"/>
      <c r="P18" s="79"/>
      <c r="Z18" s="507"/>
      <c r="AA18" s="462">
        <v>11</v>
      </c>
      <c r="AB18" s="444">
        <v>0.47786626919370878</v>
      </c>
      <c r="AC18" s="445">
        <v>0.50629327186059392</v>
      </c>
      <c r="AD18" s="445">
        <v>0.53345877584938339</v>
      </c>
      <c r="AE18" s="445">
        <v>0.55953410876626353</v>
      </c>
      <c r="AF18" s="445">
        <v>0.58465919566416025</v>
      </c>
      <c r="AG18" s="445">
        <v>0.60894989848544423</v>
      </c>
      <c r="AH18" s="446">
        <v>0.6325033158271276</v>
      </c>
      <c r="AK18" s="1">
        <v>15</v>
      </c>
      <c r="AL18" s="435">
        <v>0.19</v>
      </c>
    </row>
    <row r="19" spans="2:38" x14ac:dyDescent="0.2">
      <c r="B19" s="49" t="s">
        <v>12</v>
      </c>
      <c r="C19" s="50">
        <v>2</v>
      </c>
      <c r="D19" s="50">
        <f t="shared" ref="D19:G19" si="1">C19</f>
        <v>2</v>
      </c>
      <c r="E19" s="50">
        <f t="shared" si="1"/>
        <v>2</v>
      </c>
      <c r="F19" s="50">
        <f t="shared" si="1"/>
        <v>2</v>
      </c>
      <c r="G19" s="51">
        <f t="shared" si="1"/>
        <v>2</v>
      </c>
      <c r="I19" s="93" t="s">
        <v>114</v>
      </c>
      <c r="J19" s="94"/>
      <c r="K19" s="94"/>
      <c r="L19" s="94"/>
      <c r="M19" s="94"/>
      <c r="N19" s="94"/>
      <c r="O19" s="94"/>
      <c r="P19" s="95"/>
      <c r="Z19" s="507"/>
      <c r="AA19" s="450">
        <v>12</v>
      </c>
      <c r="AB19" s="447">
        <v>0.52001698872561186</v>
      </c>
      <c r="AC19" s="448">
        <v>0.5474943465202835</v>
      </c>
      <c r="AD19" s="448">
        <v>0.57386532678105251</v>
      </c>
      <c r="AE19" s="448">
        <v>0.59927224401564283</v>
      </c>
      <c r="AF19" s="448">
        <v>0.62383288391429992</v>
      </c>
      <c r="AG19" s="448">
        <v>0.64764591712796271</v>
      </c>
      <c r="AH19" s="449">
        <v>0.67079488781826613</v>
      </c>
    </row>
    <row r="20" spans="2:38" x14ac:dyDescent="0.2">
      <c r="B20" s="49" t="s">
        <v>13</v>
      </c>
      <c r="C20" s="50">
        <v>2</v>
      </c>
      <c r="D20" s="50">
        <f t="shared" ref="D20:G20" si="2">C20</f>
        <v>2</v>
      </c>
      <c r="E20" s="50">
        <f t="shared" si="2"/>
        <v>2</v>
      </c>
      <c r="F20" s="50">
        <f t="shared" si="2"/>
        <v>2</v>
      </c>
      <c r="G20" s="51">
        <f t="shared" si="2"/>
        <v>2</v>
      </c>
      <c r="I20" s="88" t="s">
        <v>115</v>
      </c>
      <c r="J20" s="85"/>
      <c r="K20" s="85"/>
      <c r="L20" s="85"/>
      <c r="M20" s="85"/>
      <c r="N20" s="85"/>
      <c r="O20" s="85"/>
      <c r="P20" s="86"/>
    </row>
    <row r="21" spans="2:38" x14ac:dyDescent="0.2">
      <c r="B21" s="52" t="s">
        <v>14</v>
      </c>
      <c r="C21" s="53">
        <v>1</v>
      </c>
      <c r="D21" s="53">
        <f t="shared" ref="D21:G21" si="3">C21</f>
        <v>1</v>
      </c>
      <c r="E21" s="53">
        <f t="shared" si="3"/>
        <v>1</v>
      </c>
      <c r="F21" s="53">
        <f t="shared" si="3"/>
        <v>1</v>
      </c>
      <c r="G21" s="54">
        <f t="shared" si="3"/>
        <v>1</v>
      </c>
      <c r="I21" s="84" t="s">
        <v>116</v>
      </c>
      <c r="J21" s="85"/>
      <c r="K21" s="85"/>
      <c r="L21" s="85"/>
      <c r="M21" s="85"/>
      <c r="N21" s="85"/>
      <c r="O21" s="85"/>
      <c r="P21" s="86"/>
      <c r="S21" s="402" t="s">
        <v>316</v>
      </c>
      <c r="T21" s="402"/>
      <c r="U21" s="402"/>
      <c r="V21" s="402"/>
      <c r="W21" s="402"/>
      <c r="X21" s="402"/>
    </row>
    <row r="22" spans="2:38" x14ac:dyDescent="0.2">
      <c r="B22" s="76" t="s">
        <v>99</v>
      </c>
      <c r="C22" s="74">
        <f>SUM(C18:C21)</f>
        <v>6</v>
      </c>
      <c r="D22" s="74">
        <f t="shared" ref="D22:G22" si="4">SUM(D18:D21)</f>
        <v>6</v>
      </c>
      <c r="E22" s="74">
        <f t="shared" si="4"/>
        <v>6</v>
      </c>
      <c r="F22" s="74">
        <f t="shared" si="4"/>
        <v>6</v>
      </c>
      <c r="G22" s="75">
        <f t="shared" si="4"/>
        <v>6</v>
      </c>
      <c r="I22" s="84" t="s">
        <v>117</v>
      </c>
      <c r="J22" s="85"/>
      <c r="K22" s="85"/>
      <c r="L22" s="85"/>
      <c r="M22" s="85"/>
      <c r="N22" s="85"/>
      <c r="O22" s="85"/>
      <c r="P22" s="86"/>
      <c r="R22" s="405">
        <f ca="1">S5</f>
        <v>0.48828126092616775</v>
      </c>
      <c r="S22" s="436">
        <v>0.4</v>
      </c>
      <c r="T22" s="436">
        <v>0.45</v>
      </c>
      <c r="U22" s="436">
        <v>0.5</v>
      </c>
      <c r="V22" s="436">
        <v>0.55000000000000004</v>
      </c>
      <c r="W22" s="436">
        <v>0.6</v>
      </c>
      <c r="X22" s="437">
        <v>0.65</v>
      </c>
    </row>
    <row r="23" spans="2:38" ht="12.75" x14ac:dyDescent="0.2">
      <c r="I23" s="84"/>
      <c r="J23" s="85"/>
      <c r="K23" s="85"/>
      <c r="L23" s="85"/>
      <c r="M23" s="85"/>
      <c r="N23" s="85"/>
      <c r="O23" s="87"/>
      <c r="P23" s="85"/>
      <c r="Q23" s="512" t="s">
        <v>317</v>
      </c>
      <c r="R23" s="440">
        <v>0.08</v>
      </c>
      <c r="S23" s="441">
        <f t="dataTable" ref="S23:X29" dt2D="1" dtr="1" r1="C81" r2="C89" ca="1"/>
        <v>0.49773015110023833</v>
      </c>
      <c r="T23" s="442">
        <v>0.49185269164640544</v>
      </c>
      <c r="U23" s="442">
        <v>0.48588112361753955</v>
      </c>
      <c r="V23" s="442">
        <v>0.47981198722288076</v>
      </c>
      <c r="W23" s="442">
        <v>0.47364162067840199</v>
      </c>
      <c r="X23" s="443">
        <v>0.46736614386047348</v>
      </c>
    </row>
    <row r="24" spans="2:38" ht="12.75" x14ac:dyDescent="0.3">
      <c r="B24" s="2" t="s">
        <v>89</v>
      </c>
      <c r="I24" s="88" t="s">
        <v>118</v>
      </c>
      <c r="J24" s="78"/>
      <c r="K24" s="78"/>
      <c r="L24" s="78"/>
      <c r="M24" s="78"/>
      <c r="N24" s="78"/>
      <c r="O24" s="80"/>
      <c r="P24" s="78"/>
      <c r="Q24" s="512"/>
      <c r="R24" s="438">
        <v>0.1</v>
      </c>
      <c r="S24" s="444">
        <v>0.500055523522412</v>
      </c>
      <c r="T24" s="445">
        <v>0.49421478114822026</v>
      </c>
      <c r="U24" s="445">
        <v>0.48828126092616775</v>
      </c>
      <c r="V24" s="445">
        <v>0.48225157963126031</v>
      </c>
      <c r="W24" s="445">
        <v>0.47612215814943792</v>
      </c>
      <c r="X24" s="446">
        <v>0.46988920575914372</v>
      </c>
    </row>
    <row r="25" spans="2:38" ht="12.75" x14ac:dyDescent="0.3">
      <c r="B25" s="4" t="s">
        <v>90</v>
      </c>
      <c r="I25" s="77" t="s">
        <v>119</v>
      </c>
      <c r="J25" s="78"/>
      <c r="K25" s="78"/>
      <c r="L25" s="78"/>
      <c r="M25" s="78"/>
      <c r="N25" s="78"/>
      <c r="O25" s="80"/>
      <c r="P25" s="78"/>
      <c r="Q25" s="512"/>
      <c r="R25" s="438">
        <v>0.12</v>
      </c>
      <c r="S25" s="444">
        <v>0.50236656563322368</v>
      </c>
      <c r="T25" s="445">
        <v>0.49656202822664786</v>
      </c>
      <c r="U25" s="445">
        <v>0.49066601465502813</v>
      </c>
      <c r="V25" s="445">
        <v>0.48467521597741059</v>
      </c>
      <c r="W25" s="445">
        <v>0.47858613323677401</v>
      </c>
      <c r="X25" s="446">
        <v>0.47239506234058881</v>
      </c>
    </row>
    <row r="26" spans="2:38" x14ac:dyDescent="0.2">
      <c r="B26" s="5"/>
      <c r="C26" s="6" t="s">
        <v>62</v>
      </c>
      <c r="D26" s="6" t="s">
        <v>60</v>
      </c>
      <c r="E26" s="7" t="s">
        <v>61</v>
      </c>
      <c r="I26" s="77" t="s">
        <v>120</v>
      </c>
      <c r="J26" s="78"/>
      <c r="K26" s="78"/>
      <c r="L26" s="78"/>
      <c r="M26" s="78"/>
      <c r="N26" s="78"/>
      <c r="O26" s="78"/>
      <c r="P26" s="78"/>
      <c r="Q26" s="512"/>
      <c r="R26" s="438">
        <v>0.14000000000000001</v>
      </c>
      <c r="S26" s="444">
        <v>0.5046634746164318</v>
      </c>
      <c r="T26" s="445">
        <v>0.4988946410912154</v>
      </c>
      <c r="U26" s="445">
        <v>0.49303560489313414</v>
      </c>
      <c r="V26" s="445">
        <v>0.48708312916877605</v>
      </c>
      <c r="W26" s="445">
        <v>0.48103379270096158</v>
      </c>
      <c r="X26" s="446">
        <v>0.47488397536092397</v>
      </c>
    </row>
    <row r="27" spans="2:38" ht="12.75" x14ac:dyDescent="0.3">
      <c r="B27" s="8" t="s">
        <v>78</v>
      </c>
      <c r="C27" s="10">
        <v>25000</v>
      </c>
      <c r="D27" s="10">
        <v>30000</v>
      </c>
      <c r="E27" s="11">
        <v>40000</v>
      </c>
      <c r="F27" s="256"/>
      <c r="G27" s="432"/>
      <c r="I27" s="77"/>
      <c r="J27" s="78"/>
      <c r="K27" s="78"/>
      <c r="L27" s="78"/>
      <c r="M27" s="78"/>
      <c r="N27" s="78"/>
      <c r="O27" s="80"/>
      <c r="P27" s="78"/>
      <c r="Q27" s="512"/>
      <c r="R27" s="438">
        <v>0.16</v>
      </c>
      <c r="S27" s="444">
        <v>0.50694644346720841</v>
      </c>
      <c r="T27" s="445">
        <v>0.50121282344314899</v>
      </c>
      <c r="U27" s="445">
        <v>0.4953902468700242</v>
      </c>
      <c r="V27" s="445">
        <v>0.48947554686688077</v>
      </c>
      <c r="W27" s="445">
        <v>0.48346537763054087</v>
      </c>
      <c r="X27" s="446">
        <v>0.4773562004334917</v>
      </c>
    </row>
    <row r="28" spans="2:38" ht="12.75" x14ac:dyDescent="0.3">
      <c r="B28" s="12" t="s">
        <v>15</v>
      </c>
      <c r="C28" s="35">
        <f>C27*52</f>
        <v>1300000</v>
      </c>
      <c r="D28" s="35">
        <f t="shared" ref="D28" si="5">D27*52</f>
        <v>1560000</v>
      </c>
      <c r="E28" s="36">
        <f t="shared" ref="E28" si="6">E27*52</f>
        <v>2080000</v>
      </c>
      <c r="F28" s="256">
        <f>_xlfn.STDEV.S(C28:E28)</f>
        <v>397156.56022950634</v>
      </c>
      <c r="G28" s="335">
        <f>MEDIAN(C28:E28)</f>
        <v>1560000</v>
      </c>
      <c r="I28" s="92" t="s">
        <v>121</v>
      </c>
      <c r="J28" s="78"/>
      <c r="K28" s="78"/>
      <c r="L28" s="78"/>
      <c r="M28" s="78"/>
      <c r="N28" s="78"/>
      <c r="O28" s="80"/>
      <c r="P28" s="78"/>
      <c r="Q28" s="512"/>
      <c r="R28" s="438">
        <v>0.18</v>
      </c>
      <c r="S28" s="444">
        <v>0.50921566111198246</v>
      </c>
      <c r="T28" s="445">
        <v>0.50351677460683608</v>
      </c>
      <c r="U28" s="445">
        <v>0.49773015110023833</v>
      </c>
      <c r="V28" s="445">
        <v>0.49185269164640544</v>
      </c>
      <c r="W28" s="445">
        <v>0.48588112361753955</v>
      </c>
      <c r="X28" s="446">
        <v>0.47981198722288076</v>
      </c>
    </row>
    <row r="29" spans="2:38" x14ac:dyDescent="0.2">
      <c r="B29" s="13" t="s">
        <v>63</v>
      </c>
      <c r="C29" s="14">
        <v>0.4</v>
      </c>
      <c r="D29" s="14">
        <v>0.5</v>
      </c>
      <c r="E29" s="15">
        <v>0.1</v>
      </c>
      <c r="F29" s="433">
        <f>SKEW(C28:E28)</f>
        <v>0.93521952958282217</v>
      </c>
      <c r="I29" s="77" t="s">
        <v>122</v>
      </c>
      <c r="J29" s="78"/>
      <c r="K29" s="78"/>
      <c r="L29" s="78"/>
      <c r="M29" s="78"/>
      <c r="N29" s="78"/>
      <c r="O29" s="78"/>
      <c r="P29" s="78"/>
      <c r="Q29" s="512"/>
      <c r="R29" s="439">
        <v>0.2</v>
      </c>
      <c r="S29" s="447">
        <v>0.51147131252398226</v>
      </c>
      <c r="T29" s="448">
        <v>0.50580668965648568</v>
      </c>
      <c r="U29" s="448">
        <v>0.500055523522412</v>
      </c>
      <c r="V29" s="448">
        <v>0.49421478114822026</v>
      </c>
      <c r="W29" s="448">
        <v>0.48828126092616775</v>
      </c>
      <c r="X29" s="449">
        <v>0.48225157963126031</v>
      </c>
    </row>
    <row r="30" spans="2:38" x14ac:dyDescent="0.2">
      <c r="C30" s="335">
        <f>C29*C28</f>
        <v>520000</v>
      </c>
      <c r="D30" s="335">
        <f t="shared" ref="D30" si="7">D29*D28</f>
        <v>780000</v>
      </c>
      <c r="E30" s="335">
        <f t="shared" ref="E30" si="8">E29*E28</f>
        <v>208000</v>
      </c>
      <c r="F30" s="335">
        <f>AVERAGE(C28:E28)</f>
        <v>1646666.6666666667</v>
      </c>
      <c r="I30" s="77"/>
      <c r="J30" s="78"/>
      <c r="K30" s="78"/>
      <c r="L30" s="78"/>
      <c r="M30" s="78"/>
      <c r="N30" s="78"/>
      <c r="O30" s="78"/>
      <c r="P30" s="79"/>
    </row>
    <row r="31" spans="2:38" x14ac:dyDescent="0.2">
      <c r="B31" s="4" t="s">
        <v>91</v>
      </c>
      <c r="I31" s="92" t="s">
        <v>123</v>
      </c>
      <c r="J31" s="78"/>
      <c r="K31" s="78"/>
      <c r="L31" s="78"/>
      <c r="M31" s="78"/>
      <c r="N31" s="78"/>
      <c r="O31" s="78"/>
      <c r="P31" s="79"/>
    </row>
    <row r="32" spans="2:38" x14ac:dyDescent="0.2">
      <c r="B32" s="5"/>
      <c r="C32" s="6" t="s">
        <v>62</v>
      </c>
      <c r="D32" s="6" t="s">
        <v>60</v>
      </c>
      <c r="E32" s="7" t="s">
        <v>61</v>
      </c>
      <c r="I32" s="77" t="s">
        <v>124</v>
      </c>
      <c r="J32" s="78"/>
      <c r="K32" s="78"/>
      <c r="L32" s="78"/>
      <c r="M32" s="78"/>
      <c r="N32" s="78"/>
      <c r="O32" s="78"/>
      <c r="P32" s="79"/>
    </row>
    <row r="33" spans="2:24" x14ac:dyDescent="0.2">
      <c r="B33" s="8" t="s">
        <v>78</v>
      </c>
      <c r="C33" s="10">
        <f>C27+2500</f>
        <v>27500</v>
      </c>
      <c r="D33" s="10">
        <f>D27+2500</f>
        <v>32500</v>
      </c>
      <c r="E33" s="11">
        <f>E27+2500</f>
        <v>42500</v>
      </c>
      <c r="I33" s="77"/>
      <c r="J33" s="78"/>
      <c r="K33" s="78"/>
      <c r="L33" s="78"/>
      <c r="M33" s="78"/>
      <c r="N33" s="78"/>
      <c r="O33" s="78"/>
      <c r="P33" s="79"/>
    </row>
    <row r="34" spans="2:24" x14ac:dyDescent="0.2">
      <c r="B34" s="12" t="s">
        <v>15</v>
      </c>
      <c r="C34" s="35">
        <f>C33*52</f>
        <v>1430000</v>
      </c>
      <c r="D34" s="35">
        <f t="shared" ref="D34:E34" si="9">D33*52</f>
        <v>1690000</v>
      </c>
      <c r="E34" s="36">
        <f t="shared" si="9"/>
        <v>2210000</v>
      </c>
      <c r="F34" s="256">
        <f>_xlfn.STDEV.S(C34:E34)</f>
        <v>397156.5602295057</v>
      </c>
      <c r="G34" s="335">
        <f>MEDIAN(C34:E34)</f>
        <v>1690000</v>
      </c>
      <c r="I34" s="81"/>
      <c r="J34" s="82"/>
      <c r="K34" s="82"/>
      <c r="L34" s="82"/>
      <c r="M34" s="82"/>
      <c r="N34" s="82"/>
      <c r="O34" s="82"/>
      <c r="P34" s="83"/>
    </row>
    <row r="35" spans="2:24" x14ac:dyDescent="0.2">
      <c r="B35" s="13" t="s">
        <v>63</v>
      </c>
      <c r="C35" s="14">
        <v>0.3</v>
      </c>
      <c r="D35" s="14">
        <v>0.4</v>
      </c>
      <c r="E35" s="15">
        <v>0.3</v>
      </c>
      <c r="F35" s="433">
        <f>SKEW(C34:E34)</f>
        <v>0.93521952958282217</v>
      </c>
      <c r="I35" s="93" t="s">
        <v>125</v>
      </c>
      <c r="J35" s="94"/>
      <c r="K35" s="94"/>
      <c r="L35" s="94"/>
      <c r="M35" s="94"/>
      <c r="N35" s="94"/>
      <c r="O35" s="94"/>
      <c r="P35" s="95"/>
      <c r="R35" s="199" t="s">
        <v>318</v>
      </c>
      <c r="S35" s="199"/>
      <c r="T35" s="199"/>
      <c r="U35" s="199"/>
      <c r="V35" s="199"/>
      <c r="W35" s="199"/>
      <c r="X35" s="199"/>
    </row>
    <row r="36" spans="2:24" x14ac:dyDescent="0.2">
      <c r="C36" s="335">
        <f>C35*C34</f>
        <v>429000</v>
      </c>
      <c r="D36" s="335">
        <f t="shared" ref="D36:E36" si="10">D35*D34</f>
        <v>676000</v>
      </c>
      <c r="E36" s="335">
        <f t="shared" si="10"/>
        <v>663000</v>
      </c>
      <c r="F36" s="335">
        <f>AVERAGE(C34:E34)</f>
        <v>1776666.6666666667</v>
      </c>
      <c r="I36" s="88" t="s">
        <v>126</v>
      </c>
      <c r="J36" s="85"/>
      <c r="K36" s="85"/>
      <c r="L36" s="85"/>
      <c r="M36" s="85"/>
      <c r="N36" s="85"/>
      <c r="O36" s="85"/>
      <c r="P36" s="86"/>
    </row>
    <row r="37" spans="2:24" x14ac:dyDescent="0.2">
      <c r="B37" s="2" t="s">
        <v>94</v>
      </c>
      <c r="C37" s="16"/>
      <c r="D37" s="17"/>
      <c r="E37" s="16"/>
      <c r="F37" s="16"/>
      <c r="G37" s="16"/>
      <c r="I37" s="84"/>
      <c r="J37" s="85"/>
      <c r="K37" s="85"/>
      <c r="L37" s="85"/>
      <c r="M37" s="85"/>
      <c r="N37" s="85"/>
      <c r="O37" s="85"/>
      <c r="P37" s="86"/>
    </row>
    <row r="38" spans="2:24" x14ac:dyDescent="0.2">
      <c r="C38" s="4" t="s">
        <v>90</v>
      </c>
      <c r="D38" s="4" t="s">
        <v>91</v>
      </c>
      <c r="E38" s="4" t="s">
        <v>95</v>
      </c>
      <c r="H38" s="16"/>
      <c r="I38" s="93" t="s">
        <v>127</v>
      </c>
      <c r="J38" s="94"/>
      <c r="K38" s="94"/>
      <c r="L38" s="94"/>
      <c r="M38" s="94"/>
      <c r="N38" s="94"/>
      <c r="O38" s="94"/>
      <c r="P38" s="95"/>
      <c r="S38" s="390" t="s">
        <v>71</v>
      </c>
      <c r="T38" s="390"/>
      <c r="U38" s="390"/>
      <c r="V38" s="390"/>
      <c r="W38" s="390"/>
      <c r="X38" s="390"/>
    </row>
    <row r="39" spans="2:24" x14ac:dyDescent="0.2">
      <c r="B39" s="5" t="s">
        <v>65</v>
      </c>
      <c r="C39" s="18">
        <v>75000</v>
      </c>
      <c r="D39" s="18">
        <v>80000</v>
      </c>
      <c r="E39" s="19">
        <v>85000</v>
      </c>
      <c r="H39" s="16"/>
      <c r="I39" s="88" t="s">
        <v>128</v>
      </c>
      <c r="J39" s="85"/>
      <c r="K39" s="85"/>
      <c r="L39" s="85"/>
      <c r="M39" s="85"/>
      <c r="N39" s="85"/>
      <c r="O39" s="85"/>
      <c r="P39" s="86"/>
      <c r="R39" s="399">
        <f ca="1">S7</f>
        <v>18536971.609521434</v>
      </c>
      <c r="S39" s="505">
        <v>0.25</v>
      </c>
      <c r="T39" s="506">
        <v>0.26</v>
      </c>
      <c r="U39" s="505">
        <v>0.27</v>
      </c>
      <c r="V39" s="506">
        <v>0.28000000000000003</v>
      </c>
      <c r="W39" s="505">
        <v>0.28999999999999998</v>
      </c>
      <c r="X39" s="506">
        <v>0.3</v>
      </c>
    </row>
    <row r="40" spans="2:24" x14ac:dyDescent="0.2">
      <c r="B40" s="8" t="s">
        <v>64</v>
      </c>
      <c r="C40" s="20">
        <v>0.1</v>
      </c>
      <c r="D40" s="20">
        <v>0.1</v>
      </c>
      <c r="E40" s="21">
        <v>0.1</v>
      </c>
      <c r="H40" s="16"/>
      <c r="I40" s="84" t="s">
        <v>129</v>
      </c>
      <c r="J40" s="85"/>
      <c r="K40" s="85"/>
      <c r="L40" s="85"/>
      <c r="M40" s="85"/>
      <c r="N40" s="85"/>
      <c r="O40" s="85"/>
      <c r="P40" s="86"/>
      <c r="Q40" s="507" t="s">
        <v>42</v>
      </c>
      <c r="R40" s="406">
        <v>100000</v>
      </c>
      <c r="S40" s="406">
        <f t="dataTable" ref="S40:X46" dt2D="1" dtr="1" r1="E50" r2="E57" ca="1"/>
        <v>23257409.029654164</v>
      </c>
      <c r="T40" s="407">
        <v>18536971.609521434</v>
      </c>
      <c r="U40" s="407">
        <v>13816534.189388692</v>
      </c>
      <c r="V40" s="407">
        <v>9096096.7692559883</v>
      </c>
      <c r="W40" s="407">
        <v>4375659.3491232917</v>
      </c>
      <c r="X40" s="408">
        <v>-344778.0710094329</v>
      </c>
    </row>
    <row r="41" spans="2:24" x14ac:dyDescent="0.2">
      <c r="B41" s="8" t="s">
        <v>66</v>
      </c>
      <c r="C41" s="22">
        <f>C39*(1+C40)</f>
        <v>82500</v>
      </c>
      <c r="D41" s="22">
        <f>D39*(1+D40)</f>
        <v>88000</v>
      </c>
      <c r="E41" s="23">
        <f>E39*(1+E40)</f>
        <v>93500.000000000015</v>
      </c>
      <c r="H41" s="16"/>
      <c r="I41" s="84" t="s">
        <v>130</v>
      </c>
      <c r="J41" s="85"/>
      <c r="K41" s="85"/>
      <c r="L41" s="85"/>
      <c r="M41" s="85"/>
      <c r="N41" s="85"/>
      <c r="O41" s="85"/>
      <c r="P41" s="86"/>
      <c r="Q41" s="507"/>
      <c r="R41" s="409">
        <v>110000</v>
      </c>
      <c r="S41" s="409">
        <v>20579685.82396156</v>
      </c>
      <c r="T41" s="410">
        <v>15859248.40382883</v>
      </c>
      <c r="U41" s="410">
        <v>11138810.983696088</v>
      </c>
      <c r="V41" s="410">
        <v>6418373.5635633823</v>
      </c>
      <c r="W41" s="410">
        <v>1697936.1434306875</v>
      </c>
      <c r="X41" s="411">
        <v>-3022501.276702038</v>
      </c>
    </row>
    <row r="42" spans="2:24" ht="12.75" x14ac:dyDescent="0.2">
      <c r="B42" s="8" t="s">
        <v>67</v>
      </c>
      <c r="C42" s="9">
        <v>650</v>
      </c>
      <c r="D42" s="24">
        <v>640</v>
      </c>
      <c r="E42" s="25">
        <v>630</v>
      </c>
      <c r="I42" s="84" t="s">
        <v>131</v>
      </c>
      <c r="J42" s="85"/>
      <c r="K42" s="85"/>
      <c r="L42" s="85"/>
      <c r="M42" s="85"/>
      <c r="N42" s="85"/>
      <c r="O42" s="87"/>
      <c r="P42" s="86"/>
      <c r="Q42" s="507"/>
      <c r="R42" s="409">
        <v>120000</v>
      </c>
      <c r="S42" s="409">
        <v>17901962.618268955</v>
      </c>
      <c r="T42" s="410">
        <v>13181525.198136222</v>
      </c>
      <c r="U42" s="410">
        <v>8461087.778003484</v>
      </c>
      <c r="V42" s="410">
        <v>3740650.3578707762</v>
      </c>
      <c r="W42" s="410">
        <v>-979787.06226191763</v>
      </c>
      <c r="X42" s="411">
        <v>-5700224.4823946431</v>
      </c>
    </row>
    <row r="43" spans="2:24" ht="12.75" x14ac:dyDescent="0.3">
      <c r="B43" s="8" t="s">
        <v>68</v>
      </c>
      <c r="C43" s="26">
        <v>12</v>
      </c>
      <c r="D43" s="27">
        <v>12.2</v>
      </c>
      <c r="E43" s="28">
        <v>12.4</v>
      </c>
      <c r="I43" s="84" t="s">
        <v>132</v>
      </c>
      <c r="J43" s="78"/>
      <c r="K43" s="78"/>
      <c r="L43" s="78"/>
      <c r="M43" s="78"/>
      <c r="N43" s="78"/>
      <c r="O43" s="80"/>
      <c r="P43" s="79"/>
      <c r="Q43" s="507"/>
      <c r="R43" s="409">
        <v>130000</v>
      </c>
      <c r="S43" s="409">
        <v>15224239.412576348</v>
      </c>
      <c r="T43" s="410">
        <v>10503801.992443617</v>
      </c>
      <c r="U43" s="410">
        <v>5783364.572310878</v>
      </c>
      <c r="V43" s="410">
        <v>1062927.1521781702</v>
      </c>
      <c r="W43" s="410">
        <v>-3657510.2679545237</v>
      </c>
      <c r="X43" s="411">
        <v>-8377947.6880872492</v>
      </c>
    </row>
    <row r="44" spans="2:24" ht="12.75" x14ac:dyDescent="0.3">
      <c r="B44" s="8" t="s">
        <v>1</v>
      </c>
      <c r="C44" s="29">
        <v>7.6999999999999999E-2</v>
      </c>
      <c r="D44" s="29">
        <v>7.6999999999999999E-2</v>
      </c>
      <c r="E44" s="30">
        <v>7.6999999999999999E-2</v>
      </c>
      <c r="I44" s="77" t="s">
        <v>133</v>
      </c>
      <c r="J44" s="78"/>
      <c r="K44" s="78"/>
      <c r="L44" s="78"/>
      <c r="M44" s="78"/>
      <c r="N44" s="78"/>
      <c r="O44" s="80"/>
      <c r="P44" s="79"/>
      <c r="Q44" s="507"/>
      <c r="R44" s="409">
        <v>140000</v>
      </c>
      <c r="S44" s="409">
        <v>12546516.206883743</v>
      </c>
      <c r="T44" s="410">
        <v>7826078.7867510114</v>
      </c>
      <c r="U44" s="410">
        <v>3105641.3666182728</v>
      </c>
      <c r="V44" s="410">
        <v>-1614796.0535144359</v>
      </c>
      <c r="W44" s="410">
        <v>-6335233.4736471288</v>
      </c>
      <c r="X44" s="411">
        <v>-11055670.893779855</v>
      </c>
    </row>
    <row r="45" spans="2:24" x14ac:dyDescent="0.2">
      <c r="B45" s="8" t="s">
        <v>0</v>
      </c>
      <c r="C45" s="10">
        <v>23000</v>
      </c>
      <c r="D45" s="10">
        <v>23000</v>
      </c>
      <c r="E45" s="11">
        <v>23000</v>
      </c>
      <c r="I45" s="77" t="s">
        <v>134</v>
      </c>
      <c r="J45" s="78"/>
      <c r="K45" s="78"/>
      <c r="L45" s="78"/>
      <c r="M45" s="78"/>
      <c r="N45" s="78"/>
      <c r="O45" s="78"/>
      <c r="P45" s="79"/>
      <c r="Q45" s="507"/>
      <c r="R45" s="409">
        <v>150000</v>
      </c>
      <c r="S45" s="409">
        <v>9868793.0011911374</v>
      </c>
      <c r="T45" s="410">
        <v>5148355.5810584091</v>
      </c>
      <c r="U45" s="410">
        <v>427918.16092567053</v>
      </c>
      <c r="V45" s="410">
        <v>-4292519.259207041</v>
      </c>
      <c r="W45" s="410">
        <v>-9012956.679339733</v>
      </c>
      <c r="X45" s="411">
        <v>-13733394.099472459</v>
      </c>
    </row>
    <row r="46" spans="2:24" x14ac:dyDescent="0.2">
      <c r="B46" s="8" t="s">
        <v>2</v>
      </c>
      <c r="C46" s="29">
        <v>2.2499999999999999E-2</v>
      </c>
      <c r="D46" s="29">
        <v>2.2499999999999999E-2</v>
      </c>
      <c r="E46" s="30">
        <v>2.2499999999999999E-2</v>
      </c>
      <c r="I46" s="81"/>
      <c r="J46" s="82"/>
      <c r="K46" s="82"/>
      <c r="L46" s="82"/>
      <c r="M46" s="82"/>
      <c r="N46" s="82"/>
      <c r="O46" s="82"/>
      <c r="P46" s="83"/>
      <c r="Q46" s="507"/>
      <c r="R46" s="412">
        <v>160000</v>
      </c>
      <c r="S46" s="412">
        <v>7191069.7954985294</v>
      </c>
      <c r="T46" s="413">
        <v>2470632.3753658049</v>
      </c>
      <c r="U46" s="413">
        <v>-2249805.0447669351</v>
      </c>
      <c r="V46" s="413">
        <v>-6970242.4648996461</v>
      </c>
      <c r="W46" s="413">
        <v>-11690679.885032339</v>
      </c>
      <c r="X46" s="414">
        <v>-16411117.305165065</v>
      </c>
    </row>
    <row r="47" spans="2:24" x14ac:dyDescent="0.2">
      <c r="B47" s="8" t="s">
        <v>3</v>
      </c>
      <c r="C47" s="29">
        <v>2.2499999999999999E-2</v>
      </c>
      <c r="D47" s="29">
        <v>2.2499999999999999E-2</v>
      </c>
      <c r="E47" s="30">
        <v>2.2499999999999999E-2</v>
      </c>
      <c r="I47" s="93" t="s">
        <v>135</v>
      </c>
      <c r="J47" s="94"/>
      <c r="K47" s="94"/>
      <c r="L47" s="94"/>
      <c r="M47" s="94"/>
      <c r="N47" s="94"/>
      <c r="O47" s="94"/>
      <c r="P47" s="95"/>
      <c r="W47" s="390"/>
      <c r="X47" s="390"/>
    </row>
    <row r="48" spans="2:24" x14ac:dyDescent="0.2">
      <c r="B48" s="8" t="s">
        <v>16</v>
      </c>
      <c r="C48" s="29">
        <v>2.2499999999999999E-2</v>
      </c>
      <c r="D48" s="29">
        <v>2.2499999999999999E-2</v>
      </c>
      <c r="E48" s="30">
        <v>2.2499999999999999E-2</v>
      </c>
      <c r="I48" s="88" t="s">
        <v>136</v>
      </c>
      <c r="J48" s="85"/>
      <c r="K48" s="85"/>
      <c r="L48" s="85"/>
      <c r="M48" s="85"/>
      <c r="N48" s="85"/>
      <c r="O48" s="85"/>
      <c r="P48" s="86"/>
      <c r="S48" s="390" t="s">
        <v>92</v>
      </c>
      <c r="T48" s="390"/>
      <c r="W48" s="390" t="s">
        <v>92</v>
      </c>
      <c r="X48" s="390"/>
    </row>
    <row r="49" spans="2:27" x14ac:dyDescent="0.2">
      <c r="B49" s="8" t="s">
        <v>4</v>
      </c>
      <c r="C49" s="29">
        <v>4.4999999999999998E-2</v>
      </c>
      <c r="D49" s="29">
        <v>4.4999999999999998E-2</v>
      </c>
      <c r="E49" s="30">
        <v>4.4999999999999998E-2</v>
      </c>
      <c r="I49" s="84" t="s">
        <v>137</v>
      </c>
      <c r="J49" s="85"/>
      <c r="K49" s="85"/>
      <c r="L49" s="85"/>
      <c r="M49" s="85"/>
      <c r="N49" s="85"/>
      <c r="O49" s="85"/>
      <c r="P49" s="86"/>
      <c r="R49" s="399">
        <f ca="1">S7</f>
        <v>18536971.609521434</v>
      </c>
      <c r="S49" s="419">
        <v>1</v>
      </c>
      <c r="T49" s="420">
        <v>2</v>
      </c>
      <c r="V49" s="399">
        <f ca="1">S7</f>
        <v>18536971.609521434</v>
      </c>
      <c r="W49" s="419">
        <v>1</v>
      </c>
      <c r="X49" s="420">
        <v>2</v>
      </c>
    </row>
    <row r="50" spans="2:27" x14ac:dyDescent="0.2">
      <c r="B50" s="8" t="s">
        <v>71</v>
      </c>
      <c r="C50" s="29">
        <v>0.26</v>
      </c>
      <c r="D50" s="29">
        <v>0.26</v>
      </c>
      <c r="E50" s="30">
        <v>0.26</v>
      </c>
      <c r="I50" s="84" t="s">
        <v>138</v>
      </c>
      <c r="J50" s="85"/>
      <c r="K50" s="85"/>
      <c r="L50" s="85"/>
      <c r="M50" s="85"/>
      <c r="N50" s="85"/>
      <c r="O50" s="85"/>
      <c r="P50" s="86"/>
      <c r="Q50" s="507" t="s">
        <v>42</v>
      </c>
      <c r="R50" s="452">
        <v>100000</v>
      </c>
      <c r="S50" s="410">
        <f t="dataTable" ref="S50:T56" dt2D="1" dtr="1" r1="C2" r2="E57" ca="1"/>
        <v>18536971.609521434</v>
      </c>
      <c r="T50" s="411">
        <v>59145547.666684173</v>
      </c>
      <c r="U50" s="509" t="s">
        <v>71</v>
      </c>
      <c r="V50" s="438">
        <v>0.24</v>
      </c>
      <c r="W50" s="410">
        <f t="dataTable" ref="W50:X56" dt2D="1" dtr="1" r1="C2" r2="E50" ca="1"/>
        <v>27977846.449786872</v>
      </c>
      <c r="X50" s="411">
        <v>69819810.778472587</v>
      </c>
    </row>
    <row r="51" spans="2:27" ht="12.75" x14ac:dyDescent="0.2">
      <c r="B51" s="8" t="s">
        <v>72</v>
      </c>
      <c r="C51" s="29">
        <v>0.03</v>
      </c>
      <c r="D51" s="29">
        <v>0.03</v>
      </c>
      <c r="E51" s="30">
        <v>0.03</v>
      </c>
      <c r="I51" s="84" t="s">
        <v>139</v>
      </c>
      <c r="J51" s="85"/>
      <c r="K51" s="85"/>
      <c r="L51" s="85"/>
      <c r="M51" s="85"/>
      <c r="N51" s="85"/>
      <c r="O51" s="87"/>
      <c r="P51" s="86"/>
      <c r="Q51" s="507"/>
      <c r="R51" s="451">
        <v>110000</v>
      </c>
      <c r="S51" s="410">
        <v>15859248.40382883</v>
      </c>
      <c r="T51" s="411">
        <v>56467824.460991569</v>
      </c>
      <c r="U51" s="509"/>
      <c r="V51" s="438">
        <v>0.25</v>
      </c>
      <c r="W51" s="410">
        <v>23257409.029654164</v>
      </c>
      <c r="X51" s="411">
        <v>64482679.222578391</v>
      </c>
    </row>
    <row r="52" spans="2:27" ht="12.75" x14ac:dyDescent="0.3">
      <c r="B52" s="8" t="s">
        <v>73</v>
      </c>
      <c r="C52" s="29">
        <v>1.4999999999999999E-2</v>
      </c>
      <c r="D52" s="29">
        <v>1.4999999999999999E-2</v>
      </c>
      <c r="E52" s="30">
        <v>1.4999999999999999E-2</v>
      </c>
      <c r="I52" s="84" t="s">
        <v>140</v>
      </c>
      <c r="J52" s="78"/>
      <c r="K52" s="78"/>
      <c r="L52" s="78"/>
      <c r="M52" s="78"/>
      <c r="N52" s="78"/>
      <c r="O52" s="80"/>
      <c r="P52" s="79"/>
      <c r="Q52" s="507"/>
      <c r="R52" s="451">
        <v>120000</v>
      </c>
      <c r="S52" s="410">
        <v>13181525.198136222</v>
      </c>
      <c r="T52" s="411">
        <v>53790101.255298972</v>
      </c>
      <c r="U52" s="509"/>
      <c r="V52" s="438">
        <v>0.26</v>
      </c>
      <c r="W52" s="410">
        <v>18536971.609521434</v>
      </c>
      <c r="X52" s="411">
        <v>59145547.666684173</v>
      </c>
      <c r="AA52" s="1">
        <f>(X56-X52)/X52</f>
        <v>-0.45118624870731566</v>
      </c>
    </row>
    <row r="53" spans="2:27" ht="12.75" x14ac:dyDescent="0.3">
      <c r="B53" s="8" t="s">
        <v>74</v>
      </c>
      <c r="C53" s="29">
        <v>0.02</v>
      </c>
      <c r="D53" s="29">
        <v>0.02</v>
      </c>
      <c r="E53" s="30">
        <v>0.02</v>
      </c>
      <c r="I53" s="77" t="s">
        <v>141</v>
      </c>
      <c r="J53" s="78"/>
      <c r="K53" s="78"/>
      <c r="L53" s="78"/>
      <c r="M53" s="78"/>
      <c r="N53" s="78"/>
      <c r="O53" s="80"/>
      <c r="P53" s="79"/>
      <c r="Q53" s="507"/>
      <c r="R53" s="451">
        <v>130000</v>
      </c>
      <c r="S53" s="410">
        <v>10503801.992443617</v>
      </c>
      <c r="T53" s="411">
        <v>51112378.049606368</v>
      </c>
      <c r="U53" s="509"/>
      <c r="V53" s="438">
        <v>0.27</v>
      </c>
      <c r="W53" s="410">
        <v>13816534.189388692</v>
      </c>
      <c r="X53" s="411">
        <v>53808416.110789999</v>
      </c>
    </row>
    <row r="54" spans="2:27" x14ac:dyDescent="0.2">
      <c r="B54" s="8" t="s">
        <v>75</v>
      </c>
      <c r="C54" s="29">
        <v>7.0000000000000001E-3</v>
      </c>
      <c r="D54" s="29">
        <v>7.0000000000000001E-3</v>
      </c>
      <c r="E54" s="30">
        <v>7.0000000000000001E-3</v>
      </c>
      <c r="H54" s="16"/>
      <c r="I54" s="81"/>
      <c r="J54" s="82"/>
      <c r="K54" s="82"/>
      <c r="L54" s="82"/>
      <c r="M54" s="82"/>
      <c r="N54" s="82"/>
      <c r="O54" s="82"/>
      <c r="P54" s="83"/>
      <c r="Q54" s="507"/>
      <c r="R54" s="451">
        <v>140000</v>
      </c>
      <c r="S54" s="410">
        <v>7826078.7867510114</v>
      </c>
      <c r="T54" s="411">
        <v>48434654.843913764</v>
      </c>
      <c r="U54" s="509"/>
      <c r="V54" s="438">
        <v>0.28000000000000003</v>
      </c>
      <c r="W54" s="410">
        <v>9096096.7692559883</v>
      </c>
      <c r="X54" s="411">
        <v>48471284.554895818</v>
      </c>
    </row>
    <row r="55" spans="2:27" x14ac:dyDescent="0.2">
      <c r="B55" s="8" t="s">
        <v>76</v>
      </c>
      <c r="C55" s="10">
        <v>16000</v>
      </c>
      <c r="D55" s="10">
        <v>16000</v>
      </c>
      <c r="E55" s="11">
        <v>16000</v>
      </c>
      <c r="H55" s="16"/>
      <c r="I55" s="93" t="s">
        <v>143</v>
      </c>
      <c r="J55" s="94"/>
      <c r="K55" s="94"/>
      <c r="L55" s="94"/>
      <c r="M55" s="94"/>
      <c r="N55" s="94"/>
      <c r="O55" s="94"/>
      <c r="P55" s="95"/>
      <c r="Q55" s="507"/>
      <c r="R55" s="451">
        <v>150000</v>
      </c>
      <c r="S55" s="410">
        <v>5148355.5810584091</v>
      </c>
      <c r="T55" s="411">
        <v>45756931.638221152</v>
      </c>
      <c r="U55" s="509"/>
      <c r="V55" s="438">
        <v>0.3</v>
      </c>
      <c r="W55" s="410">
        <v>-344778.0710094329</v>
      </c>
      <c r="X55" s="411">
        <v>37797021.443107434</v>
      </c>
    </row>
    <row r="56" spans="2:27" x14ac:dyDescent="0.2">
      <c r="B56" s="8" t="s">
        <v>43</v>
      </c>
      <c r="C56" s="10">
        <v>83000</v>
      </c>
      <c r="D56" s="10">
        <v>83000</v>
      </c>
      <c r="E56" s="11">
        <v>83000</v>
      </c>
      <c r="H56" s="16"/>
      <c r="I56" s="88" t="s">
        <v>144</v>
      </c>
      <c r="J56" s="85"/>
      <c r="K56" s="85"/>
      <c r="L56" s="85"/>
      <c r="M56" s="85"/>
      <c r="N56" s="85"/>
      <c r="O56" s="85"/>
      <c r="P56" s="86"/>
      <c r="Q56" s="507"/>
      <c r="R56" s="453">
        <v>160000</v>
      </c>
      <c r="S56" s="413">
        <v>2470632.3753658049</v>
      </c>
      <c r="T56" s="414">
        <v>43079208.432528548</v>
      </c>
      <c r="U56" s="509"/>
      <c r="V56" s="439">
        <v>0.31</v>
      </c>
      <c r="W56" s="413">
        <v>-5065215.4911421724</v>
      </c>
      <c r="X56" s="414">
        <v>32459889.887213215</v>
      </c>
    </row>
    <row r="57" spans="2:27" x14ac:dyDescent="0.2">
      <c r="B57" s="8" t="s">
        <v>42</v>
      </c>
      <c r="C57" s="10">
        <v>100000</v>
      </c>
      <c r="D57" s="10">
        <v>100000</v>
      </c>
      <c r="E57" s="11">
        <v>100000</v>
      </c>
      <c r="H57" s="16"/>
      <c r="I57" s="84" t="s">
        <v>145</v>
      </c>
      <c r="J57" s="85"/>
      <c r="K57" s="85"/>
      <c r="L57" s="85"/>
      <c r="M57" s="85"/>
      <c r="N57" s="85"/>
      <c r="O57" s="85"/>
      <c r="P57" s="86"/>
    </row>
    <row r="58" spans="2:27" x14ac:dyDescent="0.2">
      <c r="B58" s="13" t="s">
        <v>77</v>
      </c>
      <c r="C58" s="31">
        <v>30000</v>
      </c>
      <c r="D58" s="31">
        <v>30000</v>
      </c>
      <c r="E58" s="32">
        <v>30000</v>
      </c>
      <c r="H58" s="16"/>
      <c r="I58" s="84" t="s">
        <v>146</v>
      </c>
      <c r="J58" s="85"/>
      <c r="K58" s="85"/>
      <c r="L58" s="85"/>
      <c r="M58" s="85"/>
      <c r="N58" s="85"/>
      <c r="O58" s="85"/>
      <c r="P58" s="86"/>
      <c r="S58" s="390" t="s">
        <v>92</v>
      </c>
      <c r="T58" s="390"/>
    </row>
    <row r="59" spans="2:27" x14ac:dyDescent="0.2">
      <c r="H59" s="16"/>
      <c r="I59" s="81"/>
      <c r="J59" s="82"/>
      <c r="K59" s="82"/>
      <c r="L59" s="82"/>
      <c r="M59" s="82"/>
      <c r="N59" s="82"/>
      <c r="O59" s="82"/>
      <c r="P59" s="83"/>
      <c r="R59" s="405">
        <f ca="1">S5</f>
        <v>0.48828126092616775</v>
      </c>
      <c r="S59" s="419">
        <v>1</v>
      </c>
      <c r="T59" s="420">
        <v>2</v>
      </c>
    </row>
    <row r="60" spans="2:27" x14ac:dyDescent="0.2">
      <c r="B60" s="33" t="s">
        <v>66</v>
      </c>
      <c r="C60" s="34" t="s">
        <v>80</v>
      </c>
      <c r="I60" s="455" t="s">
        <v>165</v>
      </c>
      <c r="J60" s="456"/>
      <c r="K60" s="456"/>
      <c r="L60" s="456"/>
      <c r="M60" s="456"/>
      <c r="N60" s="456"/>
      <c r="O60" s="456"/>
      <c r="P60" s="457"/>
      <c r="Q60" s="507" t="s">
        <v>71</v>
      </c>
      <c r="R60" s="440">
        <v>0.24</v>
      </c>
      <c r="S60" s="441">
        <f t="dataTable" ref="S60:T66" dt2D="1" dtr="1" r1="C2" r2="E50" ca="1"/>
        <v>0.59119041931151983</v>
      </c>
      <c r="T60" s="443">
        <v>0.87292827752536595</v>
      </c>
    </row>
    <row r="61" spans="2:27" x14ac:dyDescent="0.2">
      <c r="B61" s="33" t="s">
        <v>69</v>
      </c>
      <c r="C61" s="34" t="s">
        <v>80</v>
      </c>
      <c r="I61" s="454" t="s">
        <v>176</v>
      </c>
      <c r="J61" s="85"/>
      <c r="K61" s="85"/>
      <c r="L61" s="85"/>
      <c r="M61" s="85"/>
      <c r="N61" s="85"/>
      <c r="O61" s="85"/>
      <c r="P61" s="85"/>
      <c r="Q61" s="507"/>
      <c r="R61" s="438">
        <v>0.25</v>
      </c>
      <c r="S61" s="444">
        <v>0.54316148085172866</v>
      </c>
      <c r="T61" s="446">
        <v>0.84550389390153446</v>
      </c>
    </row>
    <row r="62" spans="2:27" x14ac:dyDescent="0.2">
      <c r="B62" s="33" t="s">
        <v>1</v>
      </c>
      <c r="C62" s="34" t="s">
        <v>80</v>
      </c>
      <c r="I62" s="85"/>
      <c r="J62" s="85"/>
      <c r="K62" s="85"/>
      <c r="L62" s="85"/>
      <c r="M62" s="85"/>
      <c r="N62" s="85"/>
      <c r="O62" s="85"/>
      <c r="P62" s="85"/>
      <c r="Q62" s="507"/>
      <c r="R62" s="438">
        <v>0.26</v>
      </c>
      <c r="S62" s="444">
        <v>0.48828126092616775</v>
      </c>
      <c r="T62" s="446">
        <v>0.81634529254562671</v>
      </c>
    </row>
    <row r="63" spans="2:27" x14ac:dyDescent="0.2">
      <c r="B63" s="33" t="s">
        <v>0</v>
      </c>
      <c r="C63" s="34" t="s">
        <v>79</v>
      </c>
      <c r="I63" s="458" t="s">
        <v>147</v>
      </c>
      <c r="J63" s="459"/>
      <c r="K63" s="459"/>
      <c r="L63" s="459"/>
      <c r="M63" s="459"/>
      <c r="N63" s="459"/>
      <c r="O63" s="459"/>
      <c r="P63" s="459"/>
      <c r="Q63" s="507"/>
      <c r="R63" s="438">
        <v>0.27</v>
      </c>
      <c r="S63" s="444">
        <v>0.4238609630951915</v>
      </c>
      <c r="T63" s="446">
        <v>0.78518435022092437</v>
      </c>
    </row>
    <row r="64" spans="2:27" x14ac:dyDescent="0.2">
      <c r="B64" s="33" t="s">
        <v>2</v>
      </c>
      <c r="C64" s="34" t="s">
        <v>80</v>
      </c>
      <c r="I64" s="454" t="s">
        <v>174</v>
      </c>
      <c r="J64" s="85"/>
      <c r="K64" s="85"/>
      <c r="L64" s="85"/>
      <c r="M64" s="85"/>
      <c r="N64" s="85"/>
      <c r="O64" s="85"/>
      <c r="P64" s="85"/>
      <c r="Q64" s="507"/>
      <c r="R64" s="438">
        <v>0.28000000000000003</v>
      </c>
      <c r="S64" s="444">
        <v>0.34509646901214786</v>
      </c>
      <c r="T64" s="446">
        <v>0.7516823385437843</v>
      </c>
    </row>
    <row r="65" spans="2:20" x14ac:dyDescent="0.2">
      <c r="B65" s="33" t="s">
        <v>3</v>
      </c>
      <c r="C65" s="34" t="s">
        <v>80</v>
      </c>
      <c r="I65" s="85" t="s">
        <v>169</v>
      </c>
      <c r="J65" s="85"/>
      <c r="K65" s="85"/>
      <c r="L65" s="85"/>
      <c r="M65" s="85"/>
      <c r="N65" s="85"/>
      <c r="O65" s="85"/>
      <c r="P65" s="85"/>
      <c r="Q65" s="507"/>
      <c r="R65" s="438">
        <v>0.3</v>
      </c>
      <c r="S65" s="444">
        <v>8.5144245473989244E-2</v>
      </c>
      <c r="T65" s="446">
        <v>0.67576433423497106</v>
      </c>
    </row>
    <row r="66" spans="2:20" x14ac:dyDescent="0.2">
      <c r="B66" s="33" t="s">
        <v>16</v>
      </c>
      <c r="C66" s="34" t="s">
        <v>80</v>
      </c>
      <c r="I66" s="85"/>
      <c r="J66" s="85"/>
      <c r="K66" s="85"/>
      <c r="L66" s="85"/>
      <c r="M66" s="85"/>
      <c r="N66" s="85"/>
      <c r="O66" s="85"/>
      <c r="P66" s="85"/>
      <c r="Q66" s="507"/>
      <c r="R66" s="439">
        <v>0.31</v>
      </c>
      <c r="S66" s="349">
        <v>-0.43935505435325606</v>
      </c>
      <c r="T66" s="449">
        <v>0.63197734898010283</v>
      </c>
    </row>
    <row r="67" spans="2:20" x14ac:dyDescent="0.2">
      <c r="B67" s="33" t="s">
        <v>4</v>
      </c>
      <c r="C67" s="34" t="s">
        <v>80</v>
      </c>
      <c r="I67" s="458" t="s">
        <v>168</v>
      </c>
      <c r="J67" s="459"/>
      <c r="K67" s="459"/>
      <c r="L67" s="459"/>
      <c r="M67" s="459"/>
      <c r="N67" s="459"/>
      <c r="O67" s="459"/>
      <c r="P67" s="459"/>
    </row>
    <row r="68" spans="2:20" x14ac:dyDescent="0.2">
      <c r="B68" s="33" t="s">
        <v>71</v>
      </c>
      <c r="C68" s="34" t="s">
        <v>80</v>
      </c>
      <c r="I68" s="88" t="s">
        <v>175</v>
      </c>
      <c r="J68" s="85"/>
      <c r="K68" s="85"/>
      <c r="L68" s="85"/>
      <c r="M68" s="85"/>
      <c r="N68" s="85"/>
      <c r="O68" s="85"/>
      <c r="P68" s="86"/>
      <c r="S68" s="390" t="s">
        <v>92</v>
      </c>
      <c r="T68" s="390"/>
    </row>
    <row r="69" spans="2:20" x14ac:dyDescent="0.2">
      <c r="B69" s="33" t="s">
        <v>72</v>
      </c>
      <c r="C69" s="34" t="s">
        <v>80</v>
      </c>
      <c r="I69" s="84" t="s">
        <v>170</v>
      </c>
      <c r="J69" s="85"/>
      <c r="K69" s="85"/>
      <c r="L69" s="85"/>
      <c r="M69" s="85"/>
      <c r="N69" s="85"/>
      <c r="O69" s="85"/>
      <c r="P69" s="86"/>
      <c r="R69" s="399">
        <f ca="1">S7</f>
        <v>18536971.609521434</v>
      </c>
      <c r="S69" s="419">
        <v>1</v>
      </c>
      <c r="T69" s="420">
        <v>2</v>
      </c>
    </row>
    <row r="70" spans="2:20" x14ac:dyDescent="0.2">
      <c r="B70" s="33" t="s">
        <v>73</v>
      </c>
      <c r="C70" s="34" t="s">
        <v>80</v>
      </c>
      <c r="I70" s="84" t="s">
        <v>171</v>
      </c>
      <c r="J70" s="85"/>
      <c r="K70" s="85"/>
      <c r="L70" s="85"/>
      <c r="M70" s="85"/>
      <c r="N70" s="85"/>
      <c r="O70" s="85"/>
      <c r="P70" s="85"/>
      <c r="Q70" s="507" t="s">
        <v>332</v>
      </c>
      <c r="R70" s="482">
        <v>12.4</v>
      </c>
      <c r="S70" s="406">
        <f t="dataTable" ref="S70:T76" dt2D="1" dtr="1" r1="C2" r2="E43" ca="1"/>
        <v>18536971.609521434</v>
      </c>
      <c r="T70" s="408">
        <v>59145547.666684173</v>
      </c>
    </row>
    <row r="71" spans="2:20" x14ac:dyDescent="0.2">
      <c r="B71" s="33" t="s">
        <v>74</v>
      </c>
      <c r="C71" s="34" t="s">
        <v>80</v>
      </c>
      <c r="I71" s="81"/>
      <c r="J71" s="82"/>
      <c r="K71" s="82"/>
      <c r="L71" s="82"/>
      <c r="M71" s="82"/>
      <c r="N71" s="82"/>
      <c r="O71" s="82"/>
      <c r="P71" s="82"/>
      <c r="Q71" s="507"/>
      <c r="R71" s="462">
        <v>12.9</v>
      </c>
      <c r="S71" s="409">
        <v>12911309.270147171</v>
      </c>
      <c r="T71" s="411">
        <v>53519885.327309906</v>
      </c>
    </row>
    <row r="72" spans="2:20" x14ac:dyDescent="0.2">
      <c r="B72" s="33" t="s">
        <v>75</v>
      </c>
      <c r="C72" s="34" t="s">
        <v>80</v>
      </c>
      <c r="I72" s="84" t="s">
        <v>177</v>
      </c>
      <c r="J72" s="85"/>
      <c r="K72" s="85"/>
      <c r="L72" s="85"/>
      <c r="M72" s="85"/>
      <c r="N72" s="85"/>
      <c r="O72" s="85"/>
      <c r="P72" s="85"/>
      <c r="Q72" s="507"/>
      <c r="R72" s="462">
        <v>13.4</v>
      </c>
      <c r="S72" s="409">
        <v>7285646.9307729285</v>
      </c>
      <c r="T72" s="411">
        <v>47894222.987935655</v>
      </c>
    </row>
    <row r="73" spans="2:20" x14ac:dyDescent="0.2">
      <c r="B73" s="33" t="s">
        <v>76</v>
      </c>
      <c r="C73" s="34" t="s">
        <v>79</v>
      </c>
      <c r="I73" s="93" t="s">
        <v>180</v>
      </c>
      <c r="J73" s="94"/>
      <c r="K73" s="94"/>
      <c r="L73" s="94"/>
      <c r="M73" s="94"/>
      <c r="N73" s="94"/>
      <c r="O73" s="94"/>
      <c r="P73" s="94"/>
      <c r="Q73" s="507"/>
      <c r="R73" s="462">
        <v>13.9</v>
      </c>
      <c r="S73" s="409">
        <v>1659984.5913986526</v>
      </c>
      <c r="T73" s="411">
        <v>42268560.648561358</v>
      </c>
    </row>
    <row r="74" spans="2:20" x14ac:dyDescent="0.2">
      <c r="B74" s="33" t="s">
        <v>43</v>
      </c>
      <c r="C74" s="34" t="s">
        <v>79</v>
      </c>
      <c r="I74" s="84" t="s">
        <v>178</v>
      </c>
      <c r="J74" s="85"/>
      <c r="K74" s="85"/>
      <c r="L74" s="85"/>
      <c r="M74" s="85"/>
      <c r="N74" s="85"/>
      <c r="O74" s="85"/>
      <c r="P74" s="85"/>
      <c r="Q74" s="507"/>
      <c r="R74" s="462">
        <v>14.4</v>
      </c>
      <c r="S74" s="409">
        <v>-3965677.7479756088</v>
      </c>
      <c r="T74" s="411">
        <v>36642898.309187137</v>
      </c>
    </row>
    <row r="75" spans="2:20" x14ac:dyDescent="0.2">
      <c r="B75" s="33" t="s">
        <v>42</v>
      </c>
      <c r="C75" s="34" t="s">
        <v>79</v>
      </c>
      <c r="I75" s="84" t="s">
        <v>179</v>
      </c>
      <c r="J75" s="85"/>
      <c r="K75" s="85"/>
      <c r="L75" s="85"/>
      <c r="M75" s="85"/>
      <c r="N75" s="85"/>
      <c r="O75" s="85"/>
      <c r="P75" s="85"/>
      <c r="Q75" s="507"/>
      <c r="R75" s="462">
        <v>14.9</v>
      </c>
      <c r="S75" s="409">
        <v>-9591340.0873498786</v>
      </c>
      <c r="T75" s="411">
        <v>31017235.96981284</v>
      </c>
    </row>
    <row r="76" spans="2:20" x14ac:dyDescent="0.2">
      <c r="B76" s="33" t="s">
        <v>77</v>
      </c>
      <c r="C76" s="34" t="s">
        <v>79</v>
      </c>
      <c r="I76" s="84" t="s">
        <v>181</v>
      </c>
      <c r="J76" s="85"/>
      <c r="K76" s="85"/>
      <c r="L76" s="85"/>
      <c r="M76" s="85"/>
      <c r="N76" s="85"/>
      <c r="O76" s="85"/>
      <c r="P76" s="85"/>
      <c r="Q76" s="507"/>
      <c r="R76" s="450">
        <v>15.4</v>
      </c>
      <c r="S76" s="412">
        <v>-15217002.426724186</v>
      </c>
      <c r="T76" s="414">
        <v>25391573.630438555</v>
      </c>
    </row>
    <row r="77" spans="2:20" x14ac:dyDescent="0.2">
      <c r="I77" s="93" t="s">
        <v>182</v>
      </c>
      <c r="J77" s="94"/>
      <c r="K77" s="94"/>
      <c r="L77" s="94"/>
      <c r="M77" s="94"/>
      <c r="N77" s="94"/>
      <c r="O77" s="94"/>
      <c r="P77" s="95"/>
    </row>
    <row r="78" spans="2:20" x14ac:dyDescent="0.2">
      <c r="B78" s="2" t="s">
        <v>172</v>
      </c>
      <c r="I78" s="84" t="s">
        <v>183</v>
      </c>
      <c r="J78" s="85"/>
      <c r="K78" s="85"/>
      <c r="L78" s="85"/>
      <c r="M78" s="85"/>
      <c r="N78" s="85"/>
      <c r="O78" s="85"/>
      <c r="P78" s="86"/>
    </row>
    <row r="79" spans="2:20" x14ac:dyDescent="0.2">
      <c r="B79" s="104"/>
      <c r="C79" s="126" t="s">
        <v>70</v>
      </c>
      <c r="D79" s="105" t="s">
        <v>167</v>
      </c>
      <c r="I79" s="84" t="s">
        <v>184</v>
      </c>
      <c r="J79" s="85"/>
      <c r="K79" s="85"/>
      <c r="L79" s="85"/>
      <c r="M79" s="85"/>
      <c r="N79" s="85"/>
      <c r="O79" s="85"/>
      <c r="P79" s="86"/>
    </row>
    <row r="80" spans="2:20" x14ac:dyDescent="0.2">
      <c r="B80" s="106" t="s">
        <v>148</v>
      </c>
      <c r="C80" s="107"/>
      <c r="D80" s="108">
        <v>10000000</v>
      </c>
      <c r="I80" s="84" t="s">
        <v>185</v>
      </c>
      <c r="J80" s="85"/>
      <c r="K80" s="85"/>
      <c r="L80" s="85"/>
      <c r="M80" s="85"/>
      <c r="N80" s="85"/>
      <c r="O80" s="85"/>
      <c r="P80" s="86"/>
    </row>
    <row r="81" spans="2:25" x14ac:dyDescent="0.2">
      <c r="B81" s="106" t="s">
        <v>149</v>
      </c>
      <c r="C81" s="109">
        <v>0.5</v>
      </c>
      <c r="D81" s="110">
        <v>1391767</v>
      </c>
      <c r="I81" s="84" t="s">
        <v>186</v>
      </c>
      <c r="J81" s="85"/>
      <c r="K81" s="85"/>
      <c r="L81" s="85"/>
      <c r="M81" s="85"/>
      <c r="N81" s="85"/>
      <c r="O81" s="85"/>
      <c r="P81" s="85"/>
      <c r="S81" s="390" t="s">
        <v>71</v>
      </c>
      <c r="T81" s="390"/>
      <c r="U81" s="390"/>
      <c r="V81" s="390"/>
      <c r="W81" s="390"/>
    </row>
    <row r="82" spans="2:25" x14ac:dyDescent="0.2">
      <c r="B82" s="106" t="s">
        <v>150</v>
      </c>
      <c r="C82" s="100">
        <v>0.05</v>
      </c>
      <c r="D82" s="110">
        <v>139176.70000000001</v>
      </c>
      <c r="I82" s="84" t="s">
        <v>187</v>
      </c>
      <c r="J82" s="85"/>
      <c r="K82" s="85"/>
      <c r="L82" s="85"/>
      <c r="M82" s="85"/>
      <c r="N82" s="85"/>
      <c r="O82" s="85"/>
      <c r="P82" s="85"/>
      <c r="R82" s="399">
        <f ca="1">S7</f>
        <v>18536971.609521434</v>
      </c>
      <c r="S82" s="419">
        <v>0.26</v>
      </c>
      <c r="T82" s="419">
        <v>0.28000000000000003</v>
      </c>
      <c r="U82" s="419">
        <v>0.3</v>
      </c>
      <c r="V82" s="419">
        <v>0.32</v>
      </c>
      <c r="W82" s="420">
        <v>0.34</v>
      </c>
    </row>
    <row r="83" spans="2:25" x14ac:dyDescent="0.2">
      <c r="B83" s="106" t="s">
        <v>151</v>
      </c>
      <c r="C83" s="101">
        <v>5.0000000000000001E-3</v>
      </c>
      <c r="D83" s="110">
        <v>13917.67</v>
      </c>
      <c r="I83" s="84" t="s">
        <v>188</v>
      </c>
      <c r="J83" s="85"/>
      <c r="K83" s="85"/>
      <c r="L83" s="85"/>
      <c r="M83" s="85"/>
      <c r="N83" s="85"/>
      <c r="O83" s="85"/>
      <c r="P83" s="85"/>
      <c r="Q83" s="507" t="s">
        <v>332</v>
      </c>
      <c r="R83" s="462">
        <v>12.4</v>
      </c>
      <c r="S83" s="406">
        <f t="dataTable" ref="S83:W89" dt2D="1" dtr="1" r1="E50" r2="E43" ca="1"/>
        <v>18536971.609521434</v>
      </c>
      <c r="T83" s="407">
        <v>9096096.7692559883</v>
      </c>
      <c r="U83" s="407">
        <v>-344778.0710094329</v>
      </c>
      <c r="V83" s="407">
        <v>-9785652.9112748951</v>
      </c>
      <c r="W83" s="408">
        <v>-19226527.751540355</v>
      </c>
    </row>
    <row r="84" spans="2:25" x14ac:dyDescent="0.2">
      <c r="B84" s="111" t="s">
        <v>152</v>
      </c>
      <c r="C84" s="102"/>
      <c r="D84" s="112">
        <v>11544861.369999999</v>
      </c>
      <c r="I84" s="84" t="s">
        <v>189</v>
      </c>
      <c r="J84" s="85"/>
      <c r="K84" s="85"/>
      <c r="L84" s="85"/>
      <c r="M84" s="85"/>
      <c r="N84" s="85"/>
      <c r="O84" s="85"/>
      <c r="P84" s="85"/>
      <c r="Q84" s="507"/>
      <c r="R84" s="462">
        <v>12.9</v>
      </c>
      <c r="S84" s="409">
        <v>12911309.270147171</v>
      </c>
      <c r="T84" s="410">
        <v>3470434.4298817161</v>
      </c>
      <c r="U84" s="410">
        <v>-5970440.4103837032</v>
      </c>
      <c r="V84" s="410">
        <v>-15411315.250649167</v>
      </c>
      <c r="W84" s="411">
        <v>-24852190.090914622</v>
      </c>
    </row>
    <row r="85" spans="2:25" x14ac:dyDescent="0.2">
      <c r="B85" s="113"/>
      <c r="C85" s="114"/>
      <c r="D85" s="115"/>
      <c r="I85" s="84" t="s">
        <v>190</v>
      </c>
      <c r="J85" s="85"/>
      <c r="K85" s="85"/>
      <c r="L85" s="85"/>
      <c r="M85" s="85"/>
      <c r="N85" s="85"/>
      <c r="O85" s="85"/>
      <c r="P85" s="85"/>
      <c r="Q85" s="507"/>
      <c r="R85" s="462">
        <v>13.4</v>
      </c>
      <c r="S85" s="409">
        <v>7285646.9307729285</v>
      </c>
      <c r="T85" s="410">
        <v>-2155227.9094925206</v>
      </c>
      <c r="U85" s="410">
        <v>-11596102.749757938</v>
      </c>
      <c r="V85" s="410">
        <v>-21036977.590023402</v>
      </c>
      <c r="W85" s="411">
        <v>-30477852.430288862</v>
      </c>
    </row>
    <row r="86" spans="2:25" x14ac:dyDescent="0.2">
      <c r="B86" s="106" t="s">
        <v>153</v>
      </c>
      <c r="C86" s="107"/>
      <c r="D86" s="110">
        <v>4000000</v>
      </c>
      <c r="I86" s="157" t="s">
        <v>191</v>
      </c>
      <c r="J86" s="158"/>
      <c r="K86" s="158"/>
      <c r="L86" s="158"/>
      <c r="M86" s="158"/>
      <c r="N86" s="158"/>
      <c r="O86" s="158"/>
      <c r="P86" s="158"/>
      <c r="Q86" s="507"/>
      <c r="R86" s="462">
        <v>13.9</v>
      </c>
      <c r="S86" s="409">
        <v>1659984.5913986526</v>
      </c>
      <c r="T86" s="410">
        <v>-7780890.2488667928</v>
      </c>
      <c r="U86" s="410">
        <v>-17221765.08913222</v>
      </c>
      <c r="V86" s="410">
        <v>-26662639.929397684</v>
      </c>
      <c r="W86" s="411">
        <v>-36103514.76966314</v>
      </c>
    </row>
    <row r="87" spans="2:25" x14ac:dyDescent="0.2">
      <c r="B87" s="116" t="s">
        <v>154</v>
      </c>
      <c r="C87" s="103"/>
      <c r="D87" s="117">
        <v>15544861.369999999</v>
      </c>
      <c r="Q87" s="507"/>
      <c r="R87" s="462">
        <v>14.4</v>
      </c>
      <c r="S87" s="409">
        <v>-3965677.7479756088</v>
      </c>
      <c r="T87" s="410">
        <v>-13406552.588241056</v>
      </c>
      <c r="U87" s="410">
        <v>-22847427.428506475</v>
      </c>
      <c r="V87" s="410">
        <v>-32288302.268771946</v>
      </c>
      <c r="W87" s="411">
        <v>-41729177.109037399</v>
      </c>
    </row>
    <row r="88" spans="2:25" x14ac:dyDescent="0.2">
      <c r="B88" s="113"/>
      <c r="C88" s="114"/>
      <c r="D88" s="115"/>
      <c r="Q88" s="507"/>
      <c r="R88" s="462">
        <v>14.9</v>
      </c>
      <c r="S88" s="409">
        <v>-9591340.0873498786</v>
      </c>
      <c r="T88" s="410">
        <v>-19032214.927615337</v>
      </c>
      <c r="U88" s="410">
        <v>-28473089.767880756</v>
      </c>
      <c r="V88" s="410">
        <v>-37913964.60814622</v>
      </c>
      <c r="W88" s="411">
        <v>-47354839.448411673</v>
      </c>
    </row>
    <row r="89" spans="2:25" x14ac:dyDescent="0.2">
      <c r="B89" s="106" t="s">
        <v>155</v>
      </c>
      <c r="C89" s="101">
        <v>0.1</v>
      </c>
      <c r="D89" s="110">
        <v>278353.40000000002</v>
      </c>
      <c r="Q89" s="507"/>
      <c r="R89" s="450">
        <v>15.4</v>
      </c>
      <c r="S89" s="412">
        <v>-15217002.426724186</v>
      </c>
      <c r="T89" s="413">
        <v>-24657877.266989637</v>
      </c>
      <c r="U89" s="413">
        <v>-34098752.107255057</v>
      </c>
      <c r="V89" s="413">
        <v>-43539626.947520517</v>
      </c>
      <c r="W89" s="414">
        <v>-52980501.787785977</v>
      </c>
    </row>
    <row r="90" spans="2:25" x14ac:dyDescent="0.2">
      <c r="B90" s="106" t="s">
        <v>156</v>
      </c>
      <c r="C90" s="100">
        <v>5.0000000000000001E-3</v>
      </c>
      <c r="D90" s="110">
        <v>13917.67</v>
      </c>
    </row>
    <row r="91" spans="2:25" x14ac:dyDescent="0.2">
      <c r="B91" s="106" t="s">
        <v>157</v>
      </c>
      <c r="C91" s="109">
        <v>2.5000000000000001E-3</v>
      </c>
      <c r="D91" s="110">
        <v>6958.835</v>
      </c>
      <c r="S91" s="390" t="s">
        <v>281</v>
      </c>
      <c r="T91" s="390"/>
      <c r="U91" s="390"/>
      <c r="V91" s="390"/>
      <c r="W91" s="390"/>
      <c r="X91" s="390"/>
      <c r="Y91" s="390"/>
    </row>
    <row r="92" spans="2:25" x14ac:dyDescent="0.2">
      <c r="B92" s="111" t="s">
        <v>158</v>
      </c>
      <c r="C92" s="102"/>
      <c r="D92" s="112">
        <v>299229.90500000003</v>
      </c>
      <c r="R92" s="399">
        <f ca="1">S7</f>
        <v>18536971.609521434</v>
      </c>
      <c r="S92" s="419">
        <v>2</v>
      </c>
      <c r="T92" s="419">
        <v>4</v>
      </c>
      <c r="U92" s="419">
        <v>6</v>
      </c>
      <c r="V92" s="419">
        <v>8</v>
      </c>
      <c r="W92" s="419">
        <v>10</v>
      </c>
      <c r="X92" s="419">
        <v>12</v>
      </c>
      <c r="Y92" s="420">
        <v>14</v>
      </c>
    </row>
    <row r="93" spans="2:25" x14ac:dyDescent="0.2">
      <c r="B93" s="113"/>
      <c r="C93" s="114"/>
      <c r="D93" s="115"/>
      <c r="Q93" s="508" t="str">
        <f>B4</f>
        <v>New Store Sales Growth Rate</v>
      </c>
      <c r="R93" s="438">
        <v>-0.05</v>
      </c>
      <c r="S93" s="406">
        <f t="dataTable" ref="S93:Y108" dt2D="1" dtr="1" r1="S4" r2="C4" ca="1"/>
        <v>-17105136.738625281</v>
      </c>
      <c r="T93" s="407">
        <v>-12142127.931121305</v>
      </c>
      <c r="U93" s="407">
        <v>-7179119.1236173315</v>
      </c>
      <c r="V93" s="407">
        <v>-2216110.3161133579</v>
      </c>
      <c r="W93" s="407">
        <v>2746898.4913906157</v>
      </c>
      <c r="X93" s="407">
        <v>7709907.2988945898</v>
      </c>
      <c r="Y93" s="408">
        <v>12672916.10639856</v>
      </c>
    </row>
    <row r="94" spans="2:25" x14ac:dyDescent="0.2">
      <c r="B94" s="106" t="s">
        <v>159</v>
      </c>
      <c r="C94" s="118">
        <v>10000000</v>
      </c>
      <c r="D94" s="110">
        <v>10000000</v>
      </c>
      <c r="Q94" s="508"/>
      <c r="R94" s="438">
        <v>-0.04</v>
      </c>
      <c r="S94" s="409">
        <v>-16539536.259648826</v>
      </c>
      <c r="T94" s="410">
        <v>-11271598.556203917</v>
      </c>
      <c r="U94" s="410">
        <v>-6003660.8527590064</v>
      </c>
      <c r="V94" s="410">
        <v>-735723.14931409806</v>
      </c>
      <c r="W94" s="410">
        <v>4532214.5541308094</v>
      </c>
      <c r="X94" s="410">
        <v>9800152.2575757224</v>
      </c>
      <c r="Y94" s="411">
        <v>15068089.96102063</v>
      </c>
    </row>
    <row r="95" spans="2:25" x14ac:dyDescent="0.2">
      <c r="B95" s="111" t="s">
        <v>160</v>
      </c>
      <c r="C95" s="102"/>
      <c r="D95" s="119">
        <v>10299229.904999999</v>
      </c>
      <c r="Q95" s="508"/>
      <c r="R95" s="438">
        <v>-0.03</v>
      </c>
      <c r="S95" s="409">
        <v>-15959352.018827895</v>
      </c>
      <c r="T95" s="410">
        <v>-10377483.212575022</v>
      </c>
      <c r="U95" s="410">
        <v>-4795614.4063221505</v>
      </c>
      <c r="V95" s="410">
        <v>786254.39993072301</v>
      </c>
      <c r="W95" s="410">
        <v>6368123.2061835919</v>
      </c>
      <c r="X95" s="410">
        <v>11949992.012436464</v>
      </c>
      <c r="Y95" s="411">
        <v>17531860.818689339</v>
      </c>
    </row>
    <row r="96" spans="2:25" x14ac:dyDescent="0.2">
      <c r="B96" s="113"/>
      <c r="C96" s="114"/>
      <c r="D96" s="115"/>
      <c r="Q96" s="508"/>
      <c r="R96" s="438">
        <v>-0.02</v>
      </c>
      <c r="S96" s="409">
        <v>-15364163.421640651</v>
      </c>
      <c r="T96" s="410">
        <v>-9459076.1103218347</v>
      </c>
      <c r="U96" s="410">
        <v>-3553988.799003019</v>
      </c>
      <c r="V96" s="410">
        <v>2351098.5123157948</v>
      </c>
      <c r="W96" s="410">
        <v>8256185.8236346114</v>
      </c>
      <c r="X96" s="410">
        <v>14161273.134953428</v>
      </c>
      <c r="Y96" s="411">
        <v>20066360.446272243</v>
      </c>
    </row>
    <row r="97" spans="2:25" x14ac:dyDescent="0.2">
      <c r="B97" s="106" t="s">
        <v>161</v>
      </c>
      <c r="C97" s="107"/>
      <c r="D97" s="110">
        <v>5245631</v>
      </c>
      <c r="Q97" s="508"/>
      <c r="R97" s="438">
        <v>-0.01</v>
      </c>
      <c r="S97" s="409">
        <v>-14753537.350693591</v>
      </c>
      <c r="T97" s="410">
        <v>-8515649.8205879983</v>
      </c>
      <c r="U97" s="410">
        <v>-2277762.2904824018</v>
      </c>
      <c r="V97" s="410">
        <v>3960125.2396231908</v>
      </c>
      <c r="W97" s="410">
        <v>10198012.769728787</v>
      </c>
      <c r="X97" s="410">
        <v>16435900.299834386</v>
      </c>
      <c r="Y97" s="411">
        <v>22673787.829939976</v>
      </c>
    </row>
    <row r="98" spans="2:25" x14ac:dyDescent="0.2">
      <c r="B98" s="106" t="s">
        <v>162</v>
      </c>
      <c r="C98" s="107"/>
      <c r="D98" s="110">
        <v>0</v>
      </c>
      <c r="Q98" s="508"/>
      <c r="R98" s="438">
        <v>0</v>
      </c>
      <c r="S98" s="409">
        <v>-14127027.795411242</v>
      </c>
      <c r="T98" s="410">
        <v>-7546454.6197964456</v>
      </c>
      <c r="U98" s="410">
        <v>-965881.44418164622</v>
      </c>
      <c r="V98" s="410">
        <v>5614691.7314331494</v>
      </c>
      <c r="W98" s="410">
        <v>12195264.90704795</v>
      </c>
      <c r="X98" s="410">
        <v>18775838.082662746</v>
      </c>
      <c r="Y98" s="411">
        <v>25356411.258277539</v>
      </c>
    </row>
    <row r="99" spans="2:25" x14ac:dyDescent="0.2">
      <c r="B99" s="111" t="s">
        <v>163</v>
      </c>
      <c r="C99" s="102"/>
      <c r="D99" s="112">
        <v>5245631</v>
      </c>
      <c r="Q99" s="508"/>
      <c r="R99" s="438">
        <v>0.01</v>
      </c>
      <c r="S99" s="409">
        <v>-13484175.471096335</v>
      </c>
      <c r="T99" s="410">
        <v>-6550717.8146383129</v>
      </c>
      <c r="U99" s="410">
        <v>382739.84181970917</v>
      </c>
      <c r="V99" s="410">
        <v>7316197.4982777312</v>
      </c>
      <c r="W99" s="410">
        <v>14249655.154735748</v>
      </c>
      <c r="X99" s="410">
        <v>21183112.811193775</v>
      </c>
      <c r="Y99" s="411">
        <v>28116570.467651796</v>
      </c>
    </row>
    <row r="100" spans="2:25" x14ac:dyDescent="0.2">
      <c r="B100" s="120"/>
      <c r="C100" s="121"/>
      <c r="D100" s="122"/>
      <c r="Q100" s="508"/>
      <c r="R100" s="438">
        <v>0.02</v>
      </c>
      <c r="S100" s="409">
        <v>-12824507.427069578</v>
      </c>
      <c r="T100" s="410">
        <v>-5527643.0472909119</v>
      </c>
      <c r="U100" s="410">
        <v>1769221.3324877536</v>
      </c>
      <c r="V100" s="410">
        <v>9066085.7122664228</v>
      </c>
      <c r="W100" s="410">
        <v>16362950.092045087</v>
      </c>
      <c r="X100" s="410">
        <v>23659814.471823756</v>
      </c>
      <c r="Y100" s="411">
        <v>30956678.851602428</v>
      </c>
    </row>
    <row r="101" spans="2:25" x14ac:dyDescent="0.2">
      <c r="B101" s="123" t="s">
        <v>164</v>
      </c>
      <c r="C101" s="124"/>
      <c r="D101" s="125">
        <v>15544860.904999999</v>
      </c>
      <c r="Q101" s="508"/>
      <c r="R101" s="438">
        <v>0.03</v>
      </c>
      <c r="S101" s="409">
        <v>-12147536.643589456</v>
      </c>
      <c r="T101" s="410">
        <v>-4476409.5803117324</v>
      </c>
      <c r="U101" s="410">
        <v>3194717.4829659909</v>
      </c>
      <c r="V101" s="410">
        <v>10865844.546243714</v>
      </c>
      <c r="W101" s="481">
        <v>18536971.609521434</v>
      </c>
      <c r="X101" s="410">
        <v>26208098.672799163</v>
      </c>
      <c r="Y101" s="411">
        <v>33879225.736076877</v>
      </c>
    </row>
    <row r="102" spans="2:25" x14ac:dyDescent="0.2">
      <c r="B102" s="55"/>
      <c r="Q102" s="508"/>
      <c r="R102" s="438">
        <v>0.04</v>
      </c>
      <c r="S102" s="409">
        <v>-11452761.617245983</v>
      </c>
      <c r="T102" s="410">
        <v>-3396171.5606429414</v>
      </c>
      <c r="U102" s="410">
        <v>4660418.4959601015</v>
      </c>
      <c r="V102" s="410">
        <v>12717008.552563138</v>
      </c>
      <c r="W102" s="410">
        <v>20773598.609166179</v>
      </c>
      <c r="X102" s="410">
        <v>28830188.665769227</v>
      </c>
      <c r="Y102" s="411">
        <v>36886778.722372271</v>
      </c>
    </row>
    <row r="103" spans="2:25" x14ac:dyDescent="0.2">
      <c r="B103" s="2" t="s">
        <v>173</v>
      </c>
      <c r="Q103" s="508"/>
      <c r="R103" s="438">
        <v>0.05</v>
      </c>
      <c r="S103" s="409">
        <v>-10739665.934512461</v>
      </c>
      <c r="T103" s="410">
        <v>-2286057.2621426857</v>
      </c>
      <c r="U103" s="410">
        <v>6167551.410227092</v>
      </c>
      <c r="V103" s="410">
        <v>14621160.082596865</v>
      </c>
      <c r="W103" s="410">
        <v>23074768.754966643</v>
      </c>
      <c r="X103" s="410">
        <v>31528377.427336425</v>
      </c>
      <c r="Y103" s="411">
        <v>39981986.099706195</v>
      </c>
    </row>
    <row r="104" spans="2:25" ht="13.5" x14ac:dyDescent="0.35">
      <c r="B104" s="127" t="s">
        <v>18</v>
      </c>
      <c r="C104" s="73"/>
      <c r="D104" s="128" t="s">
        <v>37</v>
      </c>
      <c r="E104" s="129" t="s">
        <v>81</v>
      </c>
      <c r="Q104" s="508"/>
      <c r="R104" s="438">
        <v>0.06</v>
      </c>
      <c r="S104" s="409">
        <v>-10007717.833134167</v>
      </c>
      <c r="T104" s="410">
        <v>-1145168.3060490713</v>
      </c>
      <c r="U104" s="410">
        <v>7717381.2210360225</v>
      </c>
      <c r="V104" s="410">
        <v>16579930.74812112</v>
      </c>
      <c r="W104" s="410">
        <v>25442480.275206219</v>
      </c>
      <c r="X104" s="410">
        <v>34305029.802291311</v>
      </c>
      <c r="Y104" s="411">
        <v>43167579.329376407</v>
      </c>
    </row>
    <row r="105" spans="2:25" x14ac:dyDescent="0.2">
      <c r="B105" s="130" t="s">
        <v>19</v>
      </c>
      <c r="D105" s="56">
        <v>250000</v>
      </c>
      <c r="E105" s="131">
        <v>0</v>
      </c>
      <c r="Q105" s="508"/>
      <c r="R105" s="438">
        <v>7.0000000000000007E-2</v>
      </c>
      <c r="S105" s="409">
        <v>-9256369.7510213293</v>
      </c>
      <c r="T105" s="410">
        <v>27421.141238066368</v>
      </c>
      <c r="U105" s="410">
        <v>9311212.0334974602</v>
      </c>
      <c r="V105" s="410">
        <v>18595002.925756857</v>
      </c>
      <c r="W105" s="410">
        <v>27878793.818016253</v>
      </c>
      <c r="X105" s="410">
        <v>37162584.710275643</v>
      </c>
      <c r="Y105" s="411">
        <v>46446375.602535039</v>
      </c>
    </row>
    <row r="106" spans="2:25" x14ac:dyDescent="0.2">
      <c r="B106" s="130" t="s">
        <v>20</v>
      </c>
      <c r="D106" s="57">
        <v>150000</v>
      </c>
      <c r="E106" s="62">
        <v>10</v>
      </c>
      <c r="Q106" s="508"/>
      <c r="R106" s="438">
        <v>0.08</v>
      </c>
      <c r="S106" s="409">
        <v>-8485057.8623078689</v>
      </c>
      <c r="T106" s="410">
        <v>1232665.1936845714</v>
      </c>
      <c r="U106" s="410">
        <v>10950388.249677014</v>
      </c>
      <c r="V106" s="410">
        <v>20668111.305669453</v>
      </c>
      <c r="W106" s="410">
        <v>30385834.361661896</v>
      </c>
      <c r="X106" s="410">
        <v>40103557.417654335</v>
      </c>
      <c r="Y106" s="411">
        <v>49821280.473646775</v>
      </c>
    </row>
    <row r="107" spans="2:25" x14ac:dyDescent="0.2">
      <c r="B107" s="130" t="s">
        <v>39</v>
      </c>
      <c r="D107" s="58">
        <v>80000</v>
      </c>
      <c r="E107" s="132">
        <v>15</v>
      </c>
      <c r="Q107" s="508"/>
      <c r="R107" s="438">
        <v>0.09</v>
      </c>
      <c r="S107" s="409">
        <v>-7693201.6002265755</v>
      </c>
      <c r="T107" s="410">
        <v>2471547.0951049933</v>
      </c>
      <c r="U107" s="410">
        <v>12636295.790436558</v>
      </c>
      <c r="V107" s="410">
        <v>22801044.485768132</v>
      </c>
      <c r="W107" s="410">
        <v>32965793.181099698</v>
      </c>
      <c r="X107" s="410">
        <v>43130541.876431264</v>
      </c>
      <c r="Y107" s="411">
        <v>53295290.57176283</v>
      </c>
    </row>
    <row r="108" spans="2:25" x14ac:dyDescent="0.2">
      <c r="B108" s="130" t="s">
        <v>21</v>
      </c>
      <c r="D108" s="56">
        <v>150000</v>
      </c>
      <c r="E108" s="131">
        <v>5</v>
      </c>
      <c r="Q108" s="508"/>
      <c r="R108" s="439">
        <v>0.1</v>
      </c>
      <c r="S108" s="412">
        <v>-6880203.1664449563</v>
      </c>
      <c r="T108" s="413">
        <v>3745080.0932607669</v>
      </c>
      <c r="U108" s="413">
        <v>14370363.352966491</v>
      </c>
      <c r="V108" s="413">
        <v>24995646.612672213</v>
      </c>
      <c r="W108" s="413">
        <v>35620929.872377932</v>
      </c>
      <c r="X108" s="413">
        <v>46246213.132083647</v>
      </c>
      <c r="Y108" s="414">
        <v>56871496.391789377</v>
      </c>
    </row>
    <row r="109" spans="2:25" x14ac:dyDescent="0.2">
      <c r="B109" s="133" t="s">
        <v>22</v>
      </c>
      <c r="D109" s="72"/>
      <c r="E109" s="134"/>
    </row>
    <row r="110" spans="2:25" x14ac:dyDescent="0.2">
      <c r="B110" s="130" t="s">
        <v>23</v>
      </c>
      <c r="D110" s="59">
        <v>100000</v>
      </c>
      <c r="E110" s="60">
        <v>15</v>
      </c>
    </row>
    <row r="111" spans="2:25" x14ac:dyDescent="0.2">
      <c r="B111" s="130" t="s">
        <v>24</v>
      </c>
      <c r="D111" s="61">
        <v>40000</v>
      </c>
      <c r="E111" s="62">
        <v>25</v>
      </c>
    </row>
    <row r="112" spans="2:25" x14ac:dyDescent="0.2">
      <c r="B112" s="130" t="s">
        <v>25</v>
      </c>
      <c r="D112" s="63">
        <v>85000</v>
      </c>
      <c r="E112" s="64">
        <v>25</v>
      </c>
      <c r="R112" s="257">
        <f ca="1">S7</f>
        <v>18536971.609521434</v>
      </c>
    </row>
    <row r="113" spans="2:5" x14ac:dyDescent="0.2">
      <c r="B113" s="133" t="s">
        <v>26</v>
      </c>
      <c r="D113" s="72"/>
      <c r="E113" s="134"/>
    </row>
    <row r="114" spans="2:5" x14ac:dyDescent="0.2">
      <c r="B114" s="130" t="s">
        <v>40</v>
      </c>
      <c r="D114" s="65">
        <v>125000</v>
      </c>
      <c r="E114" s="131">
        <v>5</v>
      </c>
    </row>
    <row r="115" spans="2:5" x14ac:dyDescent="0.2">
      <c r="B115" s="130" t="s">
        <v>40</v>
      </c>
      <c r="D115" s="65">
        <v>125000</v>
      </c>
      <c r="E115" s="131">
        <v>10</v>
      </c>
    </row>
    <row r="116" spans="2:5" x14ac:dyDescent="0.2">
      <c r="B116" s="130" t="s">
        <v>40</v>
      </c>
      <c r="D116" s="65">
        <v>125000</v>
      </c>
      <c r="E116" s="131">
        <v>15</v>
      </c>
    </row>
    <row r="117" spans="2:5" x14ac:dyDescent="0.2">
      <c r="B117" s="130" t="s">
        <v>40</v>
      </c>
      <c r="D117" s="65">
        <v>125000</v>
      </c>
      <c r="E117" s="131">
        <v>20</v>
      </c>
    </row>
    <row r="118" spans="2:5" x14ac:dyDescent="0.2">
      <c r="B118" s="130" t="s">
        <v>40</v>
      </c>
      <c r="D118" s="65">
        <v>125000</v>
      </c>
      <c r="E118" s="131">
        <v>25</v>
      </c>
    </row>
    <row r="119" spans="2:5" x14ac:dyDescent="0.2">
      <c r="B119" s="130" t="s">
        <v>40</v>
      </c>
      <c r="D119" s="65">
        <v>125000</v>
      </c>
      <c r="E119" s="131">
        <v>30</v>
      </c>
    </row>
    <row r="120" spans="2:5" x14ac:dyDescent="0.2">
      <c r="B120" s="130" t="s">
        <v>40</v>
      </c>
      <c r="D120" s="65">
        <v>125000</v>
      </c>
      <c r="E120" s="131">
        <v>35</v>
      </c>
    </row>
    <row r="121" spans="2:5" x14ac:dyDescent="0.2">
      <c r="B121" s="133" t="s">
        <v>27</v>
      </c>
      <c r="D121" s="72"/>
      <c r="E121" s="134"/>
    </row>
    <row r="122" spans="2:5" x14ac:dyDescent="0.2">
      <c r="B122" s="130" t="s">
        <v>28</v>
      </c>
      <c r="D122" s="65">
        <v>90000</v>
      </c>
      <c r="E122" s="131">
        <v>20</v>
      </c>
    </row>
    <row r="123" spans="2:5" x14ac:dyDescent="0.2">
      <c r="B123" s="130" t="s">
        <v>29</v>
      </c>
      <c r="D123" s="65">
        <v>80000</v>
      </c>
      <c r="E123" s="131">
        <v>40</v>
      </c>
    </row>
    <row r="124" spans="2:5" x14ac:dyDescent="0.2">
      <c r="B124" s="133" t="s">
        <v>30</v>
      </c>
      <c r="D124" s="72"/>
      <c r="E124" s="134"/>
    </row>
    <row r="125" spans="2:5" x14ac:dyDescent="0.2">
      <c r="B125" s="130" t="s">
        <v>31</v>
      </c>
      <c r="D125" s="65">
        <v>120000</v>
      </c>
      <c r="E125" s="131">
        <v>20</v>
      </c>
    </row>
    <row r="126" spans="2:5" x14ac:dyDescent="0.2">
      <c r="B126" s="130" t="s">
        <v>32</v>
      </c>
      <c r="D126" s="65">
        <v>75000</v>
      </c>
      <c r="E126" s="131">
        <v>4</v>
      </c>
    </row>
    <row r="127" spans="2:5" x14ac:dyDescent="0.2">
      <c r="B127" s="133" t="s">
        <v>5</v>
      </c>
      <c r="D127" s="72"/>
      <c r="E127" s="134"/>
    </row>
    <row r="128" spans="2:5" x14ac:dyDescent="0.2">
      <c r="B128" s="130" t="s">
        <v>33</v>
      </c>
      <c r="D128" s="65">
        <v>50000</v>
      </c>
      <c r="E128" s="131">
        <v>1</v>
      </c>
    </row>
    <row r="129" spans="2:5" ht="13.5" x14ac:dyDescent="0.35">
      <c r="B129" s="130" t="s">
        <v>34</v>
      </c>
      <c r="C129" s="135" t="s">
        <v>38</v>
      </c>
      <c r="D129" s="65">
        <v>50000</v>
      </c>
      <c r="E129" s="131">
        <v>30</v>
      </c>
    </row>
    <row r="130" spans="2:5" x14ac:dyDescent="0.2">
      <c r="B130" s="136" t="s">
        <v>35</v>
      </c>
      <c r="C130" s="66">
        <v>0.15</v>
      </c>
      <c r="E130" s="134"/>
    </row>
    <row r="131" spans="2:5" x14ac:dyDescent="0.2">
      <c r="B131" s="137" t="s">
        <v>36</v>
      </c>
      <c r="C131" s="67"/>
      <c r="D131" s="67"/>
      <c r="E131" s="138"/>
    </row>
    <row r="132" spans="2:5" x14ac:dyDescent="0.2">
      <c r="B132" s="113"/>
      <c r="E132" s="134"/>
    </row>
    <row r="133" spans="2:5" x14ac:dyDescent="0.2">
      <c r="B133" s="68" t="s">
        <v>45</v>
      </c>
      <c r="C133" s="69"/>
      <c r="D133" s="69"/>
      <c r="E133" s="70"/>
    </row>
    <row r="134" spans="2:5" x14ac:dyDescent="0.2">
      <c r="B134" s="139"/>
      <c r="C134" s="140"/>
      <c r="D134" s="140"/>
      <c r="E134" s="141"/>
    </row>
    <row r="135" spans="2:5" x14ac:dyDescent="0.2">
      <c r="B135" s="136" t="s">
        <v>41</v>
      </c>
      <c r="C135" s="140"/>
      <c r="D135" s="140"/>
      <c r="E135" s="142">
        <v>0.2</v>
      </c>
    </row>
    <row r="136" spans="2:5" x14ac:dyDescent="0.2">
      <c r="B136" s="143" t="s">
        <v>46</v>
      </c>
      <c r="C136" s="140"/>
      <c r="D136" s="140"/>
      <c r="E136" s="141"/>
    </row>
    <row r="137" spans="2:5" x14ac:dyDescent="0.2">
      <c r="B137" s="130" t="s">
        <v>47</v>
      </c>
      <c r="C137" s="140"/>
      <c r="D137" s="140"/>
      <c r="E137" s="144">
        <v>4000</v>
      </c>
    </row>
    <row r="138" spans="2:5" x14ac:dyDescent="0.2">
      <c r="B138" s="130" t="s">
        <v>48</v>
      </c>
      <c r="C138" s="140"/>
      <c r="D138" s="140"/>
      <c r="E138" s="145">
        <v>12</v>
      </c>
    </row>
    <row r="139" spans="2:5" x14ac:dyDescent="0.2">
      <c r="B139" s="146" t="s">
        <v>49</v>
      </c>
      <c r="C139" s="71"/>
      <c r="D139" s="71"/>
      <c r="E139" s="147">
        <v>48000</v>
      </c>
    </row>
    <row r="140" spans="2:5" x14ac:dyDescent="0.2">
      <c r="B140" s="148"/>
      <c r="C140" s="140"/>
      <c r="D140" s="140"/>
      <c r="E140" s="149"/>
    </row>
    <row r="141" spans="2:5" x14ac:dyDescent="0.2">
      <c r="B141" s="136" t="s">
        <v>50</v>
      </c>
      <c r="C141" s="140"/>
      <c r="D141" s="140"/>
      <c r="E141" s="150">
        <v>0.15</v>
      </c>
    </row>
    <row r="142" spans="2:5" x14ac:dyDescent="0.2">
      <c r="B142" s="136" t="s">
        <v>51</v>
      </c>
      <c r="C142" s="140"/>
      <c r="D142" s="140"/>
      <c r="E142" s="150">
        <v>2.5000000000000001E-2</v>
      </c>
    </row>
    <row r="143" spans="2:5" x14ac:dyDescent="0.2">
      <c r="B143" s="136" t="s">
        <v>52</v>
      </c>
      <c r="C143" s="140"/>
      <c r="D143" s="140"/>
      <c r="E143" s="151">
        <v>250</v>
      </c>
    </row>
    <row r="144" spans="2:5" x14ac:dyDescent="0.2">
      <c r="B144" s="136" t="s">
        <v>53</v>
      </c>
      <c r="C144" s="140"/>
      <c r="D144" s="140"/>
      <c r="E144" s="145">
        <v>20</v>
      </c>
    </row>
    <row r="145" spans="2:5" x14ac:dyDescent="0.2">
      <c r="B145" s="136" t="s">
        <v>54</v>
      </c>
      <c r="C145" s="140"/>
      <c r="D145" s="140"/>
      <c r="E145" s="145">
        <v>250</v>
      </c>
    </row>
    <row r="146" spans="2:5" x14ac:dyDescent="0.2">
      <c r="B146" s="136" t="s">
        <v>55</v>
      </c>
      <c r="C146" s="140"/>
      <c r="D146" s="140"/>
      <c r="E146" s="145">
        <v>150</v>
      </c>
    </row>
    <row r="147" spans="2:5" x14ac:dyDescent="0.2">
      <c r="B147" s="136" t="s">
        <v>17</v>
      </c>
      <c r="C147" s="140"/>
      <c r="D147" s="140"/>
      <c r="E147" s="151">
        <v>20000</v>
      </c>
    </row>
    <row r="148" spans="2:5" x14ac:dyDescent="0.2">
      <c r="B148" s="139"/>
      <c r="C148" s="140"/>
      <c r="D148" s="140"/>
      <c r="E148" s="141"/>
    </row>
    <row r="149" spans="2:5" x14ac:dyDescent="0.2">
      <c r="B149" s="143" t="s">
        <v>44</v>
      </c>
      <c r="C149" s="140"/>
      <c r="D149" s="140"/>
      <c r="E149" s="141"/>
    </row>
    <row r="150" spans="2:5" x14ac:dyDescent="0.2">
      <c r="B150" s="130" t="s">
        <v>56</v>
      </c>
      <c r="C150" s="140"/>
      <c r="D150" s="140"/>
      <c r="E150" s="145">
        <v>500</v>
      </c>
    </row>
    <row r="151" spans="2:5" x14ac:dyDescent="0.2">
      <c r="B151" s="130" t="s">
        <v>57</v>
      </c>
      <c r="C151" s="140"/>
      <c r="D151" s="140"/>
      <c r="E151" s="145">
        <v>400</v>
      </c>
    </row>
    <row r="152" spans="2:5" x14ac:dyDescent="0.2">
      <c r="B152" s="130" t="s">
        <v>58</v>
      </c>
      <c r="C152" s="140"/>
      <c r="D152" s="140"/>
      <c r="E152" s="151">
        <v>1000</v>
      </c>
    </row>
    <row r="153" spans="2:5" x14ac:dyDescent="0.2">
      <c r="B153" s="152" t="s">
        <v>59</v>
      </c>
      <c r="C153" s="153"/>
      <c r="D153" s="153"/>
      <c r="E153" s="154">
        <v>1900</v>
      </c>
    </row>
    <row r="155" spans="2:5" x14ac:dyDescent="0.2">
      <c r="B155" s="2" t="s">
        <v>173</v>
      </c>
    </row>
    <row r="156" spans="2:5" x14ac:dyDescent="0.2">
      <c r="B156" s="155" t="s">
        <v>166</v>
      </c>
      <c r="C156" s="156">
        <v>0.05</v>
      </c>
    </row>
  </sheetData>
  <dataConsolidate/>
  <mergeCells count="11">
    <mergeCell ref="Z11:Z19"/>
    <mergeCell ref="Q11:Q17"/>
    <mergeCell ref="D4:D6"/>
    <mergeCell ref="Q23:Q29"/>
    <mergeCell ref="Q40:Q46"/>
    <mergeCell ref="Q70:Q76"/>
    <mergeCell ref="Q93:Q108"/>
    <mergeCell ref="Q83:Q89"/>
    <mergeCell ref="U50:U56"/>
    <mergeCell ref="Q60:Q66"/>
    <mergeCell ref="Q50:Q56"/>
  </mergeCells>
  <conditionalFormatting sqref="S11:X1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G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3:X2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0:T6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50:X5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0:T5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0:T4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0:X4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1:AH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70:T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3:W8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93:Y1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S4" xr:uid="{D61FEFE1-F2E6-4C91-B607-64F801B682D4}">
      <formula1>$AK$4:$AK$18</formula1>
    </dataValidation>
    <dataValidation type="list" allowBlank="1" showInputMessage="1" showErrorMessage="1" sqref="S6" xr:uid="{018B28B0-797E-45A6-A7B4-F3FA7BD705B8}">
      <formula1>$AL$4:$AL$18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4545D7-42B7-4E3F-9498-C8FD682A9D0C}">
          <x14:formula1>
            <xm:f>ControlSheet!$A$1:$A$2</xm:f>
          </x14:formula1>
          <xm:sqref>C60:C76</xm:sqref>
        </x14:dataValidation>
        <x14:dataValidation type="list" allowBlank="1" showInputMessage="1" showErrorMessage="1" xr:uid="{4877104A-A64B-4415-9C5B-3E567763EF4F}">
          <x14:formula1>
            <xm:f>ControlSheet!$C$1:$C$2</xm:f>
          </x14:formula1>
          <xm:sqref>C2</xm:sqref>
        </x14:dataValidation>
        <x14:dataValidation type="list" allowBlank="1" showInputMessage="1" showErrorMessage="1" xr:uid="{1A5BDABE-27A9-4E67-9249-85388B88BF8C}">
          <x14:formula1>
            <xm:f>ControlSheet!$D$1:$D$3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5CA7-04FE-4CE6-995B-B1F148AB8E55}">
  <sheetPr>
    <tabColor rgb="FF7030A0"/>
  </sheetPr>
  <dimension ref="A1:W42"/>
  <sheetViews>
    <sheetView tabSelected="1" workbookViewId="0">
      <selection activeCell="A10" sqref="A10"/>
    </sheetView>
  </sheetViews>
  <sheetFormatPr defaultRowHeight="15" x14ac:dyDescent="0.25"/>
  <cols>
    <col min="1" max="1" width="124.5703125" style="484" bestFit="1" customWidth="1"/>
    <col min="4" max="4" width="11.140625" bestFit="1" customWidth="1"/>
    <col min="5" max="5" width="10.140625" bestFit="1" customWidth="1"/>
    <col min="6" max="6" width="11.140625" bestFit="1" customWidth="1"/>
    <col min="14" max="15" width="11.140625" bestFit="1" customWidth="1"/>
    <col min="16" max="16" width="10.140625" bestFit="1" customWidth="1"/>
    <col min="17" max="17" width="11.140625" bestFit="1" customWidth="1"/>
    <col min="18" max="18" width="4.7109375" customWidth="1"/>
    <col min="19" max="19" width="18.140625" bestFit="1" customWidth="1"/>
    <col min="20" max="20" width="14" bestFit="1" customWidth="1"/>
    <col min="21" max="21" width="12.5703125" bestFit="1" customWidth="1"/>
    <col min="23" max="23" width="4.7109375" customWidth="1"/>
  </cols>
  <sheetData>
    <row r="1" spans="1:23" ht="23.25" x14ac:dyDescent="0.35">
      <c r="A1" s="488" t="s">
        <v>344</v>
      </c>
    </row>
    <row r="4" spans="1:23" x14ac:dyDescent="0.25">
      <c r="A4" s="485" t="s">
        <v>321</v>
      </c>
    </row>
    <row r="5" spans="1:23" x14ac:dyDescent="0.25">
      <c r="A5" s="485" t="s">
        <v>323</v>
      </c>
    </row>
    <row r="6" spans="1:23" x14ac:dyDescent="0.25">
      <c r="A6" s="485" t="s">
        <v>322</v>
      </c>
    </row>
    <row r="7" spans="1:23" x14ac:dyDescent="0.25">
      <c r="A7" s="485" t="s">
        <v>324</v>
      </c>
    </row>
    <row r="8" spans="1:23" x14ac:dyDescent="0.25">
      <c r="O8" s="194" t="s">
        <v>319</v>
      </c>
      <c r="P8" s="194" t="s">
        <v>320</v>
      </c>
      <c r="Q8" s="194" t="s">
        <v>36</v>
      </c>
      <c r="R8" s="218"/>
      <c r="S8" s="218"/>
      <c r="T8" s="218"/>
      <c r="U8" s="218"/>
      <c r="V8" s="218"/>
      <c r="W8" s="218"/>
    </row>
    <row r="9" spans="1:23" x14ac:dyDescent="0.25">
      <c r="A9" s="486" t="s">
        <v>325</v>
      </c>
      <c r="O9" s="465">
        <f>Inputs!D94</f>
        <v>10000000</v>
      </c>
      <c r="P9" s="465">
        <f>BalanceSheet!D26</f>
        <v>5245631</v>
      </c>
      <c r="Q9" s="465">
        <f>SUM(O9:P9)</f>
        <v>15245631</v>
      </c>
      <c r="R9" s="218"/>
      <c r="S9" s="218"/>
      <c r="T9" s="492" t="s">
        <v>114</v>
      </c>
      <c r="U9" s="492" t="s">
        <v>335</v>
      </c>
      <c r="V9" s="492" t="s">
        <v>336</v>
      </c>
      <c r="W9" s="218"/>
    </row>
    <row r="10" spans="1:23" x14ac:dyDescent="0.25">
      <c r="A10" s="485" t="s">
        <v>326</v>
      </c>
      <c r="R10" s="218"/>
      <c r="S10" s="493" t="s">
        <v>333</v>
      </c>
      <c r="T10" s="490">
        <v>885928.63289274054</v>
      </c>
      <c r="U10" s="490">
        <f>Inputs!F28</f>
        <v>397156.56022950634</v>
      </c>
      <c r="V10" s="490">
        <v>397156.5602295057</v>
      </c>
      <c r="W10" s="218"/>
    </row>
    <row r="11" spans="1:23" x14ac:dyDescent="0.25">
      <c r="A11" s="485" t="s">
        <v>328</v>
      </c>
      <c r="R11" s="218"/>
      <c r="S11" s="493" t="s">
        <v>334</v>
      </c>
      <c r="T11" s="491">
        <v>0.52451220018338196</v>
      </c>
      <c r="U11" s="491">
        <v>0.93521952958282217</v>
      </c>
      <c r="V11" s="491">
        <v>0.93521952958282217</v>
      </c>
      <c r="W11" s="218"/>
    </row>
    <row r="12" spans="1:23" x14ac:dyDescent="0.25">
      <c r="A12" s="485" t="s">
        <v>329</v>
      </c>
      <c r="R12" s="218"/>
      <c r="S12" s="218"/>
      <c r="T12" s="218"/>
      <c r="U12" s="218"/>
      <c r="V12" s="218"/>
      <c r="W12" s="218"/>
    </row>
    <row r="13" spans="1:23" x14ac:dyDescent="0.25">
      <c r="A13" s="485" t="s">
        <v>327</v>
      </c>
    </row>
    <row r="14" spans="1:23" x14ac:dyDescent="0.25">
      <c r="A14" s="485" t="s">
        <v>330</v>
      </c>
    </row>
    <row r="15" spans="1:23" x14ac:dyDescent="0.25">
      <c r="A15" s="485" t="s">
        <v>337</v>
      </c>
    </row>
    <row r="16" spans="1:23" x14ac:dyDescent="0.25">
      <c r="A16" s="487" t="s">
        <v>340</v>
      </c>
    </row>
    <row r="17" spans="1:1" x14ac:dyDescent="0.25">
      <c r="A17" s="485" t="s">
        <v>338</v>
      </c>
    </row>
    <row r="18" spans="1:1" x14ac:dyDescent="0.25">
      <c r="A18" s="485" t="s">
        <v>339</v>
      </c>
    </row>
    <row r="20" spans="1:1" x14ac:dyDescent="0.25">
      <c r="A20" s="486" t="s">
        <v>341</v>
      </c>
    </row>
    <row r="21" spans="1:1" x14ac:dyDescent="0.25">
      <c r="A21" s="485" t="s">
        <v>282</v>
      </c>
    </row>
    <row r="22" spans="1:1" x14ac:dyDescent="0.25">
      <c r="A22" s="485" t="s">
        <v>342</v>
      </c>
    </row>
    <row r="23" spans="1:1" x14ac:dyDescent="0.25">
      <c r="A23" s="485" t="s">
        <v>343</v>
      </c>
    </row>
    <row r="24" spans="1:1" x14ac:dyDescent="0.25">
      <c r="A24" s="485" t="s">
        <v>291</v>
      </c>
    </row>
    <row r="25" spans="1:1" x14ac:dyDescent="0.25">
      <c r="A25" s="485" t="s">
        <v>294</v>
      </c>
    </row>
    <row r="26" spans="1:1" x14ac:dyDescent="0.25">
      <c r="A26" s="485" t="s">
        <v>297</v>
      </c>
    </row>
    <row r="27" spans="1:1" x14ac:dyDescent="0.25">
      <c r="A27" s="485" t="s">
        <v>300</v>
      </c>
    </row>
    <row r="28" spans="1:1" x14ac:dyDescent="0.25">
      <c r="A28" s="485" t="s">
        <v>304</v>
      </c>
    </row>
    <row r="29" spans="1:1" x14ac:dyDescent="0.25">
      <c r="A29" s="485" t="s">
        <v>313</v>
      </c>
    </row>
    <row r="40" spans="11:14" x14ac:dyDescent="0.25">
      <c r="K40">
        <v>1430000</v>
      </c>
      <c r="L40">
        <v>1690000</v>
      </c>
      <c r="M40">
        <v>2210000</v>
      </c>
      <c r="N40">
        <f>SKEW(K40:M40)</f>
        <v>0.93521952958282217</v>
      </c>
    </row>
    <row r="42" spans="11:14" x14ac:dyDescent="0.25">
      <c r="K42">
        <v>1300000</v>
      </c>
      <c r="L42">
        <v>1560000</v>
      </c>
      <c r="M42">
        <v>2080000</v>
      </c>
      <c r="N42">
        <f>SKEW(K42:M42)</f>
        <v>0.93521952958282217</v>
      </c>
    </row>
  </sheetData>
  <hyperlinks>
    <hyperlink ref="A4" location="Inputs!E2:G6" display="Data table Comparing the impacts on investment IRR when selecting NSO proforma scenarios 1 &amp; 2 and store expenses scenarios 1,2 &amp; 3." xr:uid="{130C0B81-77E5-436A-BDB6-6D5B812903D8}"/>
    <hyperlink ref="A6" location="Inputs!Q9:X17" display="Data table comparing changes in new store CapEx and new store growth rate have on NPV." xr:uid="{7BCF92CE-5DCD-4121-ADA3-A5302519D04B}"/>
    <hyperlink ref="A5" location="Inputs!R2:X7" display="Table that shows investment IRR and NPV given changes in the exit multiple and hurdle rate respectively." xr:uid="{C49B85CB-D6B0-4242-8A00-49F29AA8CE0D}"/>
    <hyperlink ref="A7" location="Inputs!Q21:X29" display="Data table that shows how changes in A/R % and A/P % impact IRR." xr:uid="{38D17CE7-BCF5-46D5-9112-45EC41D4F6D1}"/>
    <hyperlink ref="A10" location="Inputs!Q38:X46" display="Data table that explores how rising food costs coupled with rising rents would impact investment NPV under expense scenario 3." xr:uid="{166BF1FC-7837-470F-B3CA-CF9E95CDC740}"/>
    <hyperlink ref="A13" location="Inputs!Q48:T56" display="Data table that explores how investment NPV is impacted by rising rents under NSO scenarios 1 &amp; 2." xr:uid="{D4503D46-C9D0-476D-AD1F-655769779E04}"/>
    <hyperlink ref="A11" location="Inputs!U48:X56" display="Data table that explores how increasing food costs impact investment NPV under NSO scenarios 1 &amp; 2." xr:uid="{287F7D6E-23CC-4C6F-96F3-89E01C2B66A4}"/>
    <hyperlink ref="A12" location="Inputs!Q58:T66" display="Data table that explores how increasing food costs impact investment IRR under NSO scenarios 1 &amp; 2." xr:uid="{284FBCA0-4745-407E-9E6D-2465126783C2}"/>
    <hyperlink ref="A14" location="Inputs!Y65" display="Chart that contrasts how increasing food prices impact investment IRR under NSO scenarios 1 &amp; 2." xr:uid="{140AE245-F9C1-4A7B-A4EA-5DC8BDF956AB}"/>
    <hyperlink ref="A15" location="Inputs!Q81:W89" display="Data table that contrasts how increasing employee wages and rising food costs impact NPV." xr:uid="{EE60D8E7-AB35-436C-AA44-5BDC3DAA3201}"/>
    <hyperlink ref="A17" location="Inputs!Q91:Y98" display="Data table that analyzes how changes in the exit multiple and new store sales growth rate impact NPV." xr:uid="{EA059B32-E762-450F-BD54-B0C10A8CA939}"/>
    <hyperlink ref="A18" location="'Annual Summary'!K2:T11" display="Data table that analyzes how changes in the exit multiple and the discount rate impact NPV." xr:uid="{C0AE3D31-6869-415F-A1CC-7C412E2E8570}"/>
    <hyperlink ref="A16" location="'Annual Summary'!B4:H11" display="Annual Summary'!A1" xr:uid="{9B9F1FB1-D13A-47FF-AF26-462FE86446E3}"/>
    <hyperlink ref="A21" location="'Annual Summary'!L19:R27" display="Profitability Ratios" xr:uid="{13EAE93E-EEB6-4002-A039-0DC37EEF2C03}"/>
    <hyperlink ref="A22" location="'Annual Summary'!L30:R32" display="Asset Turnover Ratios" xr:uid="{D29AE62D-03AD-4FF0-B948-4285DB35E757}"/>
    <hyperlink ref="A23" location="'Annual Summary'!L35:R37" display="Inventory Turnover Ratios" xr:uid="{03ED3737-1145-47D8-8F86-13F41FDFC872}"/>
    <hyperlink ref="A24" location="'Annual Summary'!L40:R42" display="Receivables Ratios" xr:uid="{8440B82B-1177-4F14-BB19-AFC20330D24C}"/>
    <hyperlink ref="A25" location="'Annual Summary'!L45:R47" display="Leverage Ratios" xr:uid="{B7B8A9CC-0254-4411-8646-CCD05A43F14E}"/>
    <hyperlink ref="A26" location="'Annual Summary'!L50:R52" display="Coverage Ratios" xr:uid="{791C4891-ED56-41F8-B6DF-9A5DF16E7699}"/>
    <hyperlink ref="A27" location="'Annual Summary'!L55:R63" display="Liquidity Ratios" xr:uid="{3A443D52-AEE3-4927-9AE0-37FE4C802F4A}"/>
    <hyperlink ref="A28" location="'Annual Summary'!L66:R72" display="Working Capital Metrics" xr:uid="{0F3172FE-6164-46F9-A8B3-B8C19F3BD2AC}"/>
    <hyperlink ref="A29" location="'Annual Summary'!L75:R79" display="Gearing Ratios" xr:uid="{679DE01E-B820-4FDF-9891-333D84438C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D4C-5911-43F7-8C76-FBFC373FA659}">
  <sheetPr>
    <tabColor rgb="FF92D050"/>
  </sheetPr>
  <dimension ref="B2:AG101"/>
  <sheetViews>
    <sheetView topLeftCell="C1" zoomScale="85" zoomScaleNormal="85" workbookViewId="0">
      <pane ySplit="15" topLeftCell="A16" activePane="bottomLeft" state="frozen"/>
      <selection pane="bottomLeft" activeCell="L17" sqref="L17:S28"/>
    </sheetView>
  </sheetViews>
  <sheetFormatPr defaultRowHeight="11.25" x14ac:dyDescent="0.2"/>
  <cols>
    <col min="1" max="1" width="2.85546875" style="1" customWidth="1"/>
    <col min="2" max="2" width="38.7109375" style="1" bestFit="1" customWidth="1"/>
    <col min="3" max="3" width="12.85546875" style="1" customWidth="1"/>
    <col min="4" max="7" width="12.28515625" style="140" bestFit="1" customWidth="1"/>
    <col min="8" max="8" width="12" style="140" bestFit="1" customWidth="1"/>
    <col min="9" max="10" width="10.42578125" style="140" customWidth="1"/>
    <col min="11" max="11" width="4.140625" style="1" customWidth="1"/>
    <col min="12" max="12" width="20.42578125" style="1" bestFit="1" customWidth="1"/>
    <col min="13" max="13" width="11.140625" style="1" customWidth="1"/>
    <col min="14" max="14" width="10.42578125" style="1" bestFit="1" customWidth="1"/>
    <col min="15" max="16" width="10.140625" style="1" bestFit="1" customWidth="1"/>
    <col min="17" max="17" width="10.28515625" style="1" bestFit="1" customWidth="1"/>
    <col min="18" max="18" width="9.85546875" style="1" bestFit="1" customWidth="1"/>
    <col min="19" max="19" width="10.140625" style="1" bestFit="1" customWidth="1"/>
    <col min="20" max="32" width="9.140625" style="1"/>
    <col min="33" max="33" width="11.7109375" style="1" bestFit="1" customWidth="1"/>
    <col min="34" max="16384" width="9.140625" style="1"/>
  </cols>
  <sheetData>
    <row r="2" spans="2:20" x14ac:dyDescent="0.2">
      <c r="B2" s="197" t="s">
        <v>331</v>
      </c>
      <c r="C2" s="480">
        <f>Inputs!C4</f>
        <v>0.03</v>
      </c>
      <c r="K2" s="466"/>
      <c r="L2" s="467"/>
      <c r="M2" s="479" t="s">
        <v>280</v>
      </c>
      <c r="N2" s="468"/>
      <c r="O2" s="468"/>
      <c r="P2" s="468"/>
      <c r="Q2" s="468"/>
      <c r="R2" s="468"/>
      <c r="S2" s="468"/>
      <c r="T2" s="469"/>
    </row>
    <row r="3" spans="2:20" x14ac:dyDescent="0.2">
      <c r="D3" s="363"/>
      <c r="E3" s="363"/>
      <c r="F3" s="363"/>
      <c r="G3" s="363"/>
      <c r="H3" s="363"/>
      <c r="I3" s="363"/>
      <c r="J3" s="363"/>
      <c r="K3" s="470"/>
      <c r="L3" s="471">
        <f ca="1">C11</f>
        <v>18536971.609521434</v>
      </c>
      <c r="M3" s="472">
        <v>0.03</v>
      </c>
      <c r="N3" s="472">
        <v>0.05</v>
      </c>
      <c r="O3" s="472">
        <v>7.0000000000000007E-2</v>
      </c>
      <c r="P3" s="472">
        <v>0.09</v>
      </c>
      <c r="Q3" s="472">
        <v>0.11</v>
      </c>
      <c r="R3" s="472">
        <v>0.13</v>
      </c>
      <c r="S3" s="472">
        <v>0.15</v>
      </c>
      <c r="T3" s="473"/>
    </row>
    <row r="4" spans="2:20" x14ac:dyDescent="0.2">
      <c r="D4" s="363"/>
      <c r="E4" s="363"/>
      <c r="F4" s="363"/>
      <c r="G4" s="363"/>
      <c r="H4" s="363"/>
      <c r="I4" s="363"/>
      <c r="J4" s="363"/>
      <c r="K4" s="513" t="s">
        <v>281</v>
      </c>
      <c r="L4" s="474">
        <v>2</v>
      </c>
      <c r="M4" s="475">
        <f t="dataTable" ref="M4:S9" dt2D="1" dtr="1" r1="C9" r2="C7" ca="1"/>
        <v>-14834034.902475901</v>
      </c>
      <c r="N4" s="475">
        <v>-13954985.099172186</v>
      </c>
      <c r="O4" s="475">
        <v>-13170891.662228534</v>
      </c>
      <c r="P4" s="475">
        <v>-12470000.556094486</v>
      </c>
      <c r="Q4" s="475">
        <v>-11842191.495205935</v>
      </c>
      <c r="R4" s="475">
        <v>-11278726.862987394</v>
      </c>
      <c r="S4" s="475">
        <v>-10772042.781625567</v>
      </c>
      <c r="T4" s="473"/>
    </row>
    <row r="5" spans="2:20" x14ac:dyDescent="0.2">
      <c r="C5" s="322" t="s">
        <v>276</v>
      </c>
      <c r="D5" s="322" t="s">
        <v>6</v>
      </c>
      <c r="E5" s="322" t="s">
        <v>7</v>
      </c>
      <c r="F5" s="322" t="s">
        <v>8</v>
      </c>
      <c r="G5" s="322" t="s">
        <v>9</v>
      </c>
      <c r="H5" s="394" t="s">
        <v>10</v>
      </c>
      <c r="I5" s="385"/>
      <c r="J5" s="385"/>
      <c r="K5" s="513"/>
      <c r="L5" s="474">
        <v>4</v>
      </c>
      <c r="M5" s="475">
        <v>-4176997.7784986952</v>
      </c>
      <c r="N5" s="475">
        <v>-4274968.3930784557</v>
      </c>
      <c r="O5" s="475">
        <v>-4362356.0651041158</v>
      </c>
      <c r="P5" s="475">
        <v>-4440470.7887106417</v>
      </c>
      <c r="Q5" s="475">
        <v>-4510440.4756417274</v>
      </c>
      <c r="R5" s="475">
        <v>-4573238.938373806</v>
      </c>
      <c r="S5" s="475">
        <v>-4629709.1755119506</v>
      </c>
      <c r="T5" s="473"/>
    </row>
    <row r="6" spans="2:20" x14ac:dyDescent="0.2">
      <c r="B6" s="1" t="s">
        <v>274</v>
      </c>
      <c r="C6" s="365">
        <f>-BalanceSheet!D26</f>
        <v>-5245631</v>
      </c>
      <c r="D6" s="255">
        <v>0</v>
      </c>
      <c r="E6" s="364">
        <v>0</v>
      </c>
      <c r="F6" s="364">
        <v>0</v>
      </c>
      <c r="G6" s="364">
        <v>0</v>
      </c>
      <c r="H6" s="365">
        <f ca="1">H31*C7+H43-H57</f>
        <v>38302119.328660384</v>
      </c>
      <c r="I6" s="365"/>
      <c r="J6" s="365"/>
      <c r="K6" s="513"/>
      <c r="L6" s="474">
        <v>6</v>
      </c>
      <c r="M6" s="475">
        <v>6480039.3454785105</v>
      </c>
      <c r="N6" s="475">
        <v>5405048.3130152747</v>
      </c>
      <c r="O6" s="475">
        <v>4446179.5320203025</v>
      </c>
      <c r="P6" s="475">
        <v>3589058.9786732029</v>
      </c>
      <c r="Q6" s="475">
        <v>2821310.5439224783</v>
      </c>
      <c r="R6" s="475">
        <v>2132248.9862397807</v>
      </c>
      <c r="S6" s="475">
        <v>1512624.4306016667</v>
      </c>
      <c r="T6" s="473"/>
    </row>
    <row r="7" spans="2:20" x14ac:dyDescent="0.2">
      <c r="B7" s="1" t="s">
        <v>279</v>
      </c>
      <c r="C7" s="460">
        <v>10</v>
      </c>
      <c r="D7" s="255"/>
      <c r="E7" s="364"/>
      <c r="F7" s="364"/>
      <c r="G7" s="364"/>
      <c r="H7" s="365"/>
      <c r="I7" s="365"/>
      <c r="J7" s="365"/>
      <c r="K7" s="513"/>
      <c r="L7" s="474">
        <v>8</v>
      </c>
      <c r="M7" s="475">
        <v>17137076.469455719</v>
      </c>
      <c r="N7" s="475">
        <v>15085065.019109007</v>
      </c>
      <c r="O7" s="475">
        <v>13254715.129144721</v>
      </c>
      <c r="P7" s="475">
        <v>11618588.746057048</v>
      </c>
      <c r="Q7" s="475">
        <v>10153061.563486688</v>
      </c>
      <c r="R7" s="475">
        <v>8837736.9108533692</v>
      </c>
      <c r="S7" s="475">
        <v>7654958.036715284</v>
      </c>
      <c r="T7" s="473"/>
    </row>
    <row r="8" spans="2:20" x14ac:dyDescent="0.2">
      <c r="B8" s="1" t="s">
        <v>275</v>
      </c>
      <c r="C8" s="235">
        <f ca="1">IRR(C6:H6)</f>
        <v>0.48828126092616775</v>
      </c>
      <c r="D8" s="1"/>
      <c r="E8" s="363"/>
      <c r="F8" s="363"/>
      <c r="G8" s="363"/>
      <c r="H8" s="363"/>
      <c r="I8" s="363"/>
      <c r="J8" s="363"/>
      <c r="K8" s="513"/>
      <c r="L8" s="474">
        <v>10</v>
      </c>
      <c r="M8" s="475">
        <v>27794113.593432922</v>
      </c>
      <c r="N8" s="475">
        <v>24765081.725202732</v>
      </c>
      <c r="O8" s="475">
        <v>22063250.726269133</v>
      </c>
      <c r="P8" s="475">
        <v>19648118.513440892</v>
      </c>
      <c r="Q8" s="475">
        <v>17484812.583050892</v>
      </c>
      <c r="R8" s="475">
        <v>15543224.835466951</v>
      </c>
      <c r="S8" s="475">
        <v>13797291.642828897</v>
      </c>
      <c r="T8" s="473"/>
    </row>
    <row r="9" spans="2:20" x14ac:dyDescent="0.2">
      <c r="B9" s="1" t="s">
        <v>278</v>
      </c>
      <c r="C9" s="383">
        <v>0.1</v>
      </c>
      <c r="D9" s="363"/>
      <c r="E9" s="363"/>
      <c r="F9" s="363"/>
      <c r="G9" s="363"/>
      <c r="H9" s="363"/>
      <c r="I9" s="363"/>
      <c r="J9" s="363"/>
      <c r="K9" s="513"/>
      <c r="L9" s="474">
        <v>12</v>
      </c>
      <c r="M9" s="475">
        <v>38451150.717410132</v>
      </c>
      <c r="N9" s="475">
        <v>34445098.431296468</v>
      </c>
      <c r="O9" s="475">
        <v>30871786.323393553</v>
      </c>
      <c r="P9" s="475">
        <v>27677648.280824739</v>
      </c>
      <c r="Q9" s="475">
        <v>24816563.602615107</v>
      </c>
      <c r="R9" s="475">
        <v>22248712.760080542</v>
      </c>
      <c r="S9" s="475">
        <v>19939625.248942517</v>
      </c>
      <c r="T9" s="473"/>
    </row>
    <row r="10" spans="2:20" x14ac:dyDescent="0.2">
      <c r="C10" s="383"/>
      <c r="D10" s="363"/>
      <c r="E10" s="363"/>
      <c r="F10" s="363"/>
      <c r="G10" s="363"/>
      <c r="H10" s="363"/>
      <c r="I10" s="363"/>
      <c r="J10" s="363"/>
      <c r="K10" s="494"/>
      <c r="L10" s="474"/>
      <c r="M10" s="475"/>
      <c r="N10" s="475"/>
      <c r="O10" s="475"/>
      <c r="P10" s="475"/>
      <c r="Q10" s="475"/>
      <c r="R10" s="475"/>
      <c r="S10" s="475"/>
      <c r="T10" s="473"/>
    </row>
    <row r="11" spans="2:20" x14ac:dyDescent="0.2">
      <c r="B11" s="1" t="s">
        <v>277</v>
      </c>
      <c r="C11" s="461">
        <f ca="1">NPV(C9,D6:H6)+C6</f>
        <v>18536971.609521434</v>
      </c>
      <c r="D11" s="363"/>
      <c r="E11" s="363"/>
      <c r="F11" s="363"/>
      <c r="G11" s="363"/>
      <c r="H11" s="363"/>
      <c r="I11" s="363"/>
      <c r="J11" s="363"/>
      <c r="K11" s="476"/>
      <c r="L11" s="477"/>
      <c r="M11" s="477"/>
      <c r="N11" s="477"/>
      <c r="O11" s="477"/>
      <c r="P11" s="477"/>
      <c r="Q11" s="477"/>
      <c r="R11" s="477"/>
      <c r="S11" s="477"/>
      <c r="T11" s="478"/>
    </row>
    <row r="12" spans="2:20" x14ac:dyDescent="0.2">
      <c r="C12" s="257"/>
      <c r="D12" s="363"/>
      <c r="E12" s="363"/>
      <c r="F12" s="363"/>
      <c r="G12" s="363"/>
      <c r="H12" s="363"/>
      <c r="I12" s="363"/>
      <c r="J12" s="363"/>
    </row>
    <row r="15" spans="2:20" x14ac:dyDescent="0.2">
      <c r="B15" s="320"/>
      <c r="C15" s="320"/>
      <c r="D15" s="322" t="s">
        <v>6</v>
      </c>
      <c r="E15" s="322" t="s">
        <v>7</v>
      </c>
      <c r="F15" s="322" t="s">
        <v>8</v>
      </c>
      <c r="G15" s="322" t="s">
        <v>9</v>
      </c>
      <c r="H15" s="322" t="s">
        <v>10</v>
      </c>
      <c r="I15" s="396"/>
      <c r="J15" s="385"/>
      <c r="M15" s="419" t="s">
        <v>6</v>
      </c>
      <c r="N15" s="419" t="s">
        <v>7</v>
      </c>
      <c r="O15" s="419" t="s">
        <v>8</v>
      </c>
      <c r="P15" s="419" t="s">
        <v>9</v>
      </c>
      <c r="Q15" s="419" t="s">
        <v>10</v>
      </c>
    </row>
    <row r="16" spans="2:20" x14ac:dyDescent="0.2">
      <c r="B16" s="373" t="s">
        <v>272</v>
      </c>
      <c r="C16" s="321"/>
      <c r="D16" s="321"/>
      <c r="E16" s="321"/>
      <c r="F16" s="321"/>
      <c r="G16" s="321"/>
      <c r="H16" s="321"/>
      <c r="I16" s="321"/>
      <c r="J16" s="321"/>
    </row>
    <row r="17" spans="2:19" x14ac:dyDescent="0.2">
      <c r="B17" s="338" t="s">
        <v>15</v>
      </c>
      <c r="C17" s="67"/>
      <c r="D17" s="319">
        <f ca="1">'CompanyP&amp;L'!Y5</f>
        <v>17042914.539927699</v>
      </c>
      <c r="E17" s="319">
        <f ca="1">'CompanyP&amp;L'!Z5</f>
        <v>26716091.679592844</v>
      </c>
      <c r="F17" s="319">
        <f ca="1">'CompanyP&amp;L'!AA5</f>
        <v>36682474.011686623</v>
      </c>
      <c r="G17" s="319">
        <f ca="1">'CompanyP&amp;L'!AB5</f>
        <v>46950977.93888256</v>
      </c>
      <c r="H17" s="345">
        <f ca="1">'CompanyP&amp;L'!AC5</f>
        <v>57530791.707245961</v>
      </c>
      <c r="I17" s="434">
        <f ca="1">(H17/D17)^(1/5)-1</f>
        <v>0.27547307998227089</v>
      </c>
      <c r="J17" s="341"/>
      <c r="L17" s="474"/>
      <c r="M17" s="474"/>
      <c r="N17" s="474"/>
      <c r="O17" s="474"/>
      <c r="P17" s="474"/>
      <c r="Q17" s="474"/>
      <c r="R17" s="474"/>
      <c r="S17" s="474"/>
    </row>
    <row r="18" spans="2:19" x14ac:dyDescent="0.2">
      <c r="B18" s="352" t="str">
        <f>B17&amp;" as a % of Revenue"</f>
        <v>Revenue as a % of Revenue</v>
      </c>
      <c r="C18" s="366"/>
      <c r="D18" s="353">
        <f ca="1">'CompanyP&amp;L'!Y6</f>
        <v>1</v>
      </c>
      <c r="E18" s="353">
        <f ca="1">'CompanyP&amp;L'!Z6</f>
        <v>1</v>
      </c>
      <c r="F18" s="353">
        <f ca="1">'CompanyP&amp;L'!AA6</f>
        <v>1</v>
      </c>
      <c r="G18" s="353">
        <f ca="1">'CompanyP&amp;L'!AB6</f>
        <v>1</v>
      </c>
      <c r="H18" s="354">
        <f ca="1">'CompanyP&amp;L'!AC6</f>
        <v>1</v>
      </c>
      <c r="I18" s="353"/>
      <c r="J18" s="353"/>
      <c r="L18" s="474"/>
      <c r="M18" s="496" t="s">
        <v>282</v>
      </c>
      <c r="N18" s="496"/>
      <c r="O18" s="496"/>
      <c r="P18" s="496"/>
      <c r="Q18" s="496"/>
      <c r="R18" s="474"/>
      <c r="S18" s="474"/>
    </row>
    <row r="19" spans="2:19" x14ac:dyDescent="0.2">
      <c r="B19" s="343" t="s">
        <v>232</v>
      </c>
      <c r="C19" s="195"/>
      <c r="D19" s="341">
        <f ca="1">'CompanyP&amp;L'!Y7</f>
        <v>4942445.2165790331</v>
      </c>
      <c r="E19" s="341">
        <f ca="1">'CompanyP&amp;L'!Z7</f>
        <v>7747666.5870819241</v>
      </c>
      <c r="F19" s="341">
        <f ca="1">'CompanyP&amp;L'!AA7</f>
        <v>10637917.463389119</v>
      </c>
      <c r="G19" s="341">
        <f ca="1">'CompanyP&amp;L'!AB7</f>
        <v>13615783.602275942</v>
      </c>
      <c r="H19" s="342">
        <f ca="1">'CompanyP&amp;L'!AC7</f>
        <v>16683929.595101327</v>
      </c>
      <c r="I19" s="434">
        <f ca="1">(H19/D19)^(1/5)-1</f>
        <v>0.27547307998227089</v>
      </c>
      <c r="J19" s="341"/>
      <c r="L19" s="495" t="s">
        <v>283</v>
      </c>
      <c r="M19" s="504">
        <f ca="1">D$39/D$17</f>
        <v>7.1832532547384739E-2</v>
      </c>
      <c r="N19" s="504">
        <f ca="1">E$39/E$17</f>
        <v>4.0019979033829166E-2</v>
      </c>
      <c r="O19" s="504">
        <f ca="1">F$39/F$17</f>
        <v>2.2815725444257945E-2</v>
      </c>
      <c r="P19" s="504">
        <f ca="1">G$39/G$17</f>
        <v>2.3774519704363867E-2</v>
      </c>
      <c r="Q19" s="504">
        <f ca="1">H$39/H$17</f>
        <v>2.749454187890675E-2</v>
      </c>
      <c r="R19" s="474"/>
      <c r="S19" s="474"/>
    </row>
    <row r="20" spans="2:19" x14ac:dyDescent="0.2">
      <c r="B20" s="352" t="str">
        <f>B19&amp;" as a % of Revenue"</f>
        <v>Food &amp; Paper Costs as a % of Revenue</v>
      </c>
      <c r="C20" s="366"/>
      <c r="D20" s="355">
        <f ca="1">'CompanyP&amp;L'!Y8</f>
        <v>0.29000000000000004</v>
      </c>
      <c r="E20" s="355">
        <f ca="1">'CompanyP&amp;L'!Z8</f>
        <v>0.28999999999999998</v>
      </c>
      <c r="F20" s="355">
        <f ca="1">'CompanyP&amp;L'!AA8</f>
        <v>0.28999999999999998</v>
      </c>
      <c r="G20" s="355">
        <f ca="1">'CompanyP&amp;L'!AB8</f>
        <v>0.28999999999999998</v>
      </c>
      <c r="H20" s="356">
        <f ca="1">'CompanyP&amp;L'!AC8</f>
        <v>0.28999999999999998</v>
      </c>
      <c r="I20" s="355"/>
      <c r="J20" s="355"/>
      <c r="K20" s="507"/>
      <c r="L20" s="495"/>
      <c r="M20" s="474"/>
      <c r="N20" s="474"/>
      <c r="O20" s="474"/>
      <c r="P20" s="474"/>
      <c r="Q20" s="474"/>
      <c r="R20" s="474"/>
      <c r="S20" s="474"/>
    </row>
    <row r="21" spans="2:19" x14ac:dyDescent="0.2">
      <c r="B21" s="343" t="s">
        <v>233</v>
      </c>
      <c r="C21" s="195"/>
      <c r="D21" s="341">
        <f ca="1">'CompanyP&amp;L'!Y9</f>
        <v>5482453.5039675497</v>
      </c>
      <c r="E21" s="341">
        <f ca="1">'CompanyP&amp;L'!Z9</f>
        <v>9400677.8972385228</v>
      </c>
      <c r="F21" s="341">
        <f ca="1">'CompanyP&amp;L'!AA9</f>
        <v>13433511.907810386</v>
      </c>
      <c r="G21" s="341">
        <f ca="1">'CompanyP&amp;L'!AB9</f>
        <v>17584436.96880332</v>
      </c>
      <c r="H21" s="342">
        <f ca="1">'CompanyP&amp;L'!AC9</f>
        <v>21857040.437100589</v>
      </c>
      <c r="I21" s="434">
        <f ca="1">(H21/D21)^(1/5)-1</f>
        <v>0.31863099471421785</v>
      </c>
      <c r="J21" s="341"/>
      <c r="K21" s="507"/>
      <c r="L21" s="495" t="s">
        <v>284</v>
      </c>
      <c r="M21" s="504">
        <f ca="1">D$31/D$17</f>
        <v>0.15868608637144679</v>
      </c>
      <c r="N21" s="504">
        <f ca="1">E$31/E$17</f>
        <v>0.13002393412891736</v>
      </c>
      <c r="O21" s="504">
        <f ca="1">F$31/F$17</f>
        <v>0.11360372614640538</v>
      </c>
      <c r="P21" s="504">
        <f ca="1">G$31/G$17</f>
        <v>0.10920701803154528</v>
      </c>
      <c r="Q21" s="504">
        <f ca="1">H$31/H$17</f>
        <v>0.10737229994632058</v>
      </c>
      <c r="R21" s="474"/>
      <c r="S21" s="474"/>
    </row>
    <row r="22" spans="2:19" x14ac:dyDescent="0.2">
      <c r="B22" s="352" t="str">
        <f>B21&amp;" as a % of Revenue"</f>
        <v>Labor &amp; Benefits as a % of Revenue</v>
      </c>
      <c r="C22" s="366"/>
      <c r="D22" s="355">
        <f ca="1">'CompanyP&amp;L'!Y10</f>
        <v>0.32168520772215337</v>
      </c>
      <c r="E22" s="355">
        <f ca="1">'CompanyP&amp;L'!Z10</f>
        <v>0.35187324590667035</v>
      </c>
      <c r="F22" s="355">
        <f ca="1">'CompanyP&amp;L'!AA10</f>
        <v>0.36621062972826263</v>
      </c>
      <c r="G22" s="355">
        <f ca="1">'CompanyP&amp;L'!AB10</f>
        <v>0.37452759752296294</v>
      </c>
      <c r="H22" s="356">
        <f ca="1">'CompanyP&amp;L'!AC10</f>
        <v>0.37991899274258922</v>
      </c>
      <c r="I22" s="355"/>
      <c r="J22" s="355"/>
      <c r="K22" s="507"/>
      <c r="L22" s="495"/>
      <c r="M22" s="504"/>
      <c r="N22" s="504"/>
      <c r="O22" s="504"/>
      <c r="P22" s="504"/>
      <c r="Q22" s="504"/>
      <c r="R22" s="474"/>
      <c r="S22" s="474"/>
    </row>
    <row r="23" spans="2:19" x14ac:dyDescent="0.2">
      <c r="B23" s="343" t="s">
        <v>234</v>
      </c>
      <c r="C23" s="195"/>
      <c r="D23" s="341">
        <f ca="1">'CompanyP&amp;L'!Y11</f>
        <v>1582052.4106769634</v>
      </c>
      <c r="E23" s="341">
        <f ca="1">'CompanyP&amp;L'!Z11</f>
        <v>2582325.8505428992</v>
      </c>
      <c r="F23" s="341">
        <f ca="1">'CompanyP&amp;L'!AA11</f>
        <v>3594913.9084908385</v>
      </c>
      <c r="G23" s="341">
        <f ca="1">'CompanyP&amp;L'!AB11</f>
        <v>4620191.0734330676</v>
      </c>
      <c r="H23" s="342">
        <f ca="1">'CompanyP&amp;L'!AC11</f>
        <v>5658543.2517043296</v>
      </c>
      <c r="I23" s="434">
        <f ca="1">(H23/D23)^(1/5)-1</f>
        <v>0.29031799658749002</v>
      </c>
      <c r="J23" s="341"/>
      <c r="K23" s="507"/>
      <c r="L23" s="495" t="s">
        <v>309</v>
      </c>
      <c r="M23" s="504">
        <f ca="1">D$35/D$17</f>
        <v>0.10117023759945273</v>
      </c>
      <c r="N23" s="504">
        <f ca="1">E$35/E$17</f>
        <v>5.8735291363062048E-2</v>
      </c>
      <c r="O23" s="504">
        <f ca="1">F$35/F$17</f>
        <v>4.0058292011564516E-2</v>
      </c>
      <c r="P23" s="504">
        <f ca="1">G$35/G$17</f>
        <v>3.7246017589314069E-2</v>
      </c>
      <c r="Q23" s="504">
        <f ca="1">H$35/H$17</f>
        <v>3.8488654444201714E-2</v>
      </c>
      <c r="R23" s="474"/>
      <c r="S23" s="474"/>
    </row>
    <row r="24" spans="2:19" x14ac:dyDescent="0.2">
      <c r="B24" s="352" t="str">
        <f>B23&amp;" as a % of Revenue"</f>
        <v>Other Operating Expenses as a % of Revenue</v>
      </c>
      <c r="C24" s="366"/>
      <c r="D24" s="355">
        <f ca="1">'CompanyP&amp;L'!Y12</f>
        <v>9.2827574002707816E-2</v>
      </c>
      <c r="E24" s="355">
        <f ca="1">'CompanyP&amp;L'!Z12</f>
        <v>9.6658069657524631E-2</v>
      </c>
      <c r="F24" s="355">
        <f ca="1">'CompanyP&amp;L'!AA12</f>
        <v>9.8000857503382666E-2</v>
      </c>
      <c r="G24" s="355">
        <f ca="1">'CompanyP&amp;L'!AB12</f>
        <v>9.8404575926987148E-2</v>
      </c>
      <c r="H24" s="356">
        <f ca="1">'CompanyP&amp;L'!AC12</f>
        <v>9.8356777019490249E-2</v>
      </c>
      <c r="I24" s="355"/>
      <c r="J24" s="355"/>
      <c r="K24" s="507"/>
      <c r="L24" s="495"/>
      <c r="M24" s="474"/>
      <c r="N24" s="474"/>
      <c r="O24" s="474"/>
      <c r="P24" s="474"/>
      <c r="Q24" s="474"/>
      <c r="R24" s="474"/>
      <c r="S24" s="474"/>
    </row>
    <row r="25" spans="2:19" x14ac:dyDescent="0.2">
      <c r="B25" s="343" t="s">
        <v>235</v>
      </c>
      <c r="C25" s="195"/>
      <c r="D25" s="341">
        <f ca="1">'CompanyP&amp;L'!Y13</f>
        <v>1137500</v>
      </c>
      <c r="E25" s="341">
        <f ca="1">'CompanyP&amp;L'!Z13</f>
        <v>1917500</v>
      </c>
      <c r="F25" s="341">
        <f ca="1">'CompanyP&amp;L'!AA13</f>
        <v>2697500</v>
      </c>
      <c r="G25" s="341">
        <f ca="1">'CompanyP&amp;L'!AB13</f>
        <v>3477500</v>
      </c>
      <c r="H25" s="342">
        <f ca="1">'CompanyP&amp;L'!AC13</f>
        <v>4257500</v>
      </c>
      <c r="I25" s="434">
        <f ca="1">(H25/D25)^(1/5)-1</f>
        <v>0.30208894077754644</v>
      </c>
      <c r="J25" s="341"/>
      <c r="K25" s="507"/>
      <c r="L25" s="495" t="s">
        <v>285</v>
      </c>
      <c r="M25" s="504">
        <f ca="1">D$39/D$50</f>
        <v>7.1911292910015565E-2</v>
      </c>
      <c r="N25" s="504">
        <f ca="1">E$39/E$50</f>
        <v>5.8245769068231666E-2</v>
      </c>
      <c r="O25" s="504">
        <f ca="1">F$39/F$50</f>
        <v>3.6334704166037068E-2</v>
      </c>
      <c r="P25" s="504">
        <f ca="1">G$39/G$50</f>
        <v>4.5692355578497365E-2</v>
      </c>
      <c r="Q25" s="504">
        <f ca="1">H$39/H$50</f>
        <v>6.0146780464442599E-2</v>
      </c>
      <c r="R25" s="474"/>
      <c r="S25" s="474"/>
    </row>
    <row r="26" spans="2:19" x14ac:dyDescent="0.2">
      <c r="B26" s="357" t="str">
        <f>B25&amp;" as a % of Revenue"</f>
        <v>Occupancy Costs as a % of Revenue</v>
      </c>
      <c r="C26" s="366"/>
      <c r="D26" s="355">
        <f ca="1">'CompanyP&amp;L'!Y14</f>
        <v>6.6743278993454697E-2</v>
      </c>
      <c r="E26" s="355">
        <f ca="1">'CompanyP&amp;L'!Z14</f>
        <v>7.1773222782608101E-2</v>
      </c>
      <c r="F26" s="355">
        <f ca="1">'CompanyP&amp;L'!AA14</f>
        <v>7.3536479549896408E-2</v>
      </c>
      <c r="G26" s="355">
        <f ca="1">'CompanyP&amp;L'!AB14</f>
        <v>7.4066614853619497E-2</v>
      </c>
      <c r="H26" s="356">
        <f ca="1">'CompanyP&amp;L'!AC14</f>
        <v>7.4003848611451858E-2</v>
      </c>
      <c r="I26" s="355"/>
      <c r="J26" s="355"/>
      <c r="K26" s="507"/>
      <c r="L26" s="495"/>
      <c r="M26" s="474"/>
      <c r="N26" s="474"/>
      <c r="O26" s="474"/>
      <c r="P26" s="474"/>
      <c r="Q26" s="474"/>
      <c r="R26" s="474"/>
      <c r="S26" s="474"/>
    </row>
    <row r="27" spans="2:19" x14ac:dyDescent="0.2">
      <c r="B27" s="343" t="s">
        <v>236</v>
      </c>
      <c r="C27" s="67"/>
      <c r="D27" s="319">
        <f ca="1">'CompanyP&amp;L'!Y15</f>
        <v>3898463.4087041533</v>
      </c>
      <c r="E27" s="319">
        <f ca="1">'CompanyP&amp;L'!Z15</f>
        <v>5067921.3447294971</v>
      </c>
      <c r="F27" s="319">
        <f ca="1">'CompanyP&amp;L'!AA15</f>
        <v>6318630.7319962792</v>
      </c>
      <c r="G27" s="319">
        <f ca="1">'CompanyP&amp;L'!AB15</f>
        <v>7653066.2943702312</v>
      </c>
      <c r="H27" s="345">
        <f ca="1">'CompanyP&amp;L'!AC15</f>
        <v>9073778.4233397059</v>
      </c>
      <c r="I27" s="434">
        <f ca="1">(H27/D27)^(1/5)-1</f>
        <v>0.18407426329502408</v>
      </c>
      <c r="J27" s="341"/>
      <c r="L27" s="495" t="s">
        <v>286</v>
      </c>
      <c r="M27" s="504">
        <f ca="1">D$39/D$62</f>
        <v>0.18922116445732473</v>
      </c>
      <c r="N27" s="504">
        <f ca="1">E$39/E$62</f>
        <v>0.14181869859174906</v>
      </c>
      <c r="O27" s="504">
        <f ca="1">F$39/F$62</f>
        <v>9.9921097708317308E-2</v>
      </c>
      <c r="P27" s="504">
        <f ca="1">G$39/G$62</f>
        <v>0.11759495085486266</v>
      </c>
      <c r="Q27" s="504">
        <f ca="1">H$39/H$62</f>
        <v>0.14283751159205663</v>
      </c>
      <c r="R27" s="474"/>
      <c r="S27" s="474"/>
    </row>
    <row r="28" spans="2:19" x14ac:dyDescent="0.2">
      <c r="B28" s="352" t="str">
        <f>B27&amp;" as a % of Revenue"</f>
        <v>SLEBITDA as a % of Revenue</v>
      </c>
      <c r="C28" s="366"/>
      <c r="D28" s="355">
        <f ca="1">'CompanyP&amp;L'!Y16</f>
        <v>0.22874393928168413</v>
      </c>
      <c r="E28" s="355">
        <f ca="1">'CompanyP&amp;L'!Z16</f>
        <v>0.1896954616531969</v>
      </c>
      <c r="F28" s="355">
        <f ca="1">'CompanyP&amp;L'!AA16</f>
        <v>0.17225203321845833</v>
      </c>
      <c r="G28" s="355">
        <f ca="1">'CompanyP&amp;L'!AB16</f>
        <v>0.16300121169643045</v>
      </c>
      <c r="H28" s="356">
        <f ca="1">'CompanyP&amp;L'!AC16</f>
        <v>0.15772038162646856</v>
      </c>
      <c r="I28" s="355"/>
      <c r="J28" s="355"/>
      <c r="L28" s="495"/>
      <c r="M28" s="474"/>
      <c r="N28" s="474"/>
      <c r="O28" s="474"/>
      <c r="P28" s="474"/>
      <c r="Q28" s="474"/>
      <c r="R28" s="474"/>
      <c r="S28" s="474"/>
    </row>
    <row r="29" spans="2:19" x14ac:dyDescent="0.2">
      <c r="B29" s="343" t="s">
        <v>240</v>
      </c>
      <c r="C29" s="195"/>
      <c r="D29" s="341">
        <f>'CompanyP&amp;L'!Y17</f>
        <v>1193990</v>
      </c>
      <c r="E29" s="341">
        <f>'CompanyP&amp;L'!Z17</f>
        <v>1594190</v>
      </c>
      <c r="F29" s="341">
        <f>'CompanyP&amp;L'!AA17</f>
        <v>2151365</v>
      </c>
      <c r="G29" s="341">
        <f>'CompanyP&amp;L'!AB17</f>
        <v>2525690</v>
      </c>
      <c r="H29" s="342">
        <f>'CompanyP&amp;L'!AC17</f>
        <v>2896565</v>
      </c>
      <c r="I29" s="434">
        <f>(H29/D29)^(1/5)-1</f>
        <v>0.19392354766701869</v>
      </c>
      <c r="J29" s="341"/>
      <c r="L29" s="197"/>
      <c r="M29" s="402" t="s">
        <v>287</v>
      </c>
      <c r="N29" s="402"/>
      <c r="O29" s="402"/>
      <c r="P29" s="402"/>
      <c r="Q29" s="402"/>
    </row>
    <row r="30" spans="2:19" x14ac:dyDescent="0.2">
      <c r="B30" s="357" t="str">
        <f>B29&amp;" as a % of Revenue"</f>
        <v>G&amp;A as a % of Revenue</v>
      </c>
      <c r="C30" s="366"/>
      <c r="D30" s="355">
        <f ca="1">'CompanyP&amp;L'!Y18</f>
        <v>7.0057852910237334E-2</v>
      </c>
      <c r="E30" s="355">
        <f ca="1">'CompanyP&amp;L'!Z18</f>
        <v>5.9671527524279538E-2</v>
      </c>
      <c r="F30" s="355">
        <f ca="1">'CompanyP&amp;L'!AA18</f>
        <v>5.8648307072052971E-2</v>
      </c>
      <c r="G30" s="355">
        <f ca="1">'CompanyP&amp;L'!AB18</f>
        <v>5.3794193664885179E-2</v>
      </c>
      <c r="H30" s="356">
        <f ca="1">'CompanyP&amp;L'!AC18</f>
        <v>5.0348081680147982E-2</v>
      </c>
      <c r="I30" s="355"/>
      <c r="J30" s="355"/>
      <c r="L30" s="197" t="s">
        <v>310</v>
      </c>
      <c r="M30" s="432">
        <f ca="1">D$17/((Inputs!D$86+'Annual Summary'!D$49)/2)</f>
        <v>2.3475473196177097</v>
      </c>
      <c r="N30" s="433">
        <f ca="1">E$17/((D$49+E$49)/2)</f>
        <v>2.0060913140845984</v>
      </c>
      <c r="O30" s="433">
        <f ca="1">F$17/((E$49+F$49)/2)</f>
        <v>1.9810915571540855</v>
      </c>
      <c r="P30" s="433">
        <f ca="1">G$17/((F$49+G$49)/2)</f>
        <v>2.0432959722306405</v>
      </c>
      <c r="Q30" s="433">
        <f ca="1">H$17/((G$49+H$49)/2)</f>
        <v>2.1460887463339469</v>
      </c>
    </row>
    <row r="31" spans="2:19" x14ac:dyDescent="0.2">
      <c r="B31" s="343" t="s">
        <v>241</v>
      </c>
      <c r="C31" s="67"/>
      <c r="D31" s="319">
        <f ca="1">'CompanyP&amp;L'!Y19</f>
        <v>2704473.4087041533</v>
      </c>
      <c r="E31" s="319">
        <f ca="1">'CompanyP&amp;L'!Z19</f>
        <v>3473731.3447294971</v>
      </c>
      <c r="F31" s="319">
        <f ca="1">'CompanyP&amp;L'!AA19</f>
        <v>4167265.7319962792</v>
      </c>
      <c r="G31" s="319">
        <f ca="1">'CompanyP&amp;L'!AB19</f>
        <v>5127376.2943702321</v>
      </c>
      <c r="H31" s="345">
        <f ca="1">'CompanyP&amp;L'!AC19</f>
        <v>6177213.4233397059</v>
      </c>
      <c r="I31" s="434">
        <f ca="1">(H31/D31)^(1/5)-1</f>
        <v>0.17961959510594849</v>
      </c>
      <c r="J31" s="341"/>
      <c r="L31" s="197"/>
      <c r="M31" s="402"/>
      <c r="N31" s="402"/>
      <c r="O31" s="402"/>
      <c r="P31" s="402"/>
      <c r="Q31" s="402"/>
    </row>
    <row r="32" spans="2:19" x14ac:dyDescent="0.2">
      <c r="B32" s="352" t="str">
        <f>B31&amp;" as a % of Revenue"</f>
        <v>EBITDA as a % of Revenue</v>
      </c>
      <c r="C32" s="366"/>
      <c r="D32" s="355">
        <f ca="1">'CompanyP&amp;L'!Y20</f>
        <v>0.15868608637144679</v>
      </c>
      <c r="E32" s="355">
        <f ca="1">'CompanyP&amp;L'!Z20</f>
        <v>0.13002393412891736</v>
      </c>
      <c r="F32" s="355">
        <f ca="1">'CompanyP&amp;L'!AA20</f>
        <v>0.11360372614640538</v>
      </c>
      <c r="G32" s="355">
        <f ca="1">'CompanyP&amp;L'!AB20</f>
        <v>0.10920701803154528</v>
      </c>
      <c r="H32" s="356">
        <f ca="1">'CompanyP&amp;L'!AC20</f>
        <v>0.10737229994632058</v>
      </c>
      <c r="I32" s="355"/>
      <c r="J32" s="355"/>
      <c r="L32" s="197" t="s">
        <v>287</v>
      </c>
      <c r="M32" s="432">
        <f ca="1">D$17/Inputs!D$87</f>
        <v>1.0963696706114594</v>
      </c>
      <c r="N32" s="433">
        <f ca="1">E$17/D$50</f>
        <v>1.5692963970635374</v>
      </c>
      <c r="O32" s="433">
        <f ca="1">F$17/E$50</f>
        <v>1.9983576648900525</v>
      </c>
      <c r="P32" s="433">
        <f ca="1">G$17/F$50</f>
        <v>2.0383247156996713</v>
      </c>
      <c r="Q32" s="433">
        <f ca="1">H$17/G$50</f>
        <v>2.3549815216683996</v>
      </c>
    </row>
    <row r="33" spans="2:20" x14ac:dyDescent="0.2">
      <c r="B33" s="343" t="s">
        <v>237</v>
      </c>
      <c r="C33" s="195"/>
      <c r="D33" s="341">
        <f>'CompanyP&amp;L'!Y21</f>
        <v>980237.6953125</v>
      </c>
      <c r="E33" s="341">
        <f>'CompanyP&amp;L'!Z21</f>
        <v>1904553.9158463334</v>
      </c>
      <c r="F33" s="341">
        <f>'CompanyP&amp;L'!AA21</f>
        <v>2697828.4763295101</v>
      </c>
      <c r="G33" s="341">
        <f>'CompanyP&amp;L'!AB21</f>
        <v>3378639.3442231151</v>
      </c>
      <c r="H33" s="342">
        <f>'CompanyP&amp;L'!AC21</f>
        <v>3962930.6614181707</v>
      </c>
      <c r="I33" s="434">
        <f>(H33/D33)^(1/5)-1</f>
        <v>0.3223213646143992</v>
      </c>
      <c r="J33" s="341"/>
      <c r="K33" s="474"/>
      <c r="L33" s="495"/>
      <c r="M33" s="474"/>
      <c r="N33" s="474"/>
      <c r="O33" s="474"/>
      <c r="P33" s="474"/>
      <c r="Q33" s="474"/>
      <c r="R33" s="474"/>
      <c r="S33" s="474"/>
    </row>
    <row r="34" spans="2:20" x14ac:dyDescent="0.2">
      <c r="B34" s="357" t="str">
        <f>B33&amp;" as a % of Revenue"</f>
        <v>Depreciation as a % of Revenue</v>
      </c>
      <c r="C34" s="366"/>
      <c r="D34" s="355">
        <f ca="1">'CompanyP&amp;L'!Y22</f>
        <v>5.7515848771994046E-2</v>
      </c>
      <c r="E34" s="355">
        <f ca="1">'CompanyP&amp;L'!Z22</f>
        <v>7.1288642765855295E-2</v>
      </c>
      <c r="F34" s="355">
        <f ca="1">'CompanyP&amp;L'!AA22</f>
        <v>7.3545434134840854E-2</v>
      </c>
      <c r="G34" s="355">
        <f ca="1">'CompanyP&amp;L'!AB22</f>
        <v>7.1961000442231193E-2</v>
      </c>
      <c r="H34" s="356">
        <f ca="1">'CompanyP&amp;L'!AC22</f>
        <v>6.8883645502118868E-2</v>
      </c>
      <c r="I34" s="355"/>
      <c r="J34" s="355"/>
      <c r="K34" s="474"/>
      <c r="L34" s="495"/>
      <c r="M34" s="496" t="s">
        <v>288</v>
      </c>
      <c r="N34" s="496"/>
      <c r="O34" s="496"/>
      <c r="P34" s="496"/>
      <c r="Q34" s="496"/>
      <c r="R34" s="474"/>
      <c r="S34" s="474"/>
    </row>
    <row r="35" spans="2:20" x14ac:dyDescent="0.2">
      <c r="B35" s="343" t="s">
        <v>238</v>
      </c>
      <c r="C35" s="67"/>
      <c r="D35" s="319">
        <f ca="1">'CompanyP&amp;L'!Y23</f>
        <v>1724235.713391653</v>
      </c>
      <c r="E35" s="319">
        <f ca="1">'CompanyP&amp;L'!Z23</f>
        <v>1569177.4288831635</v>
      </c>
      <c r="F35" s="319">
        <f ca="1">'CompanyP&amp;L'!AA23</f>
        <v>1469437.2556667691</v>
      </c>
      <c r="G35" s="319">
        <f ca="1">'CompanyP&amp;L'!AB23</f>
        <v>1748736.9501471166</v>
      </c>
      <c r="H35" s="345">
        <f ca="1">'CompanyP&amp;L'!AC23</f>
        <v>2214282.7619215352</v>
      </c>
      <c r="I35" s="434">
        <f ca="1">(H35/D35)^(1/5)-1</f>
        <v>5.1301510917741266E-2</v>
      </c>
      <c r="J35" s="341"/>
      <c r="K35" s="474"/>
      <c r="L35" s="495" t="s">
        <v>289</v>
      </c>
      <c r="M35" s="503">
        <f ca="1">D$19/Inputs!D$82</f>
        <v>35.512016139045059</v>
      </c>
      <c r="N35" s="497">
        <f ca="1">E$17/D$45</f>
        <v>103.61028600929258</v>
      </c>
      <c r="O35" s="497">
        <f ca="1">F$17/E$45</f>
        <v>96.501406661134226</v>
      </c>
      <c r="P35" s="497">
        <f ca="1">G$17/F$45</f>
        <v>92.769783510310873</v>
      </c>
      <c r="Q35" s="497">
        <f ca="1">H$17/G$45</f>
        <v>90.47152504220017</v>
      </c>
      <c r="R35" s="474"/>
      <c r="S35" s="474"/>
      <c r="T35" s="435">
        <f ca="1">(Q35/M35)^(1/5)-1</f>
        <v>0.20566683962445009</v>
      </c>
    </row>
    <row r="36" spans="2:20" x14ac:dyDescent="0.2">
      <c r="B36" s="352" t="str">
        <f>B35&amp;" as a % of Revenue"</f>
        <v>EBIT as a % of Revenue</v>
      </c>
      <c r="C36" s="366"/>
      <c r="D36" s="355">
        <f ca="1">'CompanyP&amp;L'!Y24</f>
        <v>0.10117023759945273</v>
      </c>
      <c r="E36" s="355">
        <f ca="1">'CompanyP&amp;L'!Z24</f>
        <v>5.8735291363062048E-2</v>
      </c>
      <c r="F36" s="355">
        <f ca="1">'CompanyP&amp;L'!AA24</f>
        <v>4.0058292011564516E-2</v>
      </c>
      <c r="G36" s="355">
        <f ca="1">'CompanyP&amp;L'!AB24</f>
        <v>3.7246017589314069E-2</v>
      </c>
      <c r="H36" s="356">
        <f ca="1">'CompanyP&amp;L'!AC24</f>
        <v>3.8488654444201714E-2</v>
      </c>
      <c r="I36" s="355"/>
      <c r="J36" s="355"/>
      <c r="K36" s="474"/>
      <c r="L36" s="495"/>
      <c r="M36" s="474"/>
      <c r="N36" s="474"/>
      <c r="O36" s="474"/>
      <c r="P36" s="474"/>
      <c r="Q36" s="474"/>
      <c r="R36" s="474"/>
      <c r="S36" s="474"/>
    </row>
    <row r="37" spans="2:20" x14ac:dyDescent="0.2">
      <c r="B37" s="343" t="s">
        <v>165</v>
      </c>
      <c r="C37" s="195"/>
      <c r="D37" s="341">
        <f>'CompanyP&amp;L'!Y25</f>
        <v>500000</v>
      </c>
      <c r="E37" s="341">
        <f>'CompanyP&amp;L'!Z25</f>
        <v>500000</v>
      </c>
      <c r="F37" s="341">
        <f>'CompanyP&amp;L'!AA25</f>
        <v>632500</v>
      </c>
      <c r="G37" s="341">
        <f>'CompanyP&amp;L'!AB25</f>
        <v>632500</v>
      </c>
      <c r="H37" s="342">
        <f>'CompanyP&amp;L'!AC25</f>
        <v>632500</v>
      </c>
      <c r="I37" s="434">
        <f>(H37/D37)^(1/5)-1</f>
        <v>4.8137127757426512E-2</v>
      </c>
      <c r="J37" s="341"/>
      <c r="K37" s="474"/>
      <c r="L37" s="495" t="s">
        <v>290</v>
      </c>
      <c r="M37" s="503">
        <f ca="1">365/M35</f>
        <v>10.278211143261073</v>
      </c>
      <c r="N37" s="503">
        <f t="shared" ref="N37:Q37" ca="1" si="0">365/N35</f>
        <v>3.5228162575216126</v>
      </c>
      <c r="O37" s="503">
        <f t="shared" ca="1" si="0"/>
        <v>3.7823282854487457</v>
      </c>
      <c r="P37" s="503">
        <f t="shared" ca="1" si="0"/>
        <v>3.9344707531782928</v>
      </c>
      <c r="Q37" s="503">
        <f t="shared" ca="1" si="0"/>
        <v>4.0344185624122826</v>
      </c>
      <c r="R37" s="474"/>
      <c r="S37" s="474"/>
      <c r="T37" s="435">
        <f ca="1">(Q37/M37)^(1/5)-1</f>
        <v>-0.17058347535585583</v>
      </c>
    </row>
    <row r="38" spans="2:20" x14ac:dyDescent="0.2">
      <c r="B38" s="357" t="str">
        <f>B37&amp;" as a % of Revenue"</f>
        <v>Interest Expense as a % of Revenue</v>
      </c>
      <c r="C38" s="366"/>
      <c r="D38" s="355">
        <f ca="1">'CompanyP&amp;L'!Y26</f>
        <v>2.9337705052067998E-2</v>
      </c>
      <c r="E38" s="355">
        <f ca="1">'CompanyP&amp;L'!Z26</f>
        <v>1.8715312329232882E-2</v>
      </c>
      <c r="F38" s="355">
        <f ca="1">'CompanyP&amp;L'!AA26</f>
        <v>1.7242566567306574E-2</v>
      </c>
      <c r="G38" s="355">
        <f ca="1">'CompanyP&amp;L'!AB26</f>
        <v>1.3471497884950202E-2</v>
      </c>
      <c r="H38" s="356">
        <f ca="1">'CompanyP&amp;L'!AC26</f>
        <v>1.0994112565294962E-2</v>
      </c>
      <c r="I38" s="355"/>
      <c r="J38" s="355"/>
      <c r="K38" s="474"/>
      <c r="L38" s="495"/>
      <c r="M38" s="474"/>
      <c r="N38" s="474"/>
      <c r="O38" s="474"/>
      <c r="P38" s="474"/>
      <c r="Q38" s="474"/>
      <c r="R38" s="474"/>
      <c r="S38" s="474"/>
    </row>
    <row r="39" spans="2:20" x14ac:dyDescent="0.2">
      <c r="B39" s="343" t="s">
        <v>239</v>
      </c>
      <c r="C39" s="67"/>
      <c r="D39" s="319">
        <f ca="1">'CompanyP&amp;L'!Y27</f>
        <v>1224235.713391653</v>
      </c>
      <c r="E39" s="319">
        <f ca="1">'CompanyP&amp;L'!Z27</f>
        <v>1069177.4288831635</v>
      </c>
      <c r="F39" s="319">
        <f ca="1">'CompanyP&amp;L'!AA27</f>
        <v>836937.25566676934</v>
      </c>
      <c r="G39" s="319">
        <f ca="1">'CompanyP&amp;L'!AB27</f>
        <v>1116236.9501471166</v>
      </c>
      <c r="H39" s="345">
        <f ca="1">'CompanyP&amp;L'!AC27</f>
        <v>1581782.7619215352</v>
      </c>
      <c r="I39" s="434">
        <f ca="1">(H39/D39)^(1/5)-1</f>
        <v>5.258301743490601E-2</v>
      </c>
      <c r="J39" s="341"/>
      <c r="L39" s="197"/>
      <c r="M39" s="402" t="s">
        <v>291</v>
      </c>
      <c r="N39" s="402"/>
      <c r="O39" s="402"/>
      <c r="P39" s="402"/>
      <c r="Q39" s="402"/>
    </row>
    <row r="40" spans="2:20" x14ac:dyDescent="0.2">
      <c r="B40" s="357" t="str">
        <f>B39&amp;" as a % of Revenue"</f>
        <v>Net Income as a % of Revenue</v>
      </c>
      <c r="C40" s="367"/>
      <c r="D40" s="358">
        <f ca="1">'CompanyP&amp;L'!Y28</f>
        <v>7.1832532547384739E-2</v>
      </c>
      <c r="E40" s="358">
        <f ca="1">'CompanyP&amp;L'!Z28</f>
        <v>4.0019979033829166E-2</v>
      </c>
      <c r="F40" s="358">
        <f ca="1">'CompanyP&amp;L'!AA28</f>
        <v>2.2815725444257945E-2</v>
      </c>
      <c r="G40" s="358">
        <f ca="1">'CompanyP&amp;L'!AB28</f>
        <v>2.3774519704363867E-2</v>
      </c>
      <c r="H40" s="359">
        <f ca="1">'CompanyP&amp;L'!AC28</f>
        <v>2.749454187890675E-2</v>
      </c>
      <c r="I40" s="355"/>
      <c r="J40" s="355"/>
      <c r="L40" s="197" t="s">
        <v>292</v>
      </c>
      <c r="M40" s="432">
        <f ca="1">D$17/Inputs!D$81</f>
        <v>12.245522806567262</v>
      </c>
      <c r="N40" s="433">
        <f ca="1">E$17/D$44</f>
        <v>10.361028600929259</v>
      </c>
      <c r="O40" s="433">
        <f ca="1">F$17/E$44</f>
        <v>9.6501406661134226</v>
      </c>
      <c r="P40" s="433">
        <f ca="1">G$17/F$44</f>
        <v>9.2769783510310866</v>
      </c>
      <c r="Q40" s="433">
        <f ca="1">H$17/G$44</f>
        <v>9.0471525042200174</v>
      </c>
    </row>
    <row r="41" spans="2:20" x14ac:dyDescent="0.2">
      <c r="L41" s="197"/>
    </row>
    <row r="42" spans="2:20" x14ac:dyDescent="0.2">
      <c r="B42" s="373" t="s">
        <v>147</v>
      </c>
      <c r="C42" s="321"/>
      <c r="D42" s="321"/>
      <c r="E42" s="321"/>
      <c r="F42" s="321"/>
      <c r="G42" s="321"/>
      <c r="H42" s="321"/>
      <c r="I42" s="321"/>
      <c r="J42" s="321"/>
      <c r="L42" s="197" t="s">
        <v>293</v>
      </c>
      <c r="M42" s="432">
        <f ca="1">365/M40</f>
        <v>29.806812315457112</v>
      </c>
      <c r="N42" s="432">
        <f t="shared" ref="N42:Q42" ca="1" si="1">365/N40</f>
        <v>35.228162575216125</v>
      </c>
      <c r="O42" s="432">
        <f t="shared" ca="1" si="1"/>
        <v>37.823282854487459</v>
      </c>
      <c r="P42" s="432">
        <f t="shared" ca="1" si="1"/>
        <v>39.34470753178293</v>
      </c>
      <c r="Q42" s="432">
        <f t="shared" ca="1" si="1"/>
        <v>40.344185624122822</v>
      </c>
    </row>
    <row r="43" spans="2:20" x14ac:dyDescent="0.2">
      <c r="B43" s="332" t="s">
        <v>148</v>
      </c>
      <c r="C43" s="368"/>
      <c r="D43" s="259">
        <f ca="1">BalanceSheet!Z9</f>
        <v>3642331.8741111304</v>
      </c>
      <c r="E43" s="259">
        <f ca="1">BalanceSheet!AA9</f>
        <v>-1978271.1058404213</v>
      </c>
      <c r="F43" s="259">
        <f ca="1">BalanceSheet!AB9</f>
        <v>-3501011.4285459393</v>
      </c>
      <c r="G43" s="259">
        <f ca="1">BalanceSheet!AC9</f>
        <v>-7667821.7033291264</v>
      </c>
      <c r="H43" s="333">
        <f ca="1">BalanceSheet!AD9</f>
        <v>-10820014.904736672</v>
      </c>
      <c r="I43" s="434">
        <f t="shared" ref="I43:I47" ca="1" si="2">(H43/D43)^(1/5)-1</f>
        <v>-2.2432820654668904</v>
      </c>
      <c r="J43" s="257"/>
      <c r="L43" s="197"/>
    </row>
    <row r="44" spans="2:20" x14ac:dyDescent="0.2">
      <c r="B44" s="106" t="s">
        <v>149</v>
      </c>
      <c r="C44" s="369"/>
      <c r="D44" s="257">
        <f ca="1">BalanceSheet!Z10</f>
        <v>2578517.3179810289</v>
      </c>
      <c r="E44" s="257">
        <f ca="1">BalanceSheet!AA10</f>
        <v>3801237.2338257763</v>
      </c>
      <c r="F44" s="257">
        <f ca="1">BalanceSheet!AB10</f>
        <v>5061020.5351685667</v>
      </c>
      <c r="G44" s="257">
        <f ca="1">BalanceSheet!AC10</f>
        <v>6358994.355451717</v>
      </c>
      <c r="H44" s="334">
        <f ca="1">BalanceSheet!AD10</f>
        <v>7696320.1931581413</v>
      </c>
      <c r="I44" s="434">
        <f t="shared" ca="1" si="2"/>
        <v>0.24446479427087753</v>
      </c>
      <c r="J44" s="257"/>
      <c r="L44" s="197"/>
      <c r="M44" s="402" t="s">
        <v>294</v>
      </c>
      <c r="N44" s="402"/>
      <c r="O44" s="402"/>
      <c r="P44" s="402"/>
      <c r="Q44" s="402"/>
    </row>
    <row r="45" spans="2:20" x14ac:dyDescent="0.2">
      <c r="B45" s="106" t="s">
        <v>150</v>
      </c>
      <c r="C45" s="369"/>
      <c r="D45" s="257">
        <f ca="1">BalanceSheet!Z11</f>
        <v>257851.7317981029</v>
      </c>
      <c r="E45" s="257">
        <f ca="1">BalanceSheet!AA11</f>
        <v>380123.72338257765</v>
      </c>
      <c r="F45" s="257">
        <f ca="1">BalanceSheet!AB11</f>
        <v>506102.05351685669</v>
      </c>
      <c r="G45" s="257">
        <f ca="1">BalanceSheet!AC11</f>
        <v>635899.43554517173</v>
      </c>
      <c r="H45" s="334">
        <f ca="1">BalanceSheet!AD11</f>
        <v>769632.01931581413</v>
      </c>
      <c r="I45" s="434">
        <f t="shared" ca="1" si="2"/>
        <v>0.24446479427087753</v>
      </c>
      <c r="J45" s="257"/>
      <c r="L45" s="197" t="s">
        <v>295</v>
      </c>
      <c r="M45" s="433">
        <f ca="1">D$57/D$62</f>
        <v>1.5456268951107603</v>
      </c>
      <c r="N45" s="433">
        <f ca="1">E$57/E$62</f>
        <v>1.3264281003377465</v>
      </c>
      <c r="O45" s="433">
        <f ca="1">F$57/F$62</f>
        <v>1.5102707848788637</v>
      </c>
      <c r="P45" s="433">
        <f ca="1">G$57/G$62</f>
        <v>1.3326705661534988</v>
      </c>
      <c r="Q45" s="433">
        <f ca="1">H$57/H$62</f>
        <v>1.1423152187121559</v>
      </c>
    </row>
    <row r="46" spans="2:20" x14ac:dyDescent="0.2">
      <c r="B46" s="106" t="s">
        <v>151</v>
      </c>
      <c r="C46" s="369"/>
      <c r="D46" s="257">
        <f ca="1">BalanceSheet!Z12</f>
        <v>25785.173179810288</v>
      </c>
      <c r="E46" s="257">
        <f ca="1">BalanceSheet!AA12</f>
        <v>38012.372338257766</v>
      </c>
      <c r="F46" s="257">
        <f ca="1">BalanceSheet!AB12</f>
        <v>50610.205351685669</v>
      </c>
      <c r="G46" s="257">
        <f ca="1">BalanceSheet!AC12</f>
        <v>63589.943554517173</v>
      </c>
      <c r="H46" s="334">
        <f ca="1">BalanceSheet!AD12</f>
        <v>76963.20193158141</v>
      </c>
      <c r="I46" s="434">
        <f t="shared" ca="1" si="2"/>
        <v>0.24446479427087753</v>
      </c>
      <c r="J46" s="257"/>
      <c r="L46" s="197"/>
    </row>
    <row r="47" spans="2:20" x14ac:dyDescent="0.2">
      <c r="B47" s="111" t="s">
        <v>152</v>
      </c>
      <c r="C47" s="374"/>
      <c r="D47" s="259">
        <f ca="1">BalanceSheet!Z13</f>
        <v>6504486.0970700728</v>
      </c>
      <c r="E47" s="259">
        <f ca="1">BalanceSheet!AA13</f>
        <v>2241102.2237061905</v>
      </c>
      <c r="F47" s="259">
        <f ca="1">BalanceSheet!AB13</f>
        <v>2116721.36549117</v>
      </c>
      <c r="G47" s="259">
        <f ca="1">BalanceSheet!AC13</f>
        <v>-609337.96877772035</v>
      </c>
      <c r="H47" s="333">
        <f ca="1">BalanceSheet!AD13</f>
        <v>-2277099.4903311348</v>
      </c>
      <c r="I47" s="434">
        <f t="shared" ca="1" si="2"/>
        <v>-1.8106507769329145</v>
      </c>
      <c r="J47" s="257"/>
      <c r="L47" s="197" t="s">
        <v>296</v>
      </c>
      <c r="M47" s="433">
        <f ca="1">D$58/D$50</f>
        <v>0.61996165553342697</v>
      </c>
      <c r="N47" s="433">
        <f ca="1">E$58/E$50</f>
        <v>0.58929412525186065</v>
      </c>
      <c r="O47" s="433">
        <f ca="1">F$58/F$50</f>
        <v>0.59642524139550035</v>
      </c>
      <c r="P47" s="433">
        <f ca="1">G$58/G$50</f>
        <v>0.57378332234382179</v>
      </c>
      <c r="Q47" s="433">
        <f ca="1">H$58/H$50</f>
        <v>0.54393195008272277</v>
      </c>
    </row>
    <row r="48" spans="2:20" x14ac:dyDescent="0.2">
      <c r="B48" s="113"/>
      <c r="D48" s="1"/>
      <c r="E48" s="1"/>
      <c r="F48" s="1"/>
      <c r="G48" s="1"/>
      <c r="H48" s="134"/>
      <c r="I48" s="1"/>
      <c r="J48" s="1"/>
      <c r="L48" s="197"/>
    </row>
    <row r="49" spans="2:19" x14ac:dyDescent="0.2">
      <c r="B49" s="106" t="s">
        <v>153</v>
      </c>
      <c r="C49" s="369"/>
      <c r="D49" s="335">
        <f>BalanceSheet!Z15</f>
        <v>10519762.3046875</v>
      </c>
      <c r="E49" s="335">
        <f>BalanceSheet!AA15</f>
        <v>16115208.388841167</v>
      </c>
      <c r="F49" s="335">
        <f>BalanceSheet!AB15</f>
        <v>20917379.912511662</v>
      </c>
      <c r="G49" s="335">
        <f>BalanceSheet!AC15</f>
        <v>25038740.568288546</v>
      </c>
      <c r="H49" s="336">
        <f>BalanceSheet!AD15</f>
        <v>28575809.906870373</v>
      </c>
      <c r="I49" s="434">
        <f t="shared" ref="I49:I50" si="3">(H49/D49)^(1/5)-1</f>
        <v>0.22123298032909156</v>
      </c>
      <c r="J49" s="335"/>
      <c r="L49" s="197"/>
      <c r="M49" s="402" t="s">
        <v>297</v>
      </c>
      <c r="N49" s="402"/>
      <c r="O49" s="402"/>
      <c r="P49" s="402"/>
      <c r="Q49" s="402"/>
    </row>
    <row r="50" spans="2:19" x14ac:dyDescent="0.2">
      <c r="B50" s="116" t="s">
        <v>154</v>
      </c>
      <c r="C50" s="375"/>
      <c r="D50" s="376">
        <f ca="1">BalanceSheet!Z16</f>
        <v>17024248.401757572</v>
      </c>
      <c r="E50" s="376">
        <f ca="1">BalanceSheet!AA16</f>
        <v>18356310.612547357</v>
      </c>
      <c r="F50" s="376">
        <f ca="1">BalanceSheet!AB16</f>
        <v>23034101.278002832</v>
      </c>
      <c r="G50" s="376">
        <f ca="1">BalanceSheet!AC16</f>
        <v>24429402.599510826</v>
      </c>
      <c r="H50" s="377">
        <f ca="1">BalanceSheet!AD16</f>
        <v>26298710.416539237</v>
      </c>
      <c r="I50" s="434">
        <f t="shared" ca="1" si="3"/>
        <v>9.0870760336021483E-2</v>
      </c>
      <c r="J50" s="386"/>
      <c r="L50" s="197" t="s">
        <v>298</v>
      </c>
      <c r="M50" s="433">
        <f ca="1">D$35/D$37</f>
        <v>3.4484714267833061</v>
      </c>
      <c r="N50" s="433">
        <f ca="1">E$35/E$37</f>
        <v>3.1383548577663269</v>
      </c>
      <c r="O50" s="433">
        <f ca="1">F$35/F$37</f>
        <v>2.3232209575759195</v>
      </c>
      <c r="P50" s="433">
        <f ca="1">G$35/G$37</f>
        <v>2.7648015022088801</v>
      </c>
      <c r="Q50" s="433">
        <f ca="1">H$35/H$37</f>
        <v>3.5008423113383955</v>
      </c>
    </row>
    <row r="51" spans="2:19" x14ac:dyDescent="0.2">
      <c r="B51" s="113"/>
      <c r="D51" s="1"/>
      <c r="E51" s="1"/>
      <c r="F51" s="1"/>
      <c r="G51" s="1"/>
      <c r="H51" s="134"/>
      <c r="I51" s="1"/>
      <c r="J51" s="1"/>
      <c r="L51" s="197"/>
    </row>
    <row r="52" spans="2:19" x14ac:dyDescent="0.2">
      <c r="B52" s="106" t="s">
        <v>155</v>
      </c>
      <c r="C52" s="369"/>
      <c r="D52" s="335">
        <f ca="1">BalanceSheet!Z18</f>
        <v>515703.46359620581</v>
      </c>
      <c r="E52" s="335">
        <f ca="1">BalanceSheet!AA18</f>
        <v>760247.4467651553</v>
      </c>
      <c r="F52" s="335">
        <f ca="1">BalanceSheet!AB18</f>
        <v>1012204.1070337134</v>
      </c>
      <c r="G52" s="335">
        <f ca="1">BalanceSheet!AC18</f>
        <v>1271798.8710903435</v>
      </c>
      <c r="H52" s="336">
        <f ca="1">BalanceSheet!AD18</f>
        <v>1539264.0386316283</v>
      </c>
      <c r="I52" s="434">
        <f t="shared" ref="I52:I55" ca="1" si="4">(H52/D52)^(1/5)-1</f>
        <v>0.24446479427087753</v>
      </c>
      <c r="J52" s="335"/>
      <c r="L52" s="197" t="s">
        <v>299</v>
      </c>
      <c r="M52" s="433">
        <f ca="1">(D$35+D$33)/D$37</f>
        <v>5.4089468174083066</v>
      </c>
      <c r="N52" s="433">
        <f ca="1">(E$35+E$33)/E$37</f>
        <v>6.9474626894589946</v>
      </c>
      <c r="O52" s="433">
        <f ca="1">(F$35+F$33)/F$37</f>
        <v>6.5885624221285051</v>
      </c>
      <c r="P52" s="433">
        <f ca="1">(G$35+G$33)/G$37</f>
        <v>8.1065237855655852</v>
      </c>
      <c r="Q52" s="433">
        <f ca="1">(H$35+H$33)/H$37</f>
        <v>9.7663453333434092</v>
      </c>
    </row>
    <row r="53" spans="2:19" x14ac:dyDescent="0.2">
      <c r="B53" s="106" t="s">
        <v>156</v>
      </c>
      <c r="C53" s="369"/>
      <c r="D53" s="335">
        <f ca="1">BalanceSheet!Z19</f>
        <v>25785.173179810288</v>
      </c>
      <c r="E53" s="335">
        <f ca="1">BalanceSheet!AA19</f>
        <v>38012.372338257766</v>
      </c>
      <c r="F53" s="335">
        <f ca="1">BalanceSheet!AB19</f>
        <v>50610.205351685669</v>
      </c>
      <c r="G53" s="335">
        <f ca="1">BalanceSheet!AC19</f>
        <v>63589.943554517173</v>
      </c>
      <c r="H53" s="336">
        <f ca="1">BalanceSheet!AD19</f>
        <v>76963.20193158141</v>
      </c>
      <c r="I53" s="434">
        <f t="shared" ca="1" si="4"/>
        <v>0.24446479427087753</v>
      </c>
      <c r="J53" s="335"/>
      <c r="K53" s="474"/>
      <c r="L53" s="495"/>
      <c r="M53" s="474"/>
      <c r="N53" s="474"/>
      <c r="O53" s="474"/>
      <c r="P53" s="474"/>
      <c r="Q53" s="474"/>
      <c r="R53" s="474"/>
      <c r="S53" s="474"/>
    </row>
    <row r="54" spans="2:19" x14ac:dyDescent="0.2">
      <c r="B54" s="106" t="s">
        <v>157</v>
      </c>
      <c r="C54" s="369"/>
      <c r="D54" s="335">
        <f ca="1">BalanceSheet!Z20</f>
        <v>12892.586589905144</v>
      </c>
      <c r="E54" s="335">
        <f ca="1">BalanceSheet!AA20</f>
        <v>19006.186169128883</v>
      </c>
      <c r="F54" s="335">
        <f ca="1">BalanceSheet!AB20</f>
        <v>25305.102675842834</v>
      </c>
      <c r="G54" s="335">
        <f ca="1">BalanceSheet!AC20</f>
        <v>31794.971777258586</v>
      </c>
      <c r="H54" s="336">
        <f ca="1">BalanceSheet!AD20</f>
        <v>38481.600965790705</v>
      </c>
      <c r="I54" s="434">
        <f t="shared" ca="1" si="4"/>
        <v>0.24446479427087753</v>
      </c>
      <c r="J54" s="335"/>
      <c r="K54" s="474"/>
      <c r="L54" s="495"/>
      <c r="M54" s="496" t="s">
        <v>300</v>
      </c>
      <c r="N54" s="496"/>
      <c r="O54" s="496"/>
      <c r="P54" s="496"/>
      <c r="Q54" s="496"/>
      <c r="R54" s="474"/>
      <c r="S54" s="474"/>
    </row>
    <row r="55" spans="2:19" x14ac:dyDescent="0.2">
      <c r="B55" s="111" t="s">
        <v>158</v>
      </c>
      <c r="C55" s="374"/>
      <c r="D55" s="323">
        <f ca="1">BalanceSheet!Z21</f>
        <v>554381.22336592129</v>
      </c>
      <c r="E55" s="323">
        <f ca="1">BalanceSheet!AA21</f>
        <v>817266.00527254189</v>
      </c>
      <c r="F55" s="323">
        <f ca="1">BalanceSheet!AB21</f>
        <v>1088119.4150612419</v>
      </c>
      <c r="G55" s="323">
        <f ca="1">BalanceSheet!AC21</f>
        <v>1367183.7864221192</v>
      </c>
      <c r="H55" s="337">
        <f ca="1">BalanceSheet!AD21</f>
        <v>1654708.8415290003</v>
      </c>
      <c r="I55" s="434">
        <f t="shared" ca="1" si="4"/>
        <v>0.24446479427087753</v>
      </c>
      <c r="J55" s="335"/>
      <c r="K55" s="474"/>
      <c r="L55" s="495" t="s">
        <v>301</v>
      </c>
      <c r="M55" s="497">
        <f ca="1">D$47/D$55</f>
        <v>11.732875903657298</v>
      </c>
      <c r="N55" s="497">
        <f ca="1">E$47/E$55</f>
        <v>2.742194351958672</v>
      </c>
      <c r="O55" s="497">
        <f ca="1">F$47/F$55</f>
        <v>1.9453024513601165</v>
      </c>
      <c r="P55" s="497">
        <f ca="1">G$47/G$55</f>
        <v>-0.44568841060669712</v>
      </c>
      <c r="Q55" s="497">
        <f ca="1">H$47/H$55</f>
        <v>-1.3761330290753913</v>
      </c>
      <c r="R55" s="474"/>
      <c r="S55" s="474"/>
    </row>
    <row r="56" spans="2:19" x14ac:dyDescent="0.2">
      <c r="B56" s="113"/>
      <c r="D56" s="1"/>
      <c r="E56" s="1"/>
      <c r="F56" s="1"/>
      <c r="G56" s="1"/>
      <c r="H56" s="134"/>
      <c r="I56" s="1"/>
      <c r="J56" s="1"/>
      <c r="K56" s="474"/>
      <c r="L56" s="495"/>
      <c r="M56" s="474"/>
      <c r="N56" s="474"/>
      <c r="O56" s="474"/>
      <c r="P56" s="474"/>
      <c r="Q56" s="474"/>
      <c r="R56" s="474"/>
      <c r="S56" s="474"/>
    </row>
    <row r="57" spans="2:19" x14ac:dyDescent="0.2">
      <c r="B57" s="106" t="s">
        <v>159</v>
      </c>
      <c r="C57" s="369"/>
      <c r="D57" s="335">
        <f>BalanceSheet!Z23</f>
        <v>10000000</v>
      </c>
      <c r="E57" s="335">
        <f>BalanceSheet!AA23</f>
        <v>10000000</v>
      </c>
      <c r="F57" s="335">
        <f>BalanceSheet!AB23</f>
        <v>12650000</v>
      </c>
      <c r="G57" s="335">
        <f>BalanceSheet!AC23</f>
        <v>12650000</v>
      </c>
      <c r="H57" s="336">
        <f>BalanceSheet!AD23</f>
        <v>12650000</v>
      </c>
      <c r="I57" s="434">
        <f t="shared" ref="I57:I58" si="5">(H57/D57)^(1/5)-1</f>
        <v>4.8137127757426512E-2</v>
      </c>
      <c r="J57" s="335"/>
      <c r="K57" s="474"/>
      <c r="L57" s="495" t="s">
        <v>302</v>
      </c>
      <c r="M57" s="497">
        <f ca="1">(D$47-D$45)/D$55</f>
        <v>11.267759624587532</v>
      </c>
      <c r="N57" s="497">
        <f ca="1">(E$47-E$45)/E$55</f>
        <v>2.2770780728889042</v>
      </c>
      <c r="O57" s="497">
        <f ca="1">(F$47-F$45)/F$55</f>
        <v>1.4801861722903491</v>
      </c>
      <c r="P57" s="497">
        <f ca="1">(G$47-G$45)/G$55</f>
        <v>-0.91080468967646444</v>
      </c>
      <c r="Q57" s="497">
        <f ca="1">(H$47-H$45)/H$55</f>
        <v>-1.8412493081451586</v>
      </c>
      <c r="R57" s="474"/>
      <c r="S57" s="474"/>
    </row>
    <row r="58" spans="2:19" x14ac:dyDescent="0.2">
      <c r="B58" s="378" t="s">
        <v>160</v>
      </c>
      <c r="C58" s="379"/>
      <c r="D58" s="376">
        <f ca="1">BalanceSheet!Z24</f>
        <v>10554381.223365922</v>
      </c>
      <c r="E58" s="376">
        <f ca="1">BalanceSheet!AA24</f>
        <v>10817266.005272541</v>
      </c>
      <c r="F58" s="376">
        <f ca="1">BalanceSheet!AB24</f>
        <v>13738119.415061243</v>
      </c>
      <c r="G58" s="376">
        <f ca="1">BalanceSheet!AC24</f>
        <v>14017183.786422119</v>
      </c>
      <c r="H58" s="377">
        <f ca="1">BalanceSheet!AD24</f>
        <v>14304708.841529001</v>
      </c>
      <c r="I58" s="434">
        <f t="shared" ca="1" si="5"/>
        <v>6.269649737732963E-2</v>
      </c>
      <c r="J58" s="386"/>
      <c r="K58" s="474"/>
      <c r="L58" s="495"/>
      <c r="M58" s="474"/>
      <c r="N58" s="474"/>
      <c r="O58" s="474"/>
      <c r="P58" s="474"/>
      <c r="Q58" s="474"/>
      <c r="R58" s="474"/>
      <c r="S58" s="474"/>
    </row>
    <row r="59" spans="2:19" x14ac:dyDescent="0.2">
      <c r="B59" s="113"/>
      <c r="D59" s="1"/>
      <c r="E59" s="1"/>
      <c r="F59" s="1"/>
      <c r="G59" s="1"/>
      <c r="H59" s="134"/>
      <c r="I59" s="1"/>
      <c r="J59" s="1"/>
      <c r="K59" s="474"/>
      <c r="L59" s="495" t="s">
        <v>311</v>
      </c>
      <c r="M59" s="497">
        <f ca="1">(D47-D55)/D17</f>
        <v>0.34912484362720941</v>
      </c>
      <c r="N59" s="497">
        <f ca="1">(E47-E55)/E17</f>
        <v>5.3295079067319173E-2</v>
      </c>
      <c r="O59" s="497">
        <f ca="1">(F47-F55)/F17</f>
        <v>2.8040691860157171E-2</v>
      </c>
      <c r="P59" s="497">
        <f ca="1">(G47-G55)/G17</f>
        <v>-4.2097563074676207E-2</v>
      </c>
      <c r="Q59" s="497">
        <f ca="1">(H47-H55)/H17</f>
        <v>-6.8342677289541395E-2</v>
      </c>
      <c r="R59" s="474"/>
      <c r="S59" s="474"/>
    </row>
    <row r="60" spans="2:19" x14ac:dyDescent="0.2">
      <c r="B60" s="106" t="s">
        <v>161</v>
      </c>
      <c r="C60" s="369"/>
      <c r="D60" s="335">
        <f>BalanceSheet!Z26</f>
        <v>5245631</v>
      </c>
      <c r="E60" s="335">
        <f>BalanceSheet!AA26</f>
        <v>5245631</v>
      </c>
      <c r="F60" s="335">
        <f>BalanceSheet!AB26</f>
        <v>5245631</v>
      </c>
      <c r="G60" s="335">
        <f>BalanceSheet!AC26</f>
        <v>5245631</v>
      </c>
      <c r="H60" s="336">
        <f>BalanceSheet!AD26</f>
        <v>5245631</v>
      </c>
      <c r="I60" s="434">
        <f t="shared" ref="I60:I62" si="6">(H60/D60)^(1/5)-1</f>
        <v>0</v>
      </c>
      <c r="J60" s="335"/>
      <c r="K60" s="474"/>
      <c r="L60" s="495"/>
      <c r="M60" s="474"/>
      <c r="N60" s="474"/>
      <c r="O60" s="474"/>
      <c r="P60" s="474"/>
      <c r="Q60" s="474"/>
      <c r="R60" s="474"/>
      <c r="S60" s="474"/>
    </row>
    <row r="61" spans="2:19" x14ac:dyDescent="0.2">
      <c r="B61" s="106" t="s">
        <v>249</v>
      </c>
      <c r="C61" s="369"/>
      <c r="D61" s="257">
        <f ca="1">BalanceSheet!Z27</f>
        <v>1224235.713391653</v>
      </c>
      <c r="E61" s="257">
        <f ca="1">BalanceSheet!AA27</f>
        <v>2293413.1422748165</v>
      </c>
      <c r="F61" s="257">
        <f ca="1">BalanceSheet!AB27</f>
        <v>3130350.3979415861</v>
      </c>
      <c r="G61" s="257">
        <f ca="1">BalanceSheet!AC27</f>
        <v>4246587.3480887022</v>
      </c>
      <c r="H61" s="334">
        <f ca="1">BalanceSheet!AD27</f>
        <v>5828370.1100102374</v>
      </c>
      <c r="I61" s="434">
        <f t="shared" ca="1" si="6"/>
        <v>0.36626963244745814</v>
      </c>
      <c r="J61" s="257"/>
      <c r="K61" s="474"/>
      <c r="L61" s="495" t="s">
        <v>312</v>
      </c>
      <c r="M61" s="498">
        <f ca="1">D57-D43</f>
        <v>6357668.1258888692</v>
      </c>
      <c r="N61" s="498">
        <f ca="1">E57-E43</f>
        <v>11978271.105840422</v>
      </c>
      <c r="O61" s="498">
        <f ca="1">F57-F43</f>
        <v>16151011.428545939</v>
      </c>
      <c r="P61" s="498">
        <f ca="1">G57-G43</f>
        <v>20317821.703329127</v>
      </c>
      <c r="Q61" s="498">
        <f ca="1">H57-H43</f>
        <v>23470014.904736672</v>
      </c>
      <c r="R61" s="474"/>
      <c r="S61" s="474"/>
    </row>
    <row r="62" spans="2:19" x14ac:dyDescent="0.2">
      <c r="B62" s="111" t="s">
        <v>163</v>
      </c>
      <c r="C62" s="374"/>
      <c r="D62" s="323">
        <f ca="1">BalanceSheet!Z28</f>
        <v>6469866.7133916533</v>
      </c>
      <c r="E62" s="323">
        <f ca="1">BalanceSheet!AA28</f>
        <v>7539044.1422748165</v>
      </c>
      <c r="F62" s="323">
        <f ca="1">BalanceSheet!AB28</f>
        <v>8375981.3979415856</v>
      </c>
      <c r="G62" s="323">
        <f ca="1">BalanceSheet!AC28</f>
        <v>9492218.3480887022</v>
      </c>
      <c r="H62" s="337">
        <f ca="1">BalanceSheet!AD28</f>
        <v>11074001.110010237</v>
      </c>
      <c r="I62" s="434">
        <f t="shared" ca="1" si="6"/>
        <v>0.11347852579651985</v>
      </c>
      <c r="J62" s="335"/>
      <c r="K62" s="474"/>
      <c r="L62" s="495"/>
      <c r="M62" s="474"/>
      <c r="N62" s="474"/>
      <c r="O62" s="474"/>
      <c r="P62" s="474"/>
      <c r="Q62" s="474"/>
      <c r="R62" s="474"/>
      <c r="S62" s="474"/>
    </row>
    <row r="63" spans="2:19" x14ac:dyDescent="0.2">
      <c r="B63" s="120"/>
      <c r="C63" s="370"/>
      <c r="D63" s="1"/>
      <c r="E63" s="1"/>
      <c r="F63" s="1"/>
      <c r="G63" s="1"/>
      <c r="H63" s="134"/>
      <c r="I63" s="1"/>
      <c r="J63" s="1"/>
      <c r="K63" s="474"/>
      <c r="L63" s="495" t="s">
        <v>303</v>
      </c>
      <c r="M63" s="497">
        <f ca="1">D$43/D$55</f>
        <v>6.5700852059828803</v>
      </c>
      <c r="N63" s="497">
        <f ca="1">E$43/E$55</f>
        <v>-2.4205963457157469</v>
      </c>
      <c r="O63" s="497">
        <f ca="1">F$43/F$55</f>
        <v>-3.2174882463143017</v>
      </c>
      <c r="P63" s="497">
        <f ca="1">G$43/G$55</f>
        <v>-5.6084791082811156</v>
      </c>
      <c r="Q63" s="497">
        <f ca="1">H$43/H$55</f>
        <v>-6.5389237267498102</v>
      </c>
      <c r="R63" s="474"/>
      <c r="S63" s="474"/>
    </row>
    <row r="64" spans="2:19" x14ac:dyDescent="0.2">
      <c r="B64" s="123" t="s">
        <v>164</v>
      </c>
      <c r="C64" s="371"/>
      <c r="D64" s="381">
        <f ca="1">BalanceSheet!Z30</f>
        <v>17024247.936757576</v>
      </c>
      <c r="E64" s="381">
        <f ca="1">BalanceSheet!AA30</f>
        <v>18356310.147547357</v>
      </c>
      <c r="F64" s="381">
        <f ca="1">BalanceSheet!AB30</f>
        <v>22114100.813002829</v>
      </c>
      <c r="G64" s="381">
        <f ca="1">BalanceSheet!AC30</f>
        <v>23509402.134510823</v>
      </c>
      <c r="H64" s="382">
        <f ca="1">BalanceSheet!AD30</f>
        <v>25378709.951539237</v>
      </c>
      <c r="I64" s="434">
        <f ca="1">(H64/D64)^(1/5)-1</f>
        <v>8.3129342736804723E-2</v>
      </c>
      <c r="J64" s="387"/>
      <c r="K64" s="474"/>
      <c r="L64" s="495"/>
      <c r="M64" s="474"/>
      <c r="N64" s="474"/>
      <c r="O64" s="474"/>
      <c r="P64" s="474"/>
      <c r="Q64" s="474"/>
      <c r="R64" s="474"/>
      <c r="S64" s="474"/>
    </row>
    <row r="65" spans="2:17" x14ac:dyDescent="0.2">
      <c r="L65" s="197"/>
      <c r="M65" s="402" t="s">
        <v>304</v>
      </c>
      <c r="N65" s="402"/>
      <c r="O65" s="402"/>
      <c r="P65" s="402"/>
      <c r="Q65" s="402"/>
    </row>
    <row r="66" spans="2:17" x14ac:dyDescent="0.2">
      <c r="B66" s="373" t="s">
        <v>168</v>
      </c>
      <c r="C66" s="321"/>
      <c r="D66" s="321"/>
      <c r="E66" s="321"/>
      <c r="F66" s="321"/>
      <c r="G66" s="321"/>
      <c r="H66" s="321"/>
      <c r="I66" s="321"/>
      <c r="J66" s="321"/>
      <c r="L66" s="197" t="s">
        <v>305</v>
      </c>
      <c r="M66" s="433">
        <f ca="1">((Inputs!D82+'Annual Summary'!D45)/2)/'Annual Summary'!D19*365</f>
        <v>14.660291743872106</v>
      </c>
      <c r="N66" s="433">
        <f ca="1">((D$45+E$45)/2)/E$19*365</f>
        <v>15.027817635390338</v>
      </c>
      <c r="O66" s="433">
        <f ca="1">((E$45+F$45)/2)/F$19*365</f>
        <v>15.203746865001476</v>
      </c>
      <c r="P66" s="433">
        <f ca="1">((F$45+G$45)/2)/G$19*365</f>
        <v>15.306887788594308</v>
      </c>
      <c r="Q66" s="433">
        <f ca="1">((G$45+H$45)/2)/H$19*365</f>
        <v>15.374644747209031</v>
      </c>
    </row>
    <row r="67" spans="2:17" x14ac:dyDescent="0.2">
      <c r="B67" s="338" t="s">
        <v>251</v>
      </c>
      <c r="C67" s="67"/>
      <c r="D67" s="324"/>
      <c r="E67" s="324"/>
      <c r="F67" s="324"/>
      <c r="G67" s="324"/>
      <c r="H67" s="339"/>
      <c r="L67" s="197"/>
    </row>
    <row r="68" spans="2:17" x14ac:dyDescent="0.2">
      <c r="B68" s="340" t="s">
        <v>239</v>
      </c>
      <c r="C68" s="372"/>
      <c r="D68" s="341">
        <f ca="1">'Cash Flows Statement'!Y6</f>
        <v>1224235.713391653</v>
      </c>
      <c r="E68" s="341">
        <f ca="1">'Cash Flows Statement'!Z6</f>
        <v>1069177.4288831635</v>
      </c>
      <c r="F68" s="341">
        <f ca="1">'Cash Flows Statement'!AA6</f>
        <v>836937.25566676934</v>
      </c>
      <c r="G68" s="341">
        <f ca="1">'Cash Flows Statement'!AB6</f>
        <v>1116236.9501471166</v>
      </c>
      <c r="H68" s="342">
        <f ca="1">'Cash Flows Statement'!AC6</f>
        <v>1581782.7619215352</v>
      </c>
      <c r="I68" s="341"/>
      <c r="J68" s="341"/>
      <c r="L68" s="197" t="s">
        <v>306</v>
      </c>
      <c r="M68" s="433">
        <f ca="1">((Inputs!D$81+'Annual Summary'!D$44)/2)/'Annual Summary'!D$17*365</f>
        <v>42.514846057229114</v>
      </c>
      <c r="N68" s="433">
        <f ca="1">((D$44+E$44)/2)/E$17*365</f>
        <v>43.580671142631971</v>
      </c>
      <c r="O68" s="433">
        <f ca="1">((E$44+F$44)/2)/F$17*365</f>
        <v>44.09086590850427</v>
      </c>
      <c r="P68" s="433">
        <f ca="1">((F$44+G$44)/2)/G$17*365</f>
        <v>44.389974586923479</v>
      </c>
      <c r="Q68" s="433">
        <f ca="1">((G$44+H$44)/2)/H$17*365</f>
        <v>44.586469766906184</v>
      </c>
    </row>
    <row r="69" spans="2:17" x14ac:dyDescent="0.2">
      <c r="B69" s="340" t="s">
        <v>252</v>
      </c>
      <c r="C69" s="372"/>
      <c r="D69" s="341">
        <f>'Cash Flows Statement'!Y7</f>
        <v>980237.6953125</v>
      </c>
      <c r="E69" s="341">
        <f>'Cash Flows Statement'!Z7</f>
        <v>1904553.9158463334</v>
      </c>
      <c r="F69" s="341">
        <f>'Cash Flows Statement'!AA7</f>
        <v>2697828.4763295101</v>
      </c>
      <c r="G69" s="341">
        <f>'Cash Flows Statement'!AB7</f>
        <v>3378639.3442231151</v>
      </c>
      <c r="H69" s="342">
        <f>'Cash Flows Statement'!AC7</f>
        <v>3962930.6614181707</v>
      </c>
      <c r="I69" s="341"/>
      <c r="J69" s="341"/>
      <c r="L69" s="197"/>
    </row>
    <row r="70" spans="2:17" x14ac:dyDescent="0.2">
      <c r="B70" s="113"/>
      <c r="H70" s="141"/>
      <c r="L70" s="197" t="s">
        <v>307</v>
      </c>
      <c r="M70" s="433">
        <f ca="1">((Inputs!D$89+'Annual Summary'!D$52)/2)/'Annual Summary'!D$19*365</f>
        <v>29.320583487744212</v>
      </c>
      <c r="N70" s="433">
        <f ca="1">((D$52+E$52)/2)/E$19*365</f>
        <v>30.055635270780677</v>
      </c>
      <c r="O70" s="433">
        <f ca="1">((E$52+F$52)/2)/F$19*365</f>
        <v>30.407493730002951</v>
      </c>
      <c r="P70" s="433">
        <f ca="1">((F$52+G$52)/2)/G$19*365</f>
        <v>30.613775577188616</v>
      </c>
      <c r="Q70" s="433">
        <f ca="1">((G$52+H$52)/2)/H$19*365</f>
        <v>30.749289494418061</v>
      </c>
    </row>
    <row r="71" spans="2:17" x14ac:dyDescent="0.2">
      <c r="B71" s="343" t="s">
        <v>253</v>
      </c>
      <c r="C71" s="195"/>
      <c r="H71" s="141"/>
      <c r="L71" s="197"/>
    </row>
    <row r="72" spans="2:17" x14ac:dyDescent="0.2">
      <c r="B72" s="340" t="s">
        <v>254</v>
      </c>
      <c r="C72" s="372"/>
      <c r="D72" s="341">
        <f ca="1">'Cash Flows Statement'!Y10</f>
        <v>-1186750.3179810289</v>
      </c>
      <c r="E72" s="341">
        <f ca="1">'Cash Flows Statement'!Z10</f>
        <v>-1222719.9158447473</v>
      </c>
      <c r="F72" s="341">
        <f ca="1">'Cash Flows Statement'!AA10</f>
        <v>-1259783.3013427905</v>
      </c>
      <c r="G72" s="341">
        <f ca="1">'Cash Flows Statement'!AB10</f>
        <v>-1297973.8202831503</v>
      </c>
      <c r="H72" s="342">
        <f ca="1">'Cash Flows Statement'!AC10</f>
        <v>-1337325.8377064243</v>
      </c>
      <c r="I72" s="341"/>
      <c r="J72" s="341"/>
      <c r="L72" s="197" t="s">
        <v>308</v>
      </c>
      <c r="M72" s="433">
        <f ca="1">M66+M68-M70</f>
        <v>27.85455431335701</v>
      </c>
      <c r="N72" s="433">
        <f t="shared" ref="N72:Q72" ca="1" si="7">N66+N68-N70</f>
        <v>28.552853507241629</v>
      </c>
      <c r="O72" s="433">
        <f t="shared" ca="1" si="7"/>
        <v>28.887119043502796</v>
      </c>
      <c r="P72" s="433">
        <f t="shared" ca="1" si="7"/>
        <v>29.083086798329173</v>
      </c>
      <c r="Q72" s="433">
        <f t="shared" ca="1" si="7"/>
        <v>29.211825019697155</v>
      </c>
    </row>
    <row r="73" spans="2:17" x14ac:dyDescent="0.2">
      <c r="B73" s="340" t="s">
        <v>255</v>
      </c>
      <c r="C73" s="372"/>
      <c r="D73" s="341">
        <f ca="1">'Cash Flows Statement'!Y11</f>
        <v>-118675.03179810289</v>
      </c>
      <c r="E73" s="341">
        <f ca="1">'Cash Flows Statement'!Z11</f>
        <v>-122271.99158447474</v>
      </c>
      <c r="F73" s="341">
        <f ca="1">'Cash Flows Statement'!AA11</f>
        <v>-125978.33013427904</v>
      </c>
      <c r="G73" s="341">
        <f ca="1">'Cash Flows Statement'!AB11</f>
        <v>-129797.38202831504</v>
      </c>
      <c r="H73" s="342">
        <f ca="1">'Cash Flows Statement'!AC11</f>
        <v>-133732.58377064241</v>
      </c>
      <c r="I73" s="341"/>
      <c r="J73" s="341"/>
      <c r="L73" s="197"/>
    </row>
    <row r="74" spans="2:17" x14ac:dyDescent="0.2">
      <c r="B74" s="340" t="s">
        <v>256</v>
      </c>
      <c r="C74" s="372"/>
      <c r="D74" s="341">
        <f ca="1">'Cash Flows Statement'!Y12</f>
        <v>-11867.503179810288</v>
      </c>
      <c r="E74" s="341">
        <f ca="1">'Cash Flows Statement'!Z12</f>
        <v>-12227.199158447478</v>
      </c>
      <c r="F74" s="341">
        <f ca="1">'Cash Flows Statement'!AA12</f>
        <v>-12597.833013427902</v>
      </c>
      <c r="G74" s="341">
        <f ca="1">'Cash Flows Statement'!AB12</f>
        <v>-12979.738202831504</v>
      </c>
      <c r="H74" s="342">
        <f ca="1">'Cash Flows Statement'!AC12</f>
        <v>-13373.258377064238</v>
      </c>
      <c r="I74" s="341"/>
      <c r="J74" s="341"/>
      <c r="L74" s="197"/>
      <c r="M74" s="402" t="s">
        <v>313</v>
      </c>
      <c r="N74" s="402"/>
      <c r="O74" s="402"/>
      <c r="P74" s="402"/>
      <c r="Q74" s="402"/>
    </row>
    <row r="75" spans="2:17" x14ac:dyDescent="0.2">
      <c r="B75" s="113"/>
      <c r="H75" s="141"/>
      <c r="L75" s="197" t="s">
        <v>295</v>
      </c>
      <c r="M75" s="433">
        <f ca="1">D57/D62</f>
        <v>1.5456268951107603</v>
      </c>
      <c r="N75" s="433">
        <f t="shared" ref="N75:Q75" ca="1" si="8">E57/E62</f>
        <v>1.3264281003377465</v>
      </c>
      <c r="O75" s="433">
        <f t="shared" ca="1" si="8"/>
        <v>1.5102707848788637</v>
      </c>
      <c r="P75" s="433">
        <f t="shared" ca="1" si="8"/>
        <v>1.3326705661534988</v>
      </c>
      <c r="Q75" s="433">
        <f t="shared" ca="1" si="8"/>
        <v>1.1423152187121559</v>
      </c>
    </row>
    <row r="76" spans="2:17" x14ac:dyDescent="0.2">
      <c r="B76" s="340" t="s">
        <v>257</v>
      </c>
      <c r="C76" s="372"/>
      <c r="D76" s="341">
        <f ca="1">'Cash Flows Statement'!Y14</f>
        <v>237350.06359620579</v>
      </c>
      <c r="E76" s="341">
        <f ca="1">'Cash Flows Statement'!Z14</f>
        <v>244543.98316894949</v>
      </c>
      <c r="F76" s="341">
        <f ca="1">'Cash Flows Statement'!AA14</f>
        <v>251956.66026855807</v>
      </c>
      <c r="G76" s="341">
        <f ca="1">'Cash Flows Statement'!AB14</f>
        <v>259594.76405663008</v>
      </c>
      <c r="H76" s="342">
        <f ca="1">'Cash Flows Statement'!AC14</f>
        <v>267465.16754128481</v>
      </c>
      <c r="I76" s="341"/>
      <c r="J76" s="341"/>
      <c r="L76" s="197"/>
    </row>
    <row r="77" spans="2:17" x14ac:dyDescent="0.2">
      <c r="B77" s="340" t="s">
        <v>258</v>
      </c>
      <c r="C77" s="372"/>
      <c r="D77" s="341">
        <f ca="1">'Cash Flows Statement'!Y15</f>
        <v>11867.503179810288</v>
      </c>
      <c r="E77" s="341">
        <f ca="1">'Cash Flows Statement'!Z15</f>
        <v>12227.199158447478</v>
      </c>
      <c r="F77" s="341">
        <f ca="1">'Cash Flows Statement'!AA15</f>
        <v>12597.833013427902</v>
      </c>
      <c r="G77" s="341">
        <f ca="1">'Cash Flows Statement'!AB15</f>
        <v>12979.738202831504</v>
      </c>
      <c r="H77" s="342">
        <f ca="1">'Cash Flows Statement'!AC15</f>
        <v>13373.258377064238</v>
      </c>
      <c r="I77" s="341"/>
      <c r="J77" s="341"/>
      <c r="L77" s="197" t="s">
        <v>314</v>
      </c>
      <c r="M77" s="433">
        <f ca="1">D62/D50</f>
        <v>0.38003831715259212</v>
      </c>
      <c r="N77" s="433">
        <f t="shared" ref="N77:Q77" ca="1" si="9">E62/E50</f>
        <v>0.41070584941625166</v>
      </c>
      <c r="O77" s="433">
        <f t="shared" ca="1" si="9"/>
        <v>0.36363395718592689</v>
      </c>
      <c r="P77" s="433">
        <f t="shared" ca="1" si="9"/>
        <v>0.388557121256775</v>
      </c>
      <c r="Q77" s="433">
        <f t="shared" ca="1" si="9"/>
        <v>0.42108532831502665</v>
      </c>
    </row>
    <row r="78" spans="2:17" x14ac:dyDescent="0.2">
      <c r="B78" s="340" t="s">
        <v>259</v>
      </c>
      <c r="C78" s="372"/>
      <c r="D78" s="341">
        <f ca="1">'Cash Flows Statement'!Y16</f>
        <v>5933.7515899051441</v>
      </c>
      <c r="E78" s="341">
        <f ca="1">'Cash Flows Statement'!Z16</f>
        <v>6113.5995792237391</v>
      </c>
      <c r="F78" s="341">
        <f ca="1">'Cash Flows Statement'!AA16</f>
        <v>6298.9165067139511</v>
      </c>
      <c r="G78" s="341">
        <f ca="1">'Cash Flows Statement'!AB16</f>
        <v>6489.8691014157521</v>
      </c>
      <c r="H78" s="342">
        <f ca="1">'Cash Flows Statement'!AC16</f>
        <v>6686.6291885321189</v>
      </c>
      <c r="I78" s="341"/>
      <c r="J78" s="341"/>
      <c r="L78" s="197"/>
    </row>
    <row r="79" spans="2:17" x14ac:dyDescent="0.2">
      <c r="B79" s="351" t="s">
        <v>260</v>
      </c>
      <c r="C79" s="195"/>
      <c r="D79" s="341">
        <f ca="1">'Cash Flows Statement'!Y17</f>
        <v>-1062141.5345930208</v>
      </c>
      <c r="E79" s="341">
        <f ca="1">'Cash Flows Statement'!Z17</f>
        <v>-1094334.3246810487</v>
      </c>
      <c r="F79" s="341">
        <f ca="1">'Cash Flows Statement'!AA17</f>
        <v>-1127506.0547017977</v>
      </c>
      <c r="G79" s="341">
        <f ca="1">'Cash Flows Statement'!AB17</f>
        <v>-1161686.5691534195</v>
      </c>
      <c r="H79" s="342">
        <f ca="1">'Cash Flows Statement'!AC17</f>
        <v>-1196906.6247472498</v>
      </c>
      <c r="I79" s="341"/>
      <c r="J79" s="341"/>
      <c r="L79" s="197" t="s">
        <v>315</v>
      </c>
      <c r="M79" s="433">
        <f ca="1">D57/D50</f>
        <v>0.58739744416367934</v>
      </c>
      <c r="N79" s="433">
        <f t="shared" ref="N79:Q79" ca="1" si="10">E57/E50</f>
        <v>0.54477177963879919</v>
      </c>
      <c r="O79" s="433">
        <f t="shared" ca="1" si="10"/>
        <v>0.5491857419277969</v>
      </c>
      <c r="P79" s="433">
        <f t="shared" ca="1" si="10"/>
        <v>0.51781863876823997</v>
      </c>
      <c r="Q79" s="433">
        <f t="shared" ca="1" si="10"/>
        <v>0.48101217891065967</v>
      </c>
    </row>
    <row r="80" spans="2:17" x14ac:dyDescent="0.2">
      <c r="B80" s="344" t="s">
        <v>261</v>
      </c>
      <c r="C80" s="380"/>
      <c r="D80" s="319">
        <f ca="1">'Cash Flows Statement'!Y18</f>
        <v>1142331.8741111322</v>
      </c>
      <c r="E80" s="319">
        <f ca="1">'Cash Flows Statement'!Z18</f>
        <v>1879397.0200484479</v>
      </c>
      <c r="F80" s="319">
        <f ca="1">'Cash Flows Statement'!AA18</f>
        <v>2407259.6772944815</v>
      </c>
      <c r="G80" s="319">
        <f ca="1">'Cash Flows Statement'!AB18</f>
        <v>3333189.7252168125</v>
      </c>
      <c r="H80" s="345">
        <f ca="1">'Cash Flows Statement'!AC18</f>
        <v>4347806.7985924557</v>
      </c>
      <c r="I80" s="341"/>
      <c r="J80" s="341"/>
    </row>
    <row r="81" spans="2:33" x14ac:dyDescent="0.2">
      <c r="B81" s="113"/>
      <c r="H81" s="141"/>
    </row>
    <row r="82" spans="2:33" x14ac:dyDescent="0.2">
      <c r="B82" s="343" t="s">
        <v>262</v>
      </c>
      <c r="C82" s="195"/>
      <c r="H82" s="141"/>
      <c r="AG82" s="1">
        <v>109437217</v>
      </c>
    </row>
    <row r="83" spans="2:33" x14ac:dyDescent="0.2">
      <c r="B83" s="350" t="s">
        <v>263</v>
      </c>
      <c r="C83" s="372"/>
      <c r="D83" s="341">
        <f>'Cash Flows Statement'!Y21</f>
        <v>-7500000</v>
      </c>
      <c r="E83" s="341">
        <f>'Cash Flows Statement'!Z21</f>
        <v>-7500000</v>
      </c>
      <c r="F83" s="341">
        <f>'Cash Flows Statement'!AA21</f>
        <v>-7500000</v>
      </c>
      <c r="G83" s="341">
        <f>'Cash Flows Statement'!AB21</f>
        <v>-7500000</v>
      </c>
      <c r="H83" s="342">
        <f>'Cash Flows Statement'!AC21</f>
        <v>-7500000</v>
      </c>
      <c r="I83" s="341"/>
      <c r="J83" s="341"/>
      <c r="AG83" s="1">
        <v>-17863363</v>
      </c>
    </row>
    <row r="84" spans="2:33" x14ac:dyDescent="0.2">
      <c r="B84" s="343" t="s">
        <v>264</v>
      </c>
      <c r="C84" s="67"/>
      <c r="D84" s="329">
        <f>'Cash Flows Statement'!Y22</f>
        <v>-7500000</v>
      </c>
      <c r="E84" s="329">
        <f>'Cash Flows Statement'!Z22</f>
        <v>-7500000</v>
      </c>
      <c r="F84" s="329">
        <f>'Cash Flows Statement'!AA22</f>
        <v>-7500000</v>
      </c>
      <c r="G84" s="329">
        <f>'Cash Flows Statement'!AB22</f>
        <v>-7500000</v>
      </c>
      <c r="H84" s="346">
        <f>'Cash Flows Statement'!AC22</f>
        <v>-7500000</v>
      </c>
      <c r="I84" s="388"/>
      <c r="J84" s="388"/>
      <c r="AG84" s="256">
        <f>(AG82+AG83)/2</f>
        <v>45786927</v>
      </c>
    </row>
    <row r="85" spans="2:33" x14ac:dyDescent="0.2">
      <c r="B85" s="113"/>
      <c r="H85" s="141"/>
      <c r="L85" s="257"/>
      <c r="M85" s="213"/>
      <c r="N85" s="213"/>
      <c r="O85" s="213"/>
      <c r="P85" s="213"/>
      <c r="Q85" s="213"/>
      <c r="R85" s="213"/>
      <c r="S85" s="213"/>
      <c r="T85" s="213"/>
      <c r="U85" s="213"/>
      <c r="V85" s="213"/>
    </row>
    <row r="86" spans="2:33" x14ac:dyDescent="0.2">
      <c r="B86" s="343" t="s">
        <v>265</v>
      </c>
      <c r="C86" s="195"/>
      <c r="H86" s="141"/>
      <c r="L86" s="435"/>
    </row>
    <row r="87" spans="2:33" x14ac:dyDescent="0.2">
      <c r="B87" s="350" t="s">
        <v>266</v>
      </c>
      <c r="C87" s="372"/>
      <c r="D87" s="341">
        <f>'Cash Flows Statement'!Y25</f>
        <v>0</v>
      </c>
      <c r="E87" s="341">
        <f>'Cash Flows Statement'!Z25</f>
        <v>0</v>
      </c>
      <c r="F87" s="341">
        <v>2500000</v>
      </c>
      <c r="G87" s="341">
        <f>'Cash Flows Statement'!AB25</f>
        <v>0</v>
      </c>
      <c r="H87" s="342">
        <f>'Cash Flows Statement'!AC25</f>
        <v>0</v>
      </c>
      <c r="I87" s="341"/>
      <c r="J87" s="341"/>
      <c r="L87" s="435"/>
    </row>
    <row r="88" spans="2:33" x14ac:dyDescent="0.2">
      <c r="B88" s="343" t="s">
        <v>267</v>
      </c>
      <c r="C88" s="67"/>
      <c r="D88" s="319">
        <f>'Cash Flows Statement'!Y26</f>
        <v>0</v>
      </c>
      <c r="E88" s="319">
        <f>'Cash Flows Statement'!Z26</f>
        <v>0</v>
      </c>
      <c r="F88" s="319">
        <f>'Cash Flows Statement'!AA26</f>
        <v>3570000</v>
      </c>
      <c r="G88" s="319">
        <f>'Cash Flows Statement'!AB26</f>
        <v>0</v>
      </c>
      <c r="H88" s="345">
        <f>'Cash Flows Statement'!AC26</f>
        <v>0</v>
      </c>
      <c r="I88" s="341"/>
      <c r="J88" s="341"/>
      <c r="L88" s="435"/>
    </row>
    <row r="89" spans="2:33" x14ac:dyDescent="0.2">
      <c r="B89" s="113"/>
      <c r="D89" s="341"/>
      <c r="E89" s="341"/>
      <c r="F89" s="341"/>
      <c r="G89" s="341"/>
      <c r="H89" s="342"/>
      <c r="I89" s="341"/>
      <c r="J89" s="341"/>
      <c r="L89" s="435"/>
    </row>
    <row r="90" spans="2:33" x14ac:dyDescent="0.2">
      <c r="B90" s="338" t="s">
        <v>268</v>
      </c>
      <c r="C90" s="67"/>
      <c r="D90" s="330">
        <f ca="1">'Cash Flows Statement'!Y28</f>
        <v>-6357668.1258888673</v>
      </c>
      <c r="E90" s="330">
        <f ca="1">'Cash Flows Statement'!Z28</f>
        <v>-5620602.9799515521</v>
      </c>
      <c r="F90" s="330">
        <f ca="1">'Cash Flows Statement'!AA28</f>
        <v>-1522740.3227055185</v>
      </c>
      <c r="G90" s="330">
        <f ca="1">'Cash Flows Statement'!AB28</f>
        <v>-4166810.2747831875</v>
      </c>
      <c r="H90" s="347">
        <f ca="1">'Cash Flows Statement'!AC28</f>
        <v>-3152193.2014075438</v>
      </c>
      <c r="I90" s="389"/>
      <c r="J90" s="389"/>
      <c r="L90" s="435"/>
    </row>
    <row r="91" spans="2:33" x14ac:dyDescent="0.2">
      <c r="B91" s="113"/>
      <c r="H91" s="141"/>
      <c r="L91" s="435"/>
    </row>
    <row r="92" spans="2:33" x14ac:dyDescent="0.2">
      <c r="B92" s="349" t="s">
        <v>269</v>
      </c>
      <c r="C92" s="239"/>
      <c r="D92" s="331">
        <f>'Cash Flows Statement'!Y30</f>
        <v>10000000</v>
      </c>
      <c r="E92" s="331">
        <f ca="1">'Cash Flows Statement'!Z30</f>
        <v>3642331.8741111304</v>
      </c>
      <c r="F92" s="331">
        <f ca="1">'Cash Flows Statement'!AA30</f>
        <v>-1978271.1058404213</v>
      </c>
      <c r="G92" s="331">
        <f ca="1">'Cash Flows Statement'!AB30</f>
        <v>-3501011.4285459393</v>
      </c>
      <c r="H92" s="348">
        <f ca="1">'Cash Flows Statement'!AC30</f>
        <v>-7667821.7033291264</v>
      </c>
      <c r="I92" s="341"/>
      <c r="J92" s="341"/>
      <c r="L92" s="435"/>
    </row>
    <row r="93" spans="2:33" x14ac:dyDescent="0.2">
      <c r="B93" s="349" t="s">
        <v>270</v>
      </c>
      <c r="C93" s="239"/>
      <c r="D93" s="331">
        <f ca="1">'Cash Flows Statement'!Y31</f>
        <v>3642331.8741111304</v>
      </c>
      <c r="E93" s="331">
        <f ca="1">'Cash Flows Statement'!Z31</f>
        <v>-1978271.1058404213</v>
      </c>
      <c r="F93" s="331">
        <f ca="1">'Cash Flows Statement'!AA31</f>
        <v>-3501011.4285459393</v>
      </c>
      <c r="G93" s="331">
        <f ca="1">'Cash Flows Statement'!AB31</f>
        <v>-7667821.7033291264</v>
      </c>
      <c r="H93" s="348">
        <f ca="1">'Cash Flows Statement'!AC31</f>
        <v>-10820014.904736672</v>
      </c>
      <c r="I93" s="341"/>
      <c r="J93" s="341"/>
      <c r="L93" s="435"/>
    </row>
    <row r="94" spans="2:33" x14ac:dyDescent="0.2">
      <c r="L94" s="435"/>
    </row>
    <row r="95" spans="2:33" x14ac:dyDescent="0.2">
      <c r="L95" s="435"/>
    </row>
    <row r="96" spans="2:33" x14ac:dyDescent="0.2">
      <c r="L96" s="435"/>
    </row>
    <row r="97" spans="12:12" x14ac:dyDescent="0.2">
      <c r="L97" s="435"/>
    </row>
    <row r="98" spans="12:12" x14ac:dyDescent="0.2">
      <c r="L98" s="435"/>
    </row>
    <row r="99" spans="12:12" x14ac:dyDescent="0.2">
      <c r="L99" s="435"/>
    </row>
    <row r="100" spans="12:12" x14ac:dyDescent="0.2">
      <c r="L100" s="435"/>
    </row>
    <row r="101" spans="12:12" x14ac:dyDescent="0.2">
      <c r="L101" s="435"/>
    </row>
  </sheetData>
  <mergeCells count="2">
    <mergeCell ref="K20:K26"/>
    <mergeCell ref="K4:K9"/>
  </mergeCells>
  <phoneticPr fontId="22" type="noConversion"/>
  <conditionalFormatting sqref="M4:S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C2FF5C-5BE5-4368-8292-E53CDD24473B}">
          <x14:formula1>
            <xm:f>Inputs!$AK$4:$AK$18</xm:f>
          </x14:formula1>
          <xm:sqref>C7</xm:sqref>
        </x14:dataValidation>
        <x14:dataValidation type="list" allowBlank="1" showInputMessage="1" showErrorMessage="1" xr:uid="{8C44DF06-6170-46AF-8CF0-B802D5016E34}">
          <x14:formula1>
            <xm:f>Inputs!$AL$4:$AL$18</xm:f>
          </x14:formula1>
          <xm:sqref>C9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6008BF60-1C45-4A03-B4B9-DA7A558BDB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Summary'!M66:Q66</xm:f>
              <xm:sqref>R66</xm:sqref>
            </x14:sparkline>
            <x14:sparkline>
              <xm:f>'Annual Summary'!M67:Q67</xm:f>
              <xm:sqref>R67</xm:sqref>
            </x14:sparkline>
            <x14:sparkline>
              <xm:f>'Annual Summary'!M68:Q68</xm:f>
              <xm:sqref>R68</xm:sqref>
            </x14:sparkline>
            <x14:sparkline>
              <xm:f>'Annual Summary'!M69:Q69</xm:f>
              <xm:sqref>R69</xm:sqref>
            </x14:sparkline>
            <x14:sparkline>
              <xm:f>'Annual Summary'!M70:Q70</xm:f>
              <xm:sqref>R70</xm:sqref>
            </x14:sparkline>
            <x14:sparkline>
              <xm:f>'Annual Summary'!M71:Q71</xm:f>
              <xm:sqref>R71</xm:sqref>
            </x14:sparkline>
            <x14:sparkline>
              <xm:f>'Annual Summary'!M72:Q72</xm:f>
              <xm:sqref>R72</xm:sqref>
            </x14:sparkline>
          </x14:sparklines>
        </x14:sparklineGroup>
        <x14:sparklineGroup displayEmptyCellsAs="span" xr2:uid="{BAFB7423-4E08-49EB-8A92-651976A925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Summary'!M55:Q55</xm:f>
              <xm:sqref>R55</xm:sqref>
            </x14:sparkline>
            <x14:sparkline>
              <xm:f>'Annual Summary'!M56:Q56</xm:f>
              <xm:sqref>R56</xm:sqref>
            </x14:sparkline>
            <x14:sparkline>
              <xm:f>'Annual Summary'!M57:Q57</xm:f>
              <xm:sqref>R57</xm:sqref>
            </x14:sparkline>
            <x14:sparkline>
              <xm:f>'Annual Summary'!M58:Q58</xm:f>
              <xm:sqref>R58</xm:sqref>
            </x14:sparkline>
            <x14:sparkline>
              <xm:f>'Annual Summary'!M59:Q59</xm:f>
              <xm:sqref>R59</xm:sqref>
            </x14:sparkline>
            <x14:sparkline>
              <xm:f>'Annual Summary'!M60:Q60</xm:f>
              <xm:sqref>R60</xm:sqref>
            </x14:sparkline>
            <x14:sparkline>
              <xm:f>'Annual Summary'!M61:Q61</xm:f>
              <xm:sqref>R61</xm:sqref>
            </x14:sparkline>
            <x14:sparkline>
              <xm:f>'Annual Summary'!M62:Q62</xm:f>
              <xm:sqref>R62</xm:sqref>
            </x14:sparkline>
            <x14:sparkline>
              <xm:f>'Annual Summary'!M63:Q63</xm:f>
              <xm:sqref>R63</xm:sqref>
            </x14:sparkline>
          </x14:sparklines>
        </x14:sparklineGroup>
        <x14:sparklineGroup displayEmptyCellsAs="span" xr2:uid="{31417EDB-9A98-4A7C-A025-E3FFA28DAC1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Summary'!M50:Q50</xm:f>
              <xm:sqref>R50</xm:sqref>
            </x14:sparkline>
            <x14:sparkline>
              <xm:f>'Annual Summary'!M51:Q51</xm:f>
              <xm:sqref>R51</xm:sqref>
            </x14:sparkline>
            <x14:sparkline>
              <xm:f>'Annual Summary'!M52:Q52</xm:f>
              <xm:sqref>R52</xm:sqref>
            </x14:sparkline>
          </x14:sparklines>
        </x14:sparklineGroup>
        <x14:sparklineGroup displayEmptyCellsAs="span" xr2:uid="{17C3EB2B-0214-4F79-A3A3-90648327DF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Summary'!M45:Q45</xm:f>
              <xm:sqref>R45</xm:sqref>
            </x14:sparkline>
            <x14:sparkline>
              <xm:f>'Annual Summary'!M46:Q46</xm:f>
              <xm:sqref>R46</xm:sqref>
            </x14:sparkline>
            <x14:sparkline>
              <xm:f>'Annual Summary'!M47:Q47</xm:f>
              <xm:sqref>R47</xm:sqref>
            </x14:sparkline>
          </x14:sparklines>
        </x14:sparklineGroup>
        <x14:sparklineGroup displayEmptyCellsAs="span" xr2:uid="{8D302E25-EF3B-4681-AD3A-56EEE1884CC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Summary'!M40:Q40</xm:f>
              <xm:sqref>R40</xm:sqref>
            </x14:sparkline>
            <x14:sparkline>
              <xm:f>'Annual Summary'!M41:Q41</xm:f>
              <xm:sqref>R41</xm:sqref>
            </x14:sparkline>
            <x14:sparkline>
              <xm:f>'Annual Summary'!M42:Q42</xm:f>
              <xm:sqref>R42</xm:sqref>
            </x14:sparkline>
          </x14:sparklines>
        </x14:sparklineGroup>
        <x14:sparklineGroup displayEmptyCellsAs="span" xr2:uid="{D39CBE9C-E859-4700-882C-DD3F44BA49A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Summary'!M35:Q35</xm:f>
              <xm:sqref>R35</xm:sqref>
            </x14:sparkline>
            <x14:sparkline>
              <xm:f>'Annual Summary'!M36:Q36</xm:f>
              <xm:sqref>R36</xm:sqref>
            </x14:sparkline>
            <x14:sparkline>
              <xm:f>'Annual Summary'!M37:Q37</xm:f>
              <xm:sqref>R37</xm:sqref>
            </x14:sparkline>
          </x14:sparklines>
        </x14:sparklineGroup>
        <x14:sparklineGroup displayEmptyCellsAs="span" xr2:uid="{9397CD31-7AC5-4286-9285-F255A7ED29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Summary'!M32:Q32</xm:f>
              <xm:sqref>R32</xm:sqref>
            </x14:sparkline>
          </x14:sparklines>
        </x14:sparklineGroup>
        <x14:sparklineGroup displayEmptyCellsAs="span" xr2:uid="{3B64C50F-F1A0-4E1A-913A-266C5AC99A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Summary'!M19:Q19</xm:f>
              <xm:sqref>R19</xm:sqref>
            </x14:sparkline>
            <x14:sparkline>
              <xm:f>'Annual Summary'!M20:Q20</xm:f>
              <xm:sqref>R20</xm:sqref>
            </x14:sparkline>
            <x14:sparkline>
              <xm:f>'Annual Summary'!M21:Q21</xm:f>
              <xm:sqref>R21</xm:sqref>
            </x14:sparkline>
            <x14:sparkline>
              <xm:f>'Annual Summary'!M22:Q22</xm:f>
              <xm:sqref>R22</xm:sqref>
            </x14:sparkline>
            <x14:sparkline>
              <xm:f>'Annual Summary'!M23:Q23</xm:f>
              <xm:sqref>R23</xm:sqref>
            </x14:sparkline>
            <x14:sparkline>
              <xm:f>'Annual Summary'!M24:Q24</xm:f>
              <xm:sqref>R24</xm:sqref>
            </x14:sparkline>
            <x14:sparkline>
              <xm:f>'Annual Summary'!M25:Q25</xm:f>
              <xm:sqref>R25</xm:sqref>
            </x14:sparkline>
            <x14:sparkline>
              <xm:f>'Annual Summary'!M26:Q26</xm:f>
              <xm:sqref>R26</xm:sqref>
            </x14:sparkline>
            <x14:sparkline>
              <xm:f>'Annual Summary'!M27:Q27</xm:f>
              <xm:sqref>R27</xm:sqref>
            </x14:sparkline>
          </x14:sparklines>
        </x14:sparklineGroup>
        <x14:sparklineGroup displayEmptyCellsAs="span" xr2:uid="{88C9B5BB-A890-4192-ADA1-F19C56B488E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Summary'!M30:Q30</xm:f>
              <xm:sqref>R30</xm:sqref>
            </x14:sparkline>
          </x14:sparklines>
        </x14:sparklineGroup>
        <x14:sparklineGroup displayEmptyCellsAs="span" xr2:uid="{669C7B2E-828C-4935-B3E9-B3EF7E7DB4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Summary'!M75:Q75</xm:f>
              <xm:sqref>R75</xm:sqref>
            </x14:sparkline>
          </x14:sparklines>
        </x14:sparklineGroup>
        <x14:sparklineGroup displayEmptyCellsAs="span" xr2:uid="{1CAE1EA1-DF84-4261-86E7-EE99059EC17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Summary'!M77:Q77</xm:f>
              <xm:sqref>R77</xm:sqref>
            </x14:sparkline>
          </x14:sparklines>
        </x14:sparklineGroup>
        <x14:sparklineGroup displayEmptyCellsAs="span" xr2:uid="{2BF67C6D-1488-4064-A2AA-6D39E91DDEB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'Annual Summary'!M79:Q79</xm:f>
              <xm:sqref>R79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FD07-58EC-4351-BE14-97AF90C658F8}">
  <sheetPr>
    <tabColor rgb="FF92D050"/>
  </sheetPr>
  <dimension ref="B1:AD32"/>
  <sheetViews>
    <sheetView topLeftCell="A16" workbookViewId="0">
      <selection activeCell="D23" sqref="D23"/>
    </sheetView>
  </sheetViews>
  <sheetFormatPr defaultRowHeight="15" x14ac:dyDescent="0.25"/>
  <cols>
    <col min="2" max="2" width="25.7109375" bestFit="1" customWidth="1"/>
    <col min="3" max="3" width="10.85546875" bestFit="1" customWidth="1"/>
    <col min="4" max="4" width="11.7109375" bestFit="1" customWidth="1"/>
    <col min="5" max="5" width="11.85546875" bestFit="1" customWidth="1"/>
    <col min="6" max="6" width="11.5703125" bestFit="1" customWidth="1"/>
    <col min="7" max="21" width="11.85546875" bestFit="1" customWidth="1"/>
    <col min="22" max="24" width="12.28515625" bestFit="1" customWidth="1"/>
    <col min="26" max="29" width="11.85546875" bestFit="1" customWidth="1"/>
    <col min="30" max="30" width="12.28515625" bestFit="1" customWidth="1"/>
  </cols>
  <sheetData>
    <row r="1" spans="2:30" x14ac:dyDescent="0.25">
      <c r="B1" s="384" t="s">
        <v>271</v>
      </c>
      <c r="E1" s="194">
        <v>1</v>
      </c>
      <c r="F1" s="194">
        <v>1</v>
      </c>
      <c r="G1" s="194">
        <v>1</v>
      </c>
      <c r="H1" s="194">
        <v>1</v>
      </c>
      <c r="I1" s="194">
        <f>E1+1</f>
        <v>2</v>
      </c>
      <c r="J1" s="194">
        <f t="shared" ref="J1:X1" si="0">F1+1</f>
        <v>2</v>
      </c>
      <c r="K1" s="194">
        <f t="shared" si="0"/>
        <v>2</v>
      </c>
      <c r="L1" s="194">
        <f t="shared" si="0"/>
        <v>2</v>
      </c>
      <c r="M1" s="194">
        <f t="shared" si="0"/>
        <v>3</v>
      </c>
      <c r="N1" s="194">
        <f t="shared" si="0"/>
        <v>3</v>
      </c>
      <c r="O1" s="194">
        <f t="shared" si="0"/>
        <v>3</v>
      </c>
      <c r="P1" s="194">
        <f t="shared" si="0"/>
        <v>3</v>
      </c>
      <c r="Q1" s="194">
        <f t="shared" si="0"/>
        <v>4</v>
      </c>
      <c r="R1" s="194">
        <f t="shared" si="0"/>
        <v>4</v>
      </c>
      <c r="S1" s="194">
        <f t="shared" si="0"/>
        <v>4</v>
      </c>
      <c r="T1" s="194">
        <f t="shared" si="0"/>
        <v>4</v>
      </c>
      <c r="U1" s="194">
        <f t="shared" si="0"/>
        <v>5</v>
      </c>
      <c r="V1" s="194">
        <f t="shared" si="0"/>
        <v>5</v>
      </c>
      <c r="W1" s="194">
        <f t="shared" si="0"/>
        <v>5</v>
      </c>
      <c r="X1" s="194">
        <f t="shared" si="0"/>
        <v>5</v>
      </c>
      <c r="Z1" s="194" t="s">
        <v>14</v>
      </c>
      <c r="AA1" s="194" t="s">
        <v>14</v>
      </c>
      <c r="AB1" s="194" t="s">
        <v>14</v>
      </c>
      <c r="AC1" s="194" t="s">
        <v>14</v>
      </c>
      <c r="AD1" s="194" t="s">
        <v>14</v>
      </c>
    </row>
    <row r="2" spans="2:30" x14ac:dyDescent="0.25">
      <c r="Z2">
        <v>1</v>
      </c>
      <c r="AA2">
        <v>2</v>
      </c>
      <c r="AB2">
        <v>3</v>
      </c>
      <c r="AC2">
        <v>4</v>
      </c>
      <c r="AD2">
        <v>5</v>
      </c>
    </row>
    <row r="4" spans="2:30" x14ac:dyDescent="0.25">
      <c r="B4" t="s">
        <v>248</v>
      </c>
      <c r="E4" s="282">
        <f ca="1">'CompanyP&amp;L'!D5</f>
        <v>3180373.5924999998</v>
      </c>
      <c r="F4" s="282">
        <f ca="1">'CompanyP&amp;L'!E5</f>
        <v>3960012.3807806242</v>
      </c>
      <c r="G4" s="282">
        <f ca="1">'CompanyP&amp;L'!F5</f>
        <v>4745493.9306850173</v>
      </c>
      <c r="H4" s="282">
        <f ca="1">'CompanyP&amp;L'!G5</f>
        <v>5157034.6359620579</v>
      </c>
      <c r="I4" s="282">
        <f ca="1">'CompanyP&amp;L'!H5</f>
        <v>5571657.5144891189</v>
      </c>
      <c r="J4" s="282">
        <f ca="1">'CompanyP&amp;L'!I5</f>
        <v>6369213.2579666367</v>
      </c>
      <c r="K4" s="282">
        <f ca="1">'CompanyP&amp;L'!J5</f>
        <v>7172746.439485536</v>
      </c>
      <c r="L4" s="282">
        <f ca="1">'CompanyP&amp;L'!K5</f>
        <v>7602474.4676515525</v>
      </c>
      <c r="M4" s="282">
        <f ca="1">'CompanyP&amp;L'!L5</f>
        <v>8035421.3828656441</v>
      </c>
      <c r="N4" s="282">
        <f ca="1">'CompanyP&amp;L'!M5</f>
        <v>8851438.9070766401</v>
      </c>
      <c r="O4" s="282">
        <f ca="1">'CompanyP&amp;L'!N5</f>
        <v>9673572.6514072064</v>
      </c>
      <c r="P4" s="282">
        <f ca="1">'CompanyP&amp;L'!O5</f>
        <v>10122041.070337133</v>
      </c>
      <c r="Q4" s="282">
        <f ca="1">'CompanyP&amp;L'!P5</f>
        <v>10573869.258043176</v>
      </c>
      <c r="R4" s="282">
        <f ca="1">'CompanyP&amp;L'!Q5</f>
        <v>11408909.998211579</v>
      </c>
      <c r="S4" s="282">
        <f ca="1">'CompanyP&amp;L'!R5</f>
        <v>12250209.97172437</v>
      </c>
      <c r="T4" s="282">
        <f ca="1">'CompanyP&amp;L'!S5</f>
        <v>12717988.710903434</v>
      </c>
      <c r="U4" s="282">
        <f ca="1">'CompanyP&amp;L'!T5</f>
        <v>13189272.395911612</v>
      </c>
      <c r="V4" s="282">
        <f ca="1">'CompanyP&amp;L'!U5</f>
        <v>14043914.904626939</v>
      </c>
      <c r="W4" s="282">
        <f ca="1">'CompanyP&amp;L'!V5</f>
        <v>14904964.020391122</v>
      </c>
      <c r="X4" s="282">
        <f ca="1">'CompanyP&amp;L'!W5</f>
        <v>15392640.386316283</v>
      </c>
      <c r="Z4" s="282"/>
      <c r="AA4" s="282"/>
      <c r="AB4" s="282"/>
      <c r="AC4" s="282"/>
      <c r="AD4" s="282"/>
    </row>
    <row r="6" spans="2:30" x14ac:dyDescent="0.25">
      <c r="E6" s="199" t="s">
        <v>6</v>
      </c>
      <c r="F6" s="199"/>
      <c r="G6" s="199"/>
      <c r="H6" s="199"/>
      <c r="I6" s="199" t="s">
        <v>7</v>
      </c>
      <c r="J6" s="199"/>
      <c r="K6" s="199"/>
      <c r="L6" s="199"/>
      <c r="M6" s="199" t="s">
        <v>8</v>
      </c>
      <c r="N6" s="199"/>
      <c r="O6" s="199"/>
      <c r="P6" s="199"/>
      <c r="Q6" s="199" t="s">
        <v>9</v>
      </c>
      <c r="R6" s="199"/>
      <c r="S6" s="199"/>
      <c r="T6" s="199"/>
      <c r="U6" s="199" t="s">
        <v>10</v>
      </c>
      <c r="V6" s="199"/>
      <c r="W6" s="199"/>
      <c r="X6" s="199"/>
      <c r="Z6" s="199"/>
      <c r="AA6" s="199"/>
      <c r="AB6" s="199"/>
      <c r="AC6" s="199"/>
      <c r="AD6" s="199"/>
    </row>
    <row r="7" spans="2:30" x14ac:dyDescent="0.25">
      <c r="E7" s="200" t="s">
        <v>11</v>
      </c>
      <c r="F7" s="200" t="s">
        <v>12</v>
      </c>
      <c r="G7" s="200" t="s">
        <v>13</v>
      </c>
      <c r="H7" s="200" t="s">
        <v>14</v>
      </c>
      <c r="I7" s="200" t="s">
        <v>11</v>
      </c>
      <c r="J7" s="200" t="s">
        <v>12</v>
      </c>
      <c r="K7" s="200" t="s">
        <v>13</v>
      </c>
      <c r="L7" s="200" t="s">
        <v>14</v>
      </c>
      <c r="M7" s="200" t="s">
        <v>11</v>
      </c>
      <c r="N7" s="200" t="s">
        <v>12</v>
      </c>
      <c r="O7" s="200" t="s">
        <v>13</v>
      </c>
      <c r="P7" s="200" t="s">
        <v>14</v>
      </c>
      <c r="Q7" s="200" t="s">
        <v>11</v>
      </c>
      <c r="R7" s="200" t="s">
        <v>12</v>
      </c>
      <c r="S7" s="200" t="s">
        <v>13</v>
      </c>
      <c r="T7" s="200" t="s">
        <v>14</v>
      </c>
      <c r="U7" s="200" t="s">
        <v>11</v>
      </c>
      <c r="V7" s="200" t="s">
        <v>12</v>
      </c>
      <c r="W7" s="200" t="s">
        <v>13</v>
      </c>
      <c r="X7" s="200" t="s">
        <v>14</v>
      </c>
      <c r="Z7" s="200"/>
      <c r="AA7" s="200"/>
      <c r="AB7" s="200"/>
      <c r="AC7" s="200"/>
      <c r="AD7" s="200"/>
    </row>
    <row r="8" spans="2:30" x14ac:dyDescent="0.25">
      <c r="B8" s="104"/>
      <c r="C8" s="126" t="s">
        <v>70</v>
      </c>
      <c r="D8" s="105" t="s">
        <v>167</v>
      </c>
    </row>
    <row r="9" spans="2:30" x14ac:dyDescent="0.25">
      <c r="B9" s="106" t="s">
        <v>148</v>
      </c>
      <c r="C9" s="107"/>
      <c r="D9" s="291">
        <f>Inputs!D80</f>
        <v>10000000</v>
      </c>
      <c r="E9" s="278">
        <f ca="1">'Cash Flows Statement'!D31</f>
        <v>9045378.532234624</v>
      </c>
      <c r="F9" s="278">
        <f ca="1">'Cash Flows Statement'!E31</f>
        <v>6758938.0055132173</v>
      </c>
      <c r="G9" s="278">
        <f ca="1">'Cash Flows Statement'!F31</f>
        <v>4466105.8204114623</v>
      </c>
      <c r="H9" s="278">
        <f ca="1">'Cash Flows Statement'!G31</f>
        <v>3642331.8741111304</v>
      </c>
      <c r="I9" s="278">
        <f ca="1">'Cash Flows Statement'!H31</f>
        <v>2869757.1017714376</v>
      </c>
      <c r="J9" s="278">
        <f ca="1">'Cash Flows Statement'!I31</f>
        <v>770268.33483403409</v>
      </c>
      <c r="K9" s="278">
        <f ca="1">'Cash Flows Statement'!J31</f>
        <v>-1341020.1013613068</v>
      </c>
      <c r="L9" s="278">
        <f ca="1">'Cash Flows Statement'!K31</f>
        <v>-1978271.1058404213</v>
      </c>
      <c r="M9" s="278">
        <f ca="1">'Cash Flows Statement'!L31</f>
        <v>977568.74149307236</v>
      </c>
      <c r="N9" s="278">
        <f ca="1">'Cash Flows Statement'!M31</f>
        <v>-1074025.9597046478</v>
      </c>
      <c r="O9" s="278">
        <f ca="1">'Cash Flows Statement'!N31</f>
        <v>-3027102.8304530829</v>
      </c>
      <c r="P9" s="278">
        <f ca="1">'Cash Flows Statement'!O31</f>
        <v>-3501011.4285459393</v>
      </c>
      <c r="Q9" s="278">
        <f ca="1">'Cash Flows Statement'!P31</f>
        <v>-3913534.7028815942</v>
      </c>
      <c r="R9" s="278">
        <f ca="1">'Cash Flows Statement'!Q31</f>
        <v>-5728959.1308271876</v>
      </c>
      <c r="S9" s="278">
        <f ca="1">'Cash Flows Statement'!R31</f>
        <v>-7440618.1162390206</v>
      </c>
      <c r="T9" s="278">
        <f ca="1">'Cash Flows Statement'!S31</f>
        <v>-7667821.7033291264</v>
      </c>
      <c r="U9" s="278">
        <f ca="1">'Cash Flows Statement'!T31</f>
        <v>-7888688.0287467651</v>
      </c>
      <c r="V9" s="278">
        <f ca="1">'Cash Flows Statement'!U31</f>
        <v>-9420838.4566764161</v>
      </c>
      <c r="W9" s="278">
        <f ca="1">'Cash Flows Statement'!V31</f>
        <v>-10843815.974574799</v>
      </c>
      <c r="X9" s="278">
        <f ca="1">'Cash Flows Statement'!W31</f>
        <v>-10820014.904736672</v>
      </c>
      <c r="Z9" s="278">
        <f t="shared" ref="Z9:AD13" ca="1" si="1">SUMIFS($E9:$X9,$E$1:$X$1,Z$2,$E$7:$X$7,Z$1)</f>
        <v>3642331.8741111304</v>
      </c>
      <c r="AA9" s="278">
        <f t="shared" ca="1" si="1"/>
        <v>-1978271.1058404213</v>
      </c>
      <c r="AB9" s="278">
        <f t="shared" ca="1" si="1"/>
        <v>-3501011.4285459393</v>
      </c>
      <c r="AC9" s="278">
        <f t="shared" ca="1" si="1"/>
        <v>-7667821.7033291264</v>
      </c>
      <c r="AD9" s="278">
        <f t="shared" ca="1" si="1"/>
        <v>-10820014.904736672</v>
      </c>
    </row>
    <row r="10" spans="2:30" x14ac:dyDescent="0.25">
      <c r="B10" s="106" t="s">
        <v>149</v>
      </c>
      <c r="C10" s="298">
        <f>Inputs!C81</f>
        <v>0.5</v>
      </c>
      <c r="D10" s="292">
        <f>Inputs!D81</f>
        <v>1391767</v>
      </c>
      <c r="E10" s="278">
        <f ca="1">$C10*E$4</f>
        <v>1590186.7962499999</v>
      </c>
      <c r="F10" s="278">
        <f t="shared" ref="F10:X12" ca="1" si="2">$C10*F$4</f>
        <v>1980006.1903903121</v>
      </c>
      <c r="G10" s="278">
        <f t="shared" ca="1" si="2"/>
        <v>2372746.9653425086</v>
      </c>
      <c r="H10" s="278">
        <f t="shared" ca="1" si="2"/>
        <v>2578517.3179810289</v>
      </c>
      <c r="I10" s="278">
        <f t="shared" ca="1" si="2"/>
        <v>2785828.7572445595</v>
      </c>
      <c r="J10" s="278">
        <f t="shared" ca="1" si="2"/>
        <v>3184606.6289833183</v>
      </c>
      <c r="K10" s="278">
        <f t="shared" ca="1" si="2"/>
        <v>3586373.219742768</v>
      </c>
      <c r="L10" s="278">
        <f t="shared" ca="1" si="2"/>
        <v>3801237.2338257763</v>
      </c>
      <c r="M10" s="278">
        <f t="shared" ca="1" si="2"/>
        <v>4017710.691432822</v>
      </c>
      <c r="N10" s="278">
        <f t="shared" ca="1" si="2"/>
        <v>4425719.45353832</v>
      </c>
      <c r="O10" s="278">
        <f t="shared" ca="1" si="2"/>
        <v>4836786.3257036032</v>
      </c>
      <c r="P10" s="278">
        <f t="shared" ca="1" si="2"/>
        <v>5061020.5351685667</v>
      </c>
      <c r="Q10" s="278">
        <f t="shared" ca="1" si="2"/>
        <v>5286934.6290215878</v>
      </c>
      <c r="R10" s="278">
        <f t="shared" ca="1" si="2"/>
        <v>5704454.9991057897</v>
      </c>
      <c r="S10" s="278">
        <f t="shared" ca="1" si="2"/>
        <v>6125104.9858621852</v>
      </c>
      <c r="T10" s="278">
        <f t="shared" ca="1" si="2"/>
        <v>6358994.355451717</v>
      </c>
      <c r="U10" s="278">
        <f t="shared" ca="1" si="2"/>
        <v>6594636.1979558058</v>
      </c>
      <c r="V10" s="278">
        <f t="shared" ca="1" si="2"/>
        <v>7021957.4523134697</v>
      </c>
      <c r="W10" s="278">
        <f t="shared" ca="1" si="2"/>
        <v>7452482.0101955608</v>
      </c>
      <c r="X10" s="278">
        <f ca="1">$C10*X$4</f>
        <v>7696320.1931581413</v>
      </c>
      <c r="Z10" s="278">
        <f t="shared" ca="1" si="1"/>
        <v>2578517.3179810289</v>
      </c>
      <c r="AA10" s="278">
        <f t="shared" ca="1" si="1"/>
        <v>3801237.2338257763</v>
      </c>
      <c r="AB10" s="278">
        <f t="shared" ca="1" si="1"/>
        <v>5061020.5351685667</v>
      </c>
      <c r="AC10" s="278">
        <f t="shared" ca="1" si="1"/>
        <v>6358994.355451717</v>
      </c>
      <c r="AD10" s="278">
        <f t="shared" ca="1" si="1"/>
        <v>7696320.1931581413</v>
      </c>
    </row>
    <row r="11" spans="2:30" x14ac:dyDescent="0.25">
      <c r="B11" s="106" t="s">
        <v>150</v>
      </c>
      <c r="C11" s="299">
        <f>Inputs!C82</f>
        <v>0.05</v>
      </c>
      <c r="D11" s="292">
        <f>Inputs!D82</f>
        <v>139176.70000000001</v>
      </c>
      <c r="E11" s="278">
        <f t="shared" ref="E11:U12" ca="1" si="3">$C11*E$4</f>
        <v>159018.67962499999</v>
      </c>
      <c r="F11" s="278">
        <f t="shared" ca="1" si="3"/>
        <v>198000.61903903121</v>
      </c>
      <c r="G11" s="278">
        <f t="shared" ca="1" si="3"/>
        <v>237274.69653425086</v>
      </c>
      <c r="H11" s="278">
        <f t="shared" ca="1" si="3"/>
        <v>257851.7317981029</v>
      </c>
      <c r="I11" s="278">
        <f t="shared" ca="1" si="3"/>
        <v>278582.87572445598</v>
      </c>
      <c r="J11" s="278">
        <f t="shared" ca="1" si="3"/>
        <v>318460.66289833188</v>
      </c>
      <c r="K11" s="278">
        <f t="shared" ca="1" si="3"/>
        <v>358637.3219742768</v>
      </c>
      <c r="L11" s="278">
        <f t="shared" ca="1" si="3"/>
        <v>380123.72338257765</v>
      </c>
      <c r="M11" s="278">
        <f t="shared" ca="1" si="3"/>
        <v>401771.06914328225</v>
      </c>
      <c r="N11" s="278">
        <f t="shared" ca="1" si="3"/>
        <v>442571.94535383204</v>
      </c>
      <c r="O11" s="278">
        <f t="shared" ca="1" si="3"/>
        <v>483678.63257036032</v>
      </c>
      <c r="P11" s="278">
        <f t="shared" ca="1" si="3"/>
        <v>506102.05351685669</v>
      </c>
      <c r="Q11" s="278">
        <f t="shared" ca="1" si="3"/>
        <v>528693.46290215885</v>
      </c>
      <c r="R11" s="278">
        <f t="shared" ca="1" si="3"/>
        <v>570445.49991057895</v>
      </c>
      <c r="S11" s="278">
        <f t="shared" ca="1" si="3"/>
        <v>612510.49858621857</v>
      </c>
      <c r="T11" s="278">
        <f t="shared" ca="1" si="3"/>
        <v>635899.43554517173</v>
      </c>
      <c r="U11" s="278">
        <f t="shared" ca="1" si="3"/>
        <v>659463.61979558063</v>
      </c>
      <c r="V11" s="278">
        <f t="shared" ca="1" si="2"/>
        <v>702195.74523134704</v>
      </c>
      <c r="W11" s="278">
        <f t="shared" ca="1" si="2"/>
        <v>745248.20101955615</v>
      </c>
      <c r="X11" s="278">
        <f ca="1">$C11*X$4</f>
        <v>769632.01931581413</v>
      </c>
      <c r="Z11" s="278">
        <f t="shared" ca="1" si="1"/>
        <v>257851.7317981029</v>
      </c>
      <c r="AA11" s="278">
        <f t="shared" ca="1" si="1"/>
        <v>380123.72338257765</v>
      </c>
      <c r="AB11" s="278">
        <f t="shared" ca="1" si="1"/>
        <v>506102.05351685669</v>
      </c>
      <c r="AC11" s="278">
        <f t="shared" ca="1" si="1"/>
        <v>635899.43554517173</v>
      </c>
      <c r="AD11" s="278">
        <f t="shared" ca="1" si="1"/>
        <v>769632.01931581413</v>
      </c>
    </row>
    <row r="12" spans="2:30" x14ac:dyDescent="0.25">
      <c r="B12" s="106" t="s">
        <v>151</v>
      </c>
      <c r="C12" s="300">
        <f>Inputs!C83</f>
        <v>5.0000000000000001E-3</v>
      </c>
      <c r="D12" s="292">
        <f>Inputs!D83</f>
        <v>13917.67</v>
      </c>
      <c r="E12" s="278">
        <f t="shared" ca="1" si="3"/>
        <v>15901.867962499999</v>
      </c>
      <c r="F12" s="278">
        <f t="shared" ca="1" si="3"/>
        <v>19800.061903903123</v>
      </c>
      <c r="G12" s="278">
        <f t="shared" ca="1" si="3"/>
        <v>23727.469653425087</v>
      </c>
      <c r="H12" s="278">
        <f t="shared" ca="1" si="3"/>
        <v>25785.173179810288</v>
      </c>
      <c r="I12" s="278">
        <f t="shared" ca="1" si="3"/>
        <v>27858.287572445595</v>
      </c>
      <c r="J12" s="278">
        <f t="shared" ca="1" si="3"/>
        <v>31846.066289833183</v>
      </c>
      <c r="K12" s="278">
        <f t="shared" ca="1" si="3"/>
        <v>35863.732197427678</v>
      </c>
      <c r="L12" s="278">
        <f t="shared" ca="1" si="3"/>
        <v>38012.372338257766</v>
      </c>
      <c r="M12" s="278">
        <f t="shared" ca="1" si="3"/>
        <v>40177.106914328222</v>
      </c>
      <c r="N12" s="278">
        <f t="shared" ca="1" si="3"/>
        <v>44257.194535383198</v>
      </c>
      <c r="O12" s="278">
        <f t="shared" ca="1" si="3"/>
        <v>48367.863257036035</v>
      </c>
      <c r="P12" s="278">
        <f t="shared" ca="1" si="3"/>
        <v>50610.205351685669</v>
      </c>
      <c r="Q12" s="278">
        <f t="shared" ca="1" si="3"/>
        <v>52869.346290215879</v>
      </c>
      <c r="R12" s="278">
        <f t="shared" ca="1" si="3"/>
        <v>57044.549991057895</v>
      </c>
      <c r="S12" s="278">
        <f t="shared" ca="1" si="3"/>
        <v>61251.049858621853</v>
      </c>
      <c r="T12" s="278">
        <f t="shared" ca="1" si="3"/>
        <v>63589.943554517173</v>
      </c>
      <c r="U12" s="278">
        <f t="shared" ca="1" si="2"/>
        <v>65946.36197955806</v>
      </c>
      <c r="V12" s="278">
        <f t="shared" ca="1" si="2"/>
        <v>70219.574523134695</v>
      </c>
      <c r="W12" s="278">
        <f t="shared" ca="1" si="2"/>
        <v>74524.820101955615</v>
      </c>
      <c r="X12" s="278">
        <f t="shared" ca="1" si="2"/>
        <v>76963.20193158141</v>
      </c>
      <c r="Z12" s="278">
        <f t="shared" ca="1" si="1"/>
        <v>25785.173179810288</v>
      </c>
      <c r="AA12" s="278">
        <f t="shared" ca="1" si="1"/>
        <v>38012.372338257766</v>
      </c>
      <c r="AB12" s="278">
        <f t="shared" ca="1" si="1"/>
        <v>50610.205351685669</v>
      </c>
      <c r="AC12" s="278">
        <f t="shared" ca="1" si="1"/>
        <v>63589.943554517173</v>
      </c>
      <c r="AD12" s="278">
        <f t="shared" ca="1" si="1"/>
        <v>76963.20193158141</v>
      </c>
    </row>
    <row r="13" spans="2:30" x14ac:dyDescent="0.25">
      <c r="B13" s="111" t="s">
        <v>152</v>
      </c>
      <c r="C13" s="301"/>
      <c r="D13" s="293">
        <f>Inputs!D84</f>
        <v>11544861.369999999</v>
      </c>
      <c r="E13" s="304">
        <f ca="1">SUM(E9:E12)</f>
        <v>10810485.876072126</v>
      </c>
      <c r="F13" s="279">
        <f t="shared" ref="F13:X13" ca="1" si="4">SUM(F9:F12)</f>
        <v>8956744.8768464625</v>
      </c>
      <c r="G13" s="279">
        <f t="shared" ca="1" si="4"/>
        <v>7099854.9519416466</v>
      </c>
      <c r="H13" s="279">
        <f t="shared" ca="1" si="4"/>
        <v>6504486.0970700728</v>
      </c>
      <c r="I13" s="279">
        <f t="shared" ca="1" si="4"/>
        <v>5962027.0223128991</v>
      </c>
      <c r="J13" s="279">
        <f t="shared" ca="1" si="4"/>
        <v>4305181.6930055171</v>
      </c>
      <c r="K13" s="279">
        <f t="shared" ca="1" si="4"/>
        <v>2639854.1725531654</v>
      </c>
      <c r="L13" s="279">
        <f t="shared" ca="1" si="4"/>
        <v>2241102.2237061905</v>
      </c>
      <c r="M13" s="279">
        <f t="shared" ca="1" si="4"/>
        <v>5437227.6089835055</v>
      </c>
      <c r="N13" s="279">
        <f t="shared" ca="1" si="4"/>
        <v>3838522.6337228874</v>
      </c>
      <c r="O13" s="279">
        <f t="shared" ca="1" si="4"/>
        <v>2341729.9910779167</v>
      </c>
      <c r="P13" s="279">
        <f t="shared" ca="1" si="4"/>
        <v>2116721.36549117</v>
      </c>
      <c r="Q13" s="279">
        <f t="shared" ca="1" si="4"/>
        <v>1954962.7353323684</v>
      </c>
      <c r="R13" s="279">
        <f t="shared" ca="1" si="4"/>
        <v>602985.91818023892</v>
      </c>
      <c r="S13" s="279">
        <f t="shared" ca="1" si="4"/>
        <v>-641751.58193199488</v>
      </c>
      <c r="T13" s="279">
        <f t="shared" ca="1" si="4"/>
        <v>-609337.96877772035</v>
      </c>
      <c r="U13" s="279">
        <f t="shared" ca="1" si="4"/>
        <v>-568641.84901582066</v>
      </c>
      <c r="V13" s="279">
        <f t="shared" ca="1" si="4"/>
        <v>-1626465.6846084646</v>
      </c>
      <c r="W13" s="279">
        <f t="shared" ca="1" si="4"/>
        <v>-2571560.9432577263</v>
      </c>
      <c r="X13" s="279">
        <f t="shared" ca="1" si="4"/>
        <v>-2277099.4903311348</v>
      </c>
      <c r="Z13" s="279">
        <f t="shared" ca="1" si="1"/>
        <v>6504486.0970700728</v>
      </c>
      <c r="AA13" s="279">
        <f t="shared" ca="1" si="1"/>
        <v>2241102.2237061905</v>
      </c>
      <c r="AB13" s="279">
        <f t="shared" ca="1" si="1"/>
        <v>2116721.36549117</v>
      </c>
      <c r="AC13" s="279">
        <f t="shared" ca="1" si="1"/>
        <v>-609337.96877772035</v>
      </c>
      <c r="AD13" s="279">
        <f t="shared" ca="1" si="1"/>
        <v>-2277099.4903311348</v>
      </c>
    </row>
    <row r="14" spans="2:30" x14ac:dyDescent="0.25">
      <c r="B14" s="113"/>
      <c r="C14" s="241"/>
      <c r="D14" s="248"/>
    </row>
    <row r="15" spans="2:30" x14ac:dyDescent="0.25">
      <c r="B15" s="106" t="s">
        <v>153</v>
      </c>
      <c r="C15" s="302"/>
      <c r="D15" s="292">
        <f>Inputs!D86</f>
        <v>4000000</v>
      </c>
      <c r="E15" s="288">
        <f>CapEx!E13</f>
        <v>5100000</v>
      </c>
      <c r="F15" s="288">
        <f>CapEx!F13</f>
        <v>7408750</v>
      </c>
      <c r="G15" s="288">
        <f>CapEx!G13</f>
        <v>9630921.875</v>
      </c>
      <c r="H15" s="288">
        <f>CapEx!H13</f>
        <v>10519762.3046875</v>
      </c>
      <c r="I15" s="288">
        <f>CapEx!I13</f>
        <v>11375271.218261719</v>
      </c>
      <c r="J15" s="288">
        <f>CapEx!J13</f>
        <v>13448698.547576904</v>
      </c>
      <c r="K15" s="288">
        <f>CapEx!K13</f>
        <v>15444372.35204277</v>
      </c>
      <c r="L15" s="288">
        <f>CapEx!L13</f>
        <v>16115208.388841167</v>
      </c>
      <c r="M15" s="288">
        <f>CapEx!M13</f>
        <v>16760888.074259624</v>
      </c>
      <c r="N15" s="288">
        <f>CapEx!N13</f>
        <v>18632354.77147489</v>
      </c>
      <c r="O15" s="288">
        <f>CapEx!O13</f>
        <v>20433641.467544582</v>
      </c>
      <c r="P15" s="288">
        <f>CapEx!P13</f>
        <v>20917379.912511662</v>
      </c>
      <c r="Q15" s="288">
        <f>CapEx!Q13</f>
        <v>21382978.165792473</v>
      </c>
      <c r="R15" s="288">
        <f>CapEx!R13</f>
        <v>23081116.484575257</v>
      </c>
      <c r="S15" s="288">
        <f>CapEx!S13</f>
        <v>24715574.616403684</v>
      </c>
      <c r="T15" s="288">
        <f>CapEx!T13</f>
        <v>25038740.568288546</v>
      </c>
      <c r="U15" s="288">
        <f>CapEx!U13</f>
        <v>25349787.796977725</v>
      </c>
      <c r="V15" s="288">
        <f>CapEx!V13</f>
        <v>26899170.754591059</v>
      </c>
      <c r="W15" s="288">
        <f>CapEx!W13</f>
        <v>28390451.851293895</v>
      </c>
      <c r="X15" s="288">
        <f>CapEx!X13</f>
        <v>28575809.906870373</v>
      </c>
      <c r="Z15" s="288">
        <f t="shared" ref="Z15:AD16" si="5">SUMIFS($E15:$X15,$E$1:$X$1,Z$2,$E$7:$X$7,Z$1)</f>
        <v>10519762.3046875</v>
      </c>
      <c r="AA15" s="288">
        <f t="shared" si="5"/>
        <v>16115208.388841167</v>
      </c>
      <c r="AB15" s="288">
        <f t="shared" si="5"/>
        <v>20917379.912511662</v>
      </c>
      <c r="AC15" s="288">
        <f t="shared" si="5"/>
        <v>25038740.568288546</v>
      </c>
      <c r="AD15" s="288">
        <f t="shared" si="5"/>
        <v>28575809.906870373</v>
      </c>
    </row>
    <row r="16" spans="2:30" x14ac:dyDescent="0.25">
      <c r="B16" s="116" t="s">
        <v>154</v>
      </c>
      <c r="C16" s="303"/>
      <c r="D16" s="294">
        <f>Inputs!D87</f>
        <v>15544861.369999999</v>
      </c>
      <c r="E16" s="305">
        <f ca="1">E15+E13</f>
        <v>15910485.876072126</v>
      </c>
      <c r="F16" s="289">
        <f t="shared" ref="F16:X16" ca="1" si="6">F15+F13</f>
        <v>16365494.876846462</v>
      </c>
      <c r="G16" s="289">
        <f t="shared" ca="1" si="6"/>
        <v>16730776.826941647</v>
      </c>
      <c r="H16" s="289">
        <f t="shared" ca="1" si="6"/>
        <v>17024248.401757572</v>
      </c>
      <c r="I16" s="289">
        <f t="shared" ca="1" si="6"/>
        <v>17337298.240574617</v>
      </c>
      <c r="J16" s="289">
        <f t="shared" ca="1" si="6"/>
        <v>17753880.240582421</v>
      </c>
      <c r="K16" s="289">
        <f t="shared" ca="1" si="6"/>
        <v>18084226.524595935</v>
      </c>
      <c r="L16" s="289">
        <f t="shared" ca="1" si="6"/>
        <v>18356310.612547357</v>
      </c>
      <c r="M16" s="289">
        <f t="shared" ca="1" si="6"/>
        <v>22198115.683243129</v>
      </c>
      <c r="N16" s="289">
        <f t="shared" ca="1" si="6"/>
        <v>22470877.405197777</v>
      </c>
      <c r="O16" s="289">
        <f t="shared" ca="1" si="6"/>
        <v>22775371.4586225</v>
      </c>
      <c r="P16" s="289">
        <f t="shared" ca="1" si="6"/>
        <v>23034101.278002832</v>
      </c>
      <c r="Q16" s="289">
        <f t="shared" ca="1" si="6"/>
        <v>23337940.901124842</v>
      </c>
      <c r="R16" s="289">
        <f t="shared" ca="1" si="6"/>
        <v>23684102.402755495</v>
      </c>
      <c r="S16" s="289">
        <f t="shared" ca="1" si="6"/>
        <v>24073823.034471691</v>
      </c>
      <c r="T16" s="289">
        <f t="shared" ca="1" si="6"/>
        <v>24429402.599510826</v>
      </c>
      <c r="U16" s="289">
        <f t="shared" ca="1" si="6"/>
        <v>24781145.947961904</v>
      </c>
      <c r="V16" s="289">
        <f t="shared" ca="1" si="6"/>
        <v>25272705.069982596</v>
      </c>
      <c r="W16" s="289">
        <f t="shared" ca="1" si="6"/>
        <v>25818890.908036169</v>
      </c>
      <c r="X16" s="289">
        <f t="shared" ca="1" si="6"/>
        <v>26298710.416539237</v>
      </c>
      <c r="Z16" s="289">
        <f t="shared" ca="1" si="5"/>
        <v>17024248.401757572</v>
      </c>
      <c r="AA16" s="289">
        <f t="shared" ca="1" si="5"/>
        <v>18356310.612547357</v>
      </c>
      <c r="AB16" s="289">
        <f t="shared" ca="1" si="5"/>
        <v>23034101.278002832</v>
      </c>
      <c r="AC16" s="289">
        <f t="shared" ca="1" si="5"/>
        <v>24429402.599510826</v>
      </c>
      <c r="AD16" s="289">
        <f t="shared" ca="1" si="5"/>
        <v>26298710.416539237</v>
      </c>
    </row>
    <row r="17" spans="2:30" x14ac:dyDescent="0.25">
      <c r="B17" s="113"/>
      <c r="C17" s="241"/>
      <c r="D17" s="248"/>
    </row>
    <row r="18" spans="2:30" x14ac:dyDescent="0.25">
      <c r="B18" s="106" t="s">
        <v>155</v>
      </c>
      <c r="C18" s="300">
        <f>Inputs!C89</f>
        <v>0.1</v>
      </c>
      <c r="D18" s="292">
        <f>Inputs!D89</f>
        <v>278353.40000000002</v>
      </c>
      <c r="E18" s="288">
        <f ca="1">$C18*E$4</f>
        <v>318037.35924999998</v>
      </c>
      <c r="F18" s="288">
        <f t="shared" ref="F18:X20" ca="1" si="7">$C18*F$4</f>
        <v>396001.23807806242</v>
      </c>
      <c r="G18" s="288">
        <f t="shared" ca="1" si="7"/>
        <v>474549.39306850173</v>
      </c>
      <c r="H18" s="288">
        <f t="shared" ca="1" si="7"/>
        <v>515703.46359620581</v>
      </c>
      <c r="I18" s="288">
        <f t="shared" ca="1" si="7"/>
        <v>557165.75144891196</v>
      </c>
      <c r="J18" s="288">
        <f t="shared" ca="1" si="7"/>
        <v>636921.32579666376</v>
      </c>
      <c r="K18" s="288">
        <f t="shared" ca="1" si="7"/>
        <v>717274.6439485536</v>
      </c>
      <c r="L18" s="288">
        <f t="shared" ca="1" si="7"/>
        <v>760247.4467651553</v>
      </c>
      <c r="M18" s="288">
        <f t="shared" ca="1" si="7"/>
        <v>803542.1382865645</v>
      </c>
      <c r="N18" s="288">
        <f t="shared" ca="1" si="7"/>
        <v>885143.89070766408</v>
      </c>
      <c r="O18" s="288">
        <f t="shared" ca="1" si="7"/>
        <v>967357.26514072064</v>
      </c>
      <c r="P18" s="288">
        <f t="shared" ca="1" si="7"/>
        <v>1012204.1070337134</v>
      </c>
      <c r="Q18" s="288">
        <f t="shared" ca="1" si="7"/>
        <v>1057386.9258043177</v>
      </c>
      <c r="R18" s="288">
        <f t="shared" ca="1" si="7"/>
        <v>1140890.9998211579</v>
      </c>
      <c r="S18" s="288">
        <f t="shared" ca="1" si="7"/>
        <v>1225020.9971724371</v>
      </c>
      <c r="T18" s="288">
        <f t="shared" ca="1" si="7"/>
        <v>1271798.8710903435</v>
      </c>
      <c r="U18" s="288">
        <f t="shared" ca="1" si="7"/>
        <v>1318927.2395911613</v>
      </c>
      <c r="V18" s="288">
        <f t="shared" ca="1" si="7"/>
        <v>1404391.4904626941</v>
      </c>
      <c r="W18" s="288">
        <f t="shared" ca="1" si="7"/>
        <v>1490496.4020391123</v>
      </c>
      <c r="X18" s="288">
        <f t="shared" ca="1" si="7"/>
        <v>1539264.0386316283</v>
      </c>
      <c r="Z18" s="288">
        <f t="shared" ref="Z18:AD21" ca="1" si="8">SUMIFS($E18:$X18,$E$1:$X$1,Z$2,$E$7:$X$7,Z$1)</f>
        <v>515703.46359620581</v>
      </c>
      <c r="AA18" s="288">
        <f t="shared" ca="1" si="8"/>
        <v>760247.4467651553</v>
      </c>
      <c r="AB18" s="288">
        <f t="shared" ca="1" si="8"/>
        <v>1012204.1070337134</v>
      </c>
      <c r="AC18" s="288">
        <f t="shared" ca="1" si="8"/>
        <v>1271798.8710903435</v>
      </c>
      <c r="AD18" s="288">
        <f t="shared" ca="1" si="8"/>
        <v>1539264.0386316283</v>
      </c>
    </row>
    <row r="19" spans="2:30" x14ac:dyDescent="0.25">
      <c r="B19" s="106" t="s">
        <v>156</v>
      </c>
      <c r="C19" s="299">
        <f>Inputs!C90</f>
        <v>5.0000000000000001E-3</v>
      </c>
      <c r="D19" s="292">
        <f>Inputs!D90</f>
        <v>13917.67</v>
      </c>
      <c r="E19" s="288">
        <f t="shared" ref="E19:T20" ca="1" si="9">$C19*E$4</f>
        <v>15901.867962499999</v>
      </c>
      <c r="F19" s="288">
        <f t="shared" ca="1" si="9"/>
        <v>19800.061903903123</v>
      </c>
      <c r="G19" s="288">
        <f t="shared" ca="1" si="9"/>
        <v>23727.469653425087</v>
      </c>
      <c r="H19" s="288">
        <f t="shared" ca="1" si="9"/>
        <v>25785.173179810288</v>
      </c>
      <c r="I19" s="288">
        <f t="shared" ca="1" si="9"/>
        <v>27858.287572445595</v>
      </c>
      <c r="J19" s="288">
        <f t="shared" ca="1" si="9"/>
        <v>31846.066289833183</v>
      </c>
      <c r="K19" s="288">
        <f t="shared" ca="1" si="9"/>
        <v>35863.732197427678</v>
      </c>
      <c r="L19" s="288">
        <f t="shared" ca="1" si="9"/>
        <v>38012.372338257766</v>
      </c>
      <c r="M19" s="288">
        <f t="shared" ca="1" si="9"/>
        <v>40177.106914328222</v>
      </c>
      <c r="N19" s="288">
        <f t="shared" ca="1" si="9"/>
        <v>44257.194535383198</v>
      </c>
      <c r="O19" s="288">
        <f t="shared" ca="1" si="9"/>
        <v>48367.863257036035</v>
      </c>
      <c r="P19" s="288">
        <f t="shared" ca="1" si="9"/>
        <v>50610.205351685669</v>
      </c>
      <c r="Q19" s="288">
        <f t="shared" ca="1" si="9"/>
        <v>52869.346290215879</v>
      </c>
      <c r="R19" s="288">
        <f t="shared" ca="1" si="9"/>
        <v>57044.549991057895</v>
      </c>
      <c r="S19" s="288">
        <f t="shared" ca="1" si="9"/>
        <v>61251.049858621853</v>
      </c>
      <c r="T19" s="288">
        <f t="shared" ca="1" si="9"/>
        <v>63589.943554517173</v>
      </c>
      <c r="U19" s="288">
        <f t="shared" ca="1" si="7"/>
        <v>65946.36197955806</v>
      </c>
      <c r="V19" s="288">
        <f t="shared" ca="1" si="7"/>
        <v>70219.574523134695</v>
      </c>
      <c r="W19" s="288">
        <f t="shared" ca="1" si="7"/>
        <v>74524.820101955615</v>
      </c>
      <c r="X19" s="288">
        <f t="shared" ca="1" si="7"/>
        <v>76963.20193158141</v>
      </c>
      <c r="Z19" s="288">
        <f t="shared" ca="1" si="8"/>
        <v>25785.173179810288</v>
      </c>
      <c r="AA19" s="288">
        <f t="shared" ca="1" si="8"/>
        <v>38012.372338257766</v>
      </c>
      <c r="AB19" s="288">
        <f t="shared" ca="1" si="8"/>
        <v>50610.205351685669</v>
      </c>
      <c r="AC19" s="288">
        <f t="shared" ca="1" si="8"/>
        <v>63589.943554517173</v>
      </c>
      <c r="AD19" s="288">
        <f t="shared" ca="1" si="8"/>
        <v>76963.20193158141</v>
      </c>
    </row>
    <row r="20" spans="2:30" x14ac:dyDescent="0.25">
      <c r="B20" s="106" t="s">
        <v>157</v>
      </c>
      <c r="C20" s="298">
        <f>Inputs!C91</f>
        <v>2.5000000000000001E-3</v>
      </c>
      <c r="D20" s="292">
        <f>Inputs!D91</f>
        <v>6958.835</v>
      </c>
      <c r="E20" s="288">
        <f t="shared" ca="1" si="9"/>
        <v>7950.9339812499993</v>
      </c>
      <c r="F20" s="288">
        <f t="shared" ca="1" si="7"/>
        <v>9900.0309519515613</v>
      </c>
      <c r="G20" s="288">
        <f t="shared" ca="1" si="7"/>
        <v>11863.734826712544</v>
      </c>
      <c r="H20" s="288">
        <f t="shared" ca="1" si="7"/>
        <v>12892.586589905144</v>
      </c>
      <c r="I20" s="288">
        <f t="shared" ca="1" si="7"/>
        <v>13929.143786222798</v>
      </c>
      <c r="J20" s="288">
        <f t="shared" ca="1" si="7"/>
        <v>15923.033144916591</v>
      </c>
      <c r="K20" s="288">
        <f t="shared" ca="1" si="7"/>
        <v>17931.866098713839</v>
      </c>
      <c r="L20" s="288">
        <f t="shared" ca="1" si="7"/>
        <v>19006.186169128883</v>
      </c>
      <c r="M20" s="288">
        <f t="shared" ca="1" si="7"/>
        <v>20088.553457164111</v>
      </c>
      <c r="N20" s="288">
        <f t="shared" ca="1" si="7"/>
        <v>22128.597267691599</v>
      </c>
      <c r="O20" s="288">
        <f t="shared" ca="1" si="7"/>
        <v>24183.931628518018</v>
      </c>
      <c r="P20" s="288">
        <f t="shared" ca="1" si="7"/>
        <v>25305.102675842834</v>
      </c>
      <c r="Q20" s="288">
        <f t="shared" ca="1" si="7"/>
        <v>26434.673145107939</v>
      </c>
      <c r="R20" s="288">
        <f t="shared" ca="1" si="7"/>
        <v>28522.274995528947</v>
      </c>
      <c r="S20" s="288">
        <f t="shared" ca="1" si="7"/>
        <v>30625.524929310926</v>
      </c>
      <c r="T20" s="288">
        <f t="shared" ca="1" si="7"/>
        <v>31794.971777258586</v>
      </c>
      <c r="U20" s="288">
        <f t="shared" ca="1" si="7"/>
        <v>32973.18098977903</v>
      </c>
      <c r="V20" s="288">
        <f t="shared" ca="1" si="7"/>
        <v>35109.787261567348</v>
      </c>
      <c r="W20" s="288">
        <f t="shared" ca="1" si="7"/>
        <v>37262.410050977807</v>
      </c>
      <c r="X20" s="288">
        <f t="shared" ca="1" si="7"/>
        <v>38481.600965790705</v>
      </c>
      <c r="Z20" s="288">
        <f t="shared" ca="1" si="8"/>
        <v>12892.586589905144</v>
      </c>
      <c r="AA20" s="288">
        <f t="shared" ca="1" si="8"/>
        <v>19006.186169128883</v>
      </c>
      <c r="AB20" s="288">
        <f t="shared" ca="1" si="8"/>
        <v>25305.102675842834</v>
      </c>
      <c r="AC20" s="288">
        <f t="shared" ca="1" si="8"/>
        <v>31794.971777258586</v>
      </c>
      <c r="AD20" s="288">
        <f t="shared" ca="1" si="8"/>
        <v>38481.600965790705</v>
      </c>
    </row>
    <row r="21" spans="2:30" x14ac:dyDescent="0.25">
      <c r="B21" s="111" t="s">
        <v>158</v>
      </c>
      <c r="C21" s="301"/>
      <c r="D21" s="293">
        <f>Inputs!D92</f>
        <v>299229.90500000003</v>
      </c>
      <c r="E21" s="305">
        <f ca="1">SUM(E18:E20)</f>
        <v>341890.16119374998</v>
      </c>
      <c r="F21" s="289">
        <f t="shared" ref="F21:X21" ca="1" si="10">SUM(F18:F20)</f>
        <v>425701.33093391714</v>
      </c>
      <c r="G21" s="289">
        <f t="shared" ca="1" si="10"/>
        <v>510140.59754863934</v>
      </c>
      <c r="H21" s="289">
        <f t="shared" ca="1" si="10"/>
        <v>554381.22336592129</v>
      </c>
      <c r="I21" s="289">
        <f t="shared" ca="1" si="10"/>
        <v>598953.18280758034</v>
      </c>
      <c r="J21" s="289">
        <f t="shared" ca="1" si="10"/>
        <v>684690.42523141357</v>
      </c>
      <c r="K21" s="289">
        <f t="shared" ca="1" si="10"/>
        <v>771070.24224469508</v>
      </c>
      <c r="L21" s="289">
        <f t="shared" ca="1" si="10"/>
        <v>817266.00527254189</v>
      </c>
      <c r="M21" s="289">
        <f t="shared" ca="1" si="10"/>
        <v>863807.79865805677</v>
      </c>
      <c r="N21" s="289">
        <f t="shared" ca="1" si="10"/>
        <v>951529.68251073884</v>
      </c>
      <c r="O21" s="289">
        <f t="shared" ca="1" si="10"/>
        <v>1039909.0600262748</v>
      </c>
      <c r="P21" s="289">
        <f t="shared" ca="1" si="10"/>
        <v>1088119.4150612419</v>
      </c>
      <c r="Q21" s="289">
        <f t="shared" ca="1" si="10"/>
        <v>1136690.9452396415</v>
      </c>
      <c r="R21" s="289">
        <f t="shared" ca="1" si="10"/>
        <v>1226457.8248077447</v>
      </c>
      <c r="S21" s="289">
        <f t="shared" ca="1" si="10"/>
        <v>1316897.5719603698</v>
      </c>
      <c r="T21" s="289">
        <f t="shared" ca="1" si="10"/>
        <v>1367183.7864221192</v>
      </c>
      <c r="U21" s="289">
        <f t="shared" ca="1" si="10"/>
        <v>1417846.7825604985</v>
      </c>
      <c r="V21" s="289">
        <f t="shared" ca="1" si="10"/>
        <v>1509720.852247396</v>
      </c>
      <c r="W21" s="289">
        <f t="shared" ca="1" si="10"/>
        <v>1602283.6321920457</v>
      </c>
      <c r="X21" s="289">
        <f t="shared" ca="1" si="10"/>
        <v>1654708.8415290003</v>
      </c>
      <c r="Z21" s="289">
        <f t="shared" ca="1" si="8"/>
        <v>554381.22336592129</v>
      </c>
      <c r="AA21" s="289">
        <f t="shared" ca="1" si="8"/>
        <v>817266.00527254189</v>
      </c>
      <c r="AB21" s="289">
        <f t="shared" ca="1" si="8"/>
        <v>1088119.4150612419</v>
      </c>
      <c r="AC21" s="289">
        <f t="shared" ca="1" si="8"/>
        <v>1367183.7864221192</v>
      </c>
      <c r="AD21" s="289">
        <f t="shared" ca="1" si="8"/>
        <v>1654708.8415290003</v>
      </c>
    </row>
    <row r="22" spans="2:30" x14ac:dyDescent="0.25">
      <c r="B22" s="113"/>
      <c r="C22" s="241"/>
      <c r="D22" s="248"/>
    </row>
    <row r="23" spans="2:30" x14ac:dyDescent="0.25">
      <c r="B23" s="393" t="str">
        <f>'Interest Expense'!B6</f>
        <v>Revolver Debt</v>
      </c>
      <c r="C23" s="278">
        <f>'Interest Expense'!C6</f>
        <v>0</v>
      </c>
      <c r="D23" s="278">
        <f>'Interest Expense'!D6</f>
        <v>10000000</v>
      </c>
      <c r="E23" s="392">
        <f>'Interest Expense'!E6</f>
        <v>10000000</v>
      </c>
      <c r="F23" s="278">
        <f>'Interest Expense'!F6</f>
        <v>10000000</v>
      </c>
      <c r="G23" s="278">
        <f>'Interest Expense'!G6</f>
        <v>10000000</v>
      </c>
      <c r="H23" s="278">
        <f>'Interest Expense'!H6</f>
        <v>10000000</v>
      </c>
      <c r="I23" s="278">
        <f>'Interest Expense'!I6</f>
        <v>10000000</v>
      </c>
      <c r="J23" s="278">
        <f>'Interest Expense'!J6</f>
        <v>10000000</v>
      </c>
      <c r="K23" s="278">
        <f>'Interest Expense'!K6</f>
        <v>10000000</v>
      </c>
      <c r="L23" s="278">
        <f>'Interest Expense'!L6</f>
        <v>10000000</v>
      </c>
      <c r="M23" s="278">
        <f>'Interest Expense'!M6</f>
        <v>12650000</v>
      </c>
      <c r="N23" s="278">
        <f>'Interest Expense'!N6</f>
        <v>12650000</v>
      </c>
      <c r="O23" s="278">
        <f>'Interest Expense'!O6</f>
        <v>12650000</v>
      </c>
      <c r="P23" s="278">
        <f>'Interest Expense'!P6</f>
        <v>12650000</v>
      </c>
      <c r="Q23" s="278">
        <f>'Interest Expense'!Q6</f>
        <v>12650000</v>
      </c>
      <c r="R23" s="278">
        <f>'Interest Expense'!R6</f>
        <v>12650000</v>
      </c>
      <c r="S23" s="278">
        <f>'Interest Expense'!S6</f>
        <v>12650000</v>
      </c>
      <c r="T23" s="278">
        <f>'Interest Expense'!T6</f>
        <v>12650000</v>
      </c>
      <c r="U23" s="278">
        <f>'Interest Expense'!U6</f>
        <v>12650000</v>
      </c>
      <c r="V23" s="278">
        <f>'Interest Expense'!V6</f>
        <v>12650000</v>
      </c>
      <c r="W23" s="278">
        <f>'Interest Expense'!W6</f>
        <v>12650000</v>
      </c>
      <c r="X23" s="278">
        <f>'Interest Expense'!X6</f>
        <v>12650000</v>
      </c>
      <c r="Z23" s="288">
        <f t="shared" ref="Z23:AD24" si="11">SUMIFS($E23:$X23,$E$1:$X$1,Z$2,$E$7:$X$7,Z$1)</f>
        <v>10000000</v>
      </c>
      <c r="AA23" s="288">
        <f t="shared" si="11"/>
        <v>10000000</v>
      </c>
      <c r="AB23" s="288">
        <f t="shared" si="11"/>
        <v>12650000</v>
      </c>
      <c r="AC23" s="288">
        <f t="shared" si="11"/>
        <v>12650000</v>
      </c>
      <c r="AD23" s="288">
        <f t="shared" si="11"/>
        <v>12650000</v>
      </c>
    </row>
    <row r="24" spans="2:30" x14ac:dyDescent="0.25">
      <c r="B24" s="111" t="s">
        <v>160</v>
      </c>
      <c r="C24" s="301"/>
      <c r="D24" s="295">
        <f>Inputs!D95</f>
        <v>10299229.904999999</v>
      </c>
      <c r="E24" s="305">
        <f ca="1">E23+E21</f>
        <v>10341890.161193751</v>
      </c>
      <c r="F24" s="289">
        <f t="shared" ref="F24:X24" ca="1" si="12">F23+F21</f>
        <v>10425701.330933917</v>
      </c>
      <c r="G24" s="289">
        <f t="shared" ca="1" si="12"/>
        <v>10510140.597548639</v>
      </c>
      <c r="H24" s="289">
        <f t="shared" ca="1" si="12"/>
        <v>10554381.223365922</v>
      </c>
      <c r="I24" s="289">
        <f t="shared" ca="1" si="12"/>
        <v>10598953.18280758</v>
      </c>
      <c r="J24" s="289">
        <f t="shared" ca="1" si="12"/>
        <v>10684690.425231414</v>
      </c>
      <c r="K24" s="289">
        <f t="shared" ca="1" si="12"/>
        <v>10771070.242244694</v>
      </c>
      <c r="L24" s="289">
        <f t="shared" ca="1" si="12"/>
        <v>10817266.005272541</v>
      </c>
      <c r="M24" s="289">
        <f t="shared" ca="1" si="12"/>
        <v>13513807.798658056</v>
      </c>
      <c r="N24" s="289">
        <f t="shared" ca="1" si="12"/>
        <v>13601529.682510739</v>
      </c>
      <c r="O24" s="289">
        <f t="shared" ca="1" si="12"/>
        <v>13689909.060026275</v>
      </c>
      <c r="P24" s="289">
        <f t="shared" ca="1" si="12"/>
        <v>13738119.415061243</v>
      </c>
      <c r="Q24" s="289">
        <f t="shared" ca="1" si="12"/>
        <v>13786690.945239641</v>
      </c>
      <c r="R24" s="289">
        <f t="shared" ca="1" si="12"/>
        <v>13876457.824807744</v>
      </c>
      <c r="S24" s="289">
        <f t="shared" ca="1" si="12"/>
        <v>13966897.571960369</v>
      </c>
      <c r="T24" s="289">
        <f t="shared" ca="1" si="12"/>
        <v>14017183.786422119</v>
      </c>
      <c r="U24" s="289">
        <f t="shared" ca="1" si="12"/>
        <v>14067846.782560498</v>
      </c>
      <c r="V24" s="289">
        <f t="shared" ca="1" si="12"/>
        <v>14159720.852247396</v>
      </c>
      <c r="W24" s="289">
        <f t="shared" ca="1" si="12"/>
        <v>14252283.632192045</v>
      </c>
      <c r="X24" s="289">
        <f t="shared" ca="1" si="12"/>
        <v>14304708.841529001</v>
      </c>
      <c r="Z24" s="289">
        <f t="shared" ca="1" si="11"/>
        <v>10554381.223365922</v>
      </c>
      <c r="AA24" s="289">
        <f t="shared" ca="1" si="11"/>
        <v>10817266.005272541</v>
      </c>
      <c r="AB24" s="289">
        <f t="shared" ca="1" si="11"/>
        <v>13738119.415061243</v>
      </c>
      <c r="AC24" s="289">
        <f t="shared" ca="1" si="11"/>
        <v>14017183.786422119</v>
      </c>
      <c r="AD24" s="289">
        <f t="shared" ca="1" si="11"/>
        <v>14304708.841529001</v>
      </c>
    </row>
    <row r="25" spans="2:30" x14ac:dyDescent="0.25">
      <c r="B25" s="113"/>
      <c r="C25" s="241"/>
      <c r="D25" s="248"/>
    </row>
    <row r="26" spans="2:30" x14ac:dyDescent="0.25">
      <c r="B26" s="106" t="s">
        <v>161</v>
      </c>
      <c r="C26" s="302"/>
      <c r="D26" s="292">
        <f>Inputs!D97</f>
        <v>5245631</v>
      </c>
      <c r="E26" s="288">
        <f>$D26</f>
        <v>5245631</v>
      </c>
      <c r="F26" s="288">
        <f t="shared" ref="F26:X26" si="13">$D26</f>
        <v>5245631</v>
      </c>
      <c r="G26" s="288">
        <f t="shared" si="13"/>
        <v>5245631</v>
      </c>
      <c r="H26" s="288">
        <f t="shared" si="13"/>
        <v>5245631</v>
      </c>
      <c r="I26" s="288">
        <f t="shared" si="13"/>
        <v>5245631</v>
      </c>
      <c r="J26" s="288">
        <f t="shared" si="13"/>
        <v>5245631</v>
      </c>
      <c r="K26" s="288">
        <f t="shared" si="13"/>
        <v>5245631</v>
      </c>
      <c r="L26" s="288">
        <f t="shared" si="13"/>
        <v>5245631</v>
      </c>
      <c r="M26" s="288">
        <f t="shared" si="13"/>
        <v>5245631</v>
      </c>
      <c r="N26" s="288">
        <f t="shared" si="13"/>
        <v>5245631</v>
      </c>
      <c r="O26" s="288">
        <f t="shared" si="13"/>
        <v>5245631</v>
      </c>
      <c r="P26" s="288">
        <f t="shared" si="13"/>
        <v>5245631</v>
      </c>
      <c r="Q26" s="288">
        <f t="shared" si="13"/>
        <v>5245631</v>
      </c>
      <c r="R26" s="288">
        <f t="shared" si="13"/>
        <v>5245631</v>
      </c>
      <c r="S26" s="288">
        <f t="shared" si="13"/>
        <v>5245631</v>
      </c>
      <c r="T26" s="288">
        <f t="shared" si="13"/>
        <v>5245631</v>
      </c>
      <c r="U26" s="288">
        <f t="shared" si="13"/>
        <v>5245631</v>
      </c>
      <c r="V26" s="288">
        <f t="shared" si="13"/>
        <v>5245631</v>
      </c>
      <c r="W26" s="288">
        <f t="shared" si="13"/>
        <v>5245631</v>
      </c>
      <c r="X26" s="288">
        <f t="shared" si="13"/>
        <v>5245631</v>
      </c>
      <c r="Z26" s="288">
        <f t="shared" ref="Z26:AD28" si="14">SUMIFS($E26:$X26,$E$1:$X$1,Z$2,$E$7:$X$7,Z$1)</f>
        <v>5245631</v>
      </c>
      <c r="AA26" s="288">
        <f t="shared" si="14"/>
        <v>5245631</v>
      </c>
      <c r="AB26" s="288">
        <f t="shared" si="14"/>
        <v>5245631</v>
      </c>
      <c r="AC26" s="288">
        <f t="shared" si="14"/>
        <v>5245631</v>
      </c>
      <c r="AD26" s="288">
        <f t="shared" si="14"/>
        <v>5245631</v>
      </c>
    </row>
    <row r="27" spans="2:30" x14ac:dyDescent="0.25">
      <c r="B27" s="106" t="s">
        <v>249</v>
      </c>
      <c r="C27" s="302"/>
      <c r="D27" s="292">
        <f>Inputs!D98</f>
        <v>0</v>
      </c>
      <c r="E27" s="278">
        <f ca="1">D27+'CompanyP&amp;L'!D27</f>
        <v>322964.24987837486</v>
      </c>
      <c r="F27" s="278">
        <f ca="1">E27+'CompanyP&amp;L'!E27</f>
        <v>694162.08091254788</v>
      </c>
      <c r="G27" s="278">
        <f ca="1">F27+'CompanyP&amp;L'!F27</f>
        <v>975004.76439300925</v>
      </c>
      <c r="H27" s="278">
        <f ca="1">G27+'CompanyP&amp;L'!G27</f>
        <v>1224235.713391653</v>
      </c>
      <c r="I27" s="278">
        <f ca="1">H27+'CompanyP&amp;L'!H27</f>
        <v>1492713.5927670386</v>
      </c>
      <c r="J27" s="278">
        <f ca="1">I27+'CompanyP&amp;L'!I27</f>
        <v>1823558.35035101</v>
      </c>
      <c r="K27" s="278">
        <f ca="1">J27+'CompanyP&amp;L'!J27</f>
        <v>2067524.8173512425</v>
      </c>
      <c r="L27" s="278">
        <f ca="1">K27+'CompanyP&amp;L'!K27</f>
        <v>2293413.1422748165</v>
      </c>
      <c r="M27" s="278">
        <f ca="1">L27+'CompanyP&amp;L'!L27</f>
        <v>2518676.4195850724</v>
      </c>
      <c r="N27" s="278">
        <f ca="1">M27+'CompanyP&amp;L'!M27</f>
        <v>2703716.2576870373</v>
      </c>
      <c r="O27" s="278">
        <f ca="1">N27+'CompanyP&amp;L'!N27</f>
        <v>2919830.9335962222</v>
      </c>
      <c r="P27" s="278">
        <f ca="1">O27+'CompanyP&amp;L'!O27</f>
        <v>3130350.3979415861</v>
      </c>
      <c r="Q27" s="278">
        <f ca="1">P27+'CompanyP&amp;L'!P27</f>
        <v>3385618.4908851977</v>
      </c>
      <c r="R27" s="278">
        <f ca="1">Q27+'CompanyP&amp;L'!Q27</f>
        <v>3642013.1129477471</v>
      </c>
      <c r="S27" s="278">
        <f ca="1">R27+'CompanyP&amp;L'!R27</f>
        <v>3941293.9975113156</v>
      </c>
      <c r="T27" s="278">
        <f ca="1">S27+'CompanyP&amp;L'!S27</f>
        <v>4246587.3480887022</v>
      </c>
      <c r="U27" s="278">
        <f ca="1">T27+'CompanyP&amp;L'!T27</f>
        <v>4547667.700401403</v>
      </c>
      <c r="V27" s="278">
        <f ca="1">U27+'CompanyP&amp;L'!U27</f>
        <v>4947352.7527351975</v>
      </c>
      <c r="W27" s="278">
        <f ca="1">V27+'CompanyP&amp;L'!V27</f>
        <v>5400975.8108441215</v>
      </c>
      <c r="X27" s="278">
        <f ca="1">W27+'CompanyP&amp;L'!W27</f>
        <v>5828370.1100102374</v>
      </c>
      <c r="Z27" s="278">
        <f t="shared" ca="1" si="14"/>
        <v>1224235.713391653</v>
      </c>
      <c r="AA27" s="278">
        <f t="shared" ca="1" si="14"/>
        <v>2293413.1422748165</v>
      </c>
      <c r="AB27" s="278">
        <f t="shared" ca="1" si="14"/>
        <v>3130350.3979415861</v>
      </c>
      <c r="AC27" s="278">
        <f t="shared" ca="1" si="14"/>
        <v>4246587.3480887022</v>
      </c>
      <c r="AD27" s="278">
        <f t="shared" ca="1" si="14"/>
        <v>5828370.1100102374</v>
      </c>
    </row>
    <row r="28" spans="2:30" x14ac:dyDescent="0.25">
      <c r="B28" s="111" t="s">
        <v>163</v>
      </c>
      <c r="C28" s="301"/>
      <c r="D28" s="293">
        <f>Inputs!D99</f>
        <v>5245631</v>
      </c>
      <c r="E28" s="305">
        <f ca="1">E26+E27</f>
        <v>5568595.2498783749</v>
      </c>
      <c r="F28" s="289">
        <f t="shared" ref="F28:X28" ca="1" si="15">F26+F27</f>
        <v>5939793.0809125481</v>
      </c>
      <c r="G28" s="289">
        <f t="shared" ca="1" si="15"/>
        <v>6220635.7643930092</v>
      </c>
      <c r="H28" s="289">
        <f t="shared" ca="1" si="15"/>
        <v>6469866.7133916533</v>
      </c>
      <c r="I28" s="289">
        <f t="shared" ca="1" si="15"/>
        <v>6738344.5927670384</v>
      </c>
      <c r="J28" s="289">
        <f t="shared" ca="1" si="15"/>
        <v>7069189.3503510095</v>
      </c>
      <c r="K28" s="289">
        <f t="shared" ca="1" si="15"/>
        <v>7313155.8173512425</v>
      </c>
      <c r="L28" s="289">
        <f t="shared" ca="1" si="15"/>
        <v>7539044.1422748165</v>
      </c>
      <c r="M28" s="289">
        <f t="shared" ca="1" si="15"/>
        <v>7764307.4195850724</v>
      </c>
      <c r="N28" s="289">
        <f t="shared" ca="1" si="15"/>
        <v>7949347.2576870378</v>
      </c>
      <c r="O28" s="289">
        <f t="shared" ca="1" si="15"/>
        <v>8165461.9335962217</v>
      </c>
      <c r="P28" s="289">
        <f t="shared" ca="1" si="15"/>
        <v>8375981.3979415856</v>
      </c>
      <c r="Q28" s="289">
        <f t="shared" ca="1" si="15"/>
        <v>8631249.4908851981</v>
      </c>
      <c r="R28" s="289">
        <f t="shared" ca="1" si="15"/>
        <v>8887644.1129477471</v>
      </c>
      <c r="S28" s="289">
        <f t="shared" ca="1" si="15"/>
        <v>9186924.9975113161</v>
      </c>
      <c r="T28" s="289">
        <f t="shared" ca="1" si="15"/>
        <v>9492218.3480887022</v>
      </c>
      <c r="U28" s="289">
        <f t="shared" ca="1" si="15"/>
        <v>9793298.700401403</v>
      </c>
      <c r="V28" s="289">
        <f t="shared" ca="1" si="15"/>
        <v>10192983.752735198</v>
      </c>
      <c r="W28" s="289">
        <f t="shared" ca="1" si="15"/>
        <v>10646606.810844122</v>
      </c>
      <c r="X28" s="289">
        <f t="shared" ca="1" si="15"/>
        <v>11074001.110010237</v>
      </c>
      <c r="Z28" s="289">
        <f t="shared" ca="1" si="14"/>
        <v>6469866.7133916533</v>
      </c>
      <c r="AA28" s="289">
        <f t="shared" ca="1" si="14"/>
        <v>7539044.1422748165</v>
      </c>
      <c r="AB28" s="289">
        <f t="shared" ca="1" si="14"/>
        <v>8375981.3979415856</v>
      </c>
      <c r="AC28" s="289">
        <f t="shared" ca="1" si="14"/>
        <v>9492218.3480887022</v>
      </c>
      <c r="AD28" s="289">
        <f t="shared" ca="1" si="14"/>
        <v>11074001.110010237</v>
      </c>
    </row>
    <row r="29" spans="2:30" x14ac:dyDescent="0.25">
      <c r="B29" s="120"/>
      <c r="C29" s="121"/>
      <c r="D29" s="296"/>
    </row>
    <row r="30" spans="2:30" x14ac:dyDescent="0.25">
      <c r="B30" s="123" t="s">
        <v>164</v>
      </c>
      <c r="C30" s="124"/>
      <c r="D30" s="297">
        <f>Inputs!D101</f>
        <v>15544860.904999999</v>
      </c>
      <c r="E30" s="306">
        <f ca="1">E28+E24</f>
        <v>15910485.411072126</v>
      </c>
      <c r="F30" s="307">
        <f t="shared" ref="F30:X30" ca="1" si="16">F28+F24</f>
        <v>16365494.411846466</v>
      </c>
      <c r="G30" s="307">
        <f t="shared" ca="1" si="16"/>
        <v>16730776.361941649</v>
      </c>
      <c r="H30" s="307">
        <f t="shared" ca="1" si="16"/>
        <v>17024247.936757576</v>
      </c>
      <c r="I30" s="307">
        <f t="shared" ca="1" si="16"/>
        <v>17337297.775574617</v>
      </c>
      <c r="J30" s="307">
        <f t="shared" ca="1" si="16"/>
        <v>17753879.775582425</v>
      </c>
      <c r="K30" s="307">
        <f t="shared" ca="1" si="16"/>
        <v>18084226.059595935</v>
      </c>
      <c r="L30" s="307">
        <f t="shared" ca="1" si="16"/>
        <v>18356310.147547357</v>
      </c>
      <c r="M30" s="307">
        <f t="shared" ca="1" si="16"/>
        <v>21278115.21824313</v>
      </c>
      <c r="N30" s="307">
        <f t="shared" ca="1" si="16"/>
        <v>21550876.940197777</v>
      </c>
      <c r="O30" s="307">
        <f t="shared" ca="1" si="16"/>
        <v>21855370.993622497</v>
      </c>
      <c r="P30" s="307">
        <f t="shared" ca="1" si="16"/>
        <v>22114100.813002829</v>
      </c>
      <c r="Q30" s="307">
        <f t="shared" ca="1" si="16"/>
        <v>22417940.436124839</v>
      </c>
      <c r="R30" s="307">
        <f t="shared" ca="1" si="16"/>
        <v>22764101.937755492</v>
      </c>
      <c r="S30" s="307">
        <f t="shared" ca="1" si="16"/>
        <v>23153822.569471687</v>
      </c>
      <c r="T30" s="307">
        <f t="shared" ca="1" si="16"/>
        <v>23509402.134510823</v>
      </c>
      <c r="U30" s="307">
        <f t="shared" ca="1" si="16"/>
        <v>23861145.482961901</v>
      </c>
      <c r="V30" s="307">
        <f t="shared" ca="1" si="16"/>
        <v>24352704.604982592</v>
      </c>
      <c r="W30" s="307">
        <f t="shared" ca="1" si="16"/>
        <v>24898890.443036169</v>
      </c>
      <c r="X30" s="308">
        <f t="shared" ca="1" si="16"/>
        <v>25378709.951539237</v>
      </c>
      <c r="Z30" s="289">
        <f ca="1">SUMIFS($E30:$X30,$E$1:$X$1,Z$2,$E$7:$X$7,Z$1)</f>
        <v>17024247.936757576</v>
      </c>
      <c r="AA30" s="289">
        <f ca="1">SUMIFS($E30:$X30,$E$1:$X$1,AA$2,$E$7:$X$7,AA$1)</f>
        <v>18356310.147547357</v>
      </c>
      <c r="AB30" s="289">
        <f ca="1">SUMIFS($E30:$X30,$E$1:$X$1,AB$2,$E$7:$X$7,AB$1)</f>
        <v>22114100.813002829</v>
      </c>
      <c r="AC30" s="289">
        <f ca="1">SUMIFS($E30:$X30,$E$1:$X$1,AC$2,$E$7:$X$7,AC$1)</f>
        <v>23509402.134510823</v>
      </c>
      <c r="AD30" s="289">
        <f ca="1">SUMIFS($E30:$X30,$E$1:$X$1,AD$2,$E$7:$X$7,AD$1)</f>
        <v>25378709.951539237</v>
      </c>
    </row>
    <row r="32" spans="2:30" x14ac:dyDescent="0.25">
      <c r="B32" t="s">
        <v>250</v>
      </c>
      <c r="D32" s="288">
        <f>D16-D24-D28</f>
        <v>0.46499999985098839</v>
      </c>
      <c r="E32" s="288">
        <f ca="1">E16-E24-E28</f>
        <v>0.46499999985098839</v>
      </c>
      <c r="F32" s="288">
        <f t="shared" ref="F32:AD32" ca="1" si="17">F16-F24-F28</f>
        <v>0.46499999705702066</v>
      </c>
      <c r="G32" s="288">
        <f t="shared" ca="1" si="17"/>
        <v>0.46499999798834324</v>
      </c>
      <c r="H32" s="288">
        <f t="shared" ca="1" si="17"/>
        <v>0.46499999705702066</v>
      </c>
      <c r="I32" s="288">
        <f t="shared" ca="1" si="17"/>
        <v>0.46499999891966581</v>
      </c>
      <c r="J32" s="288">
        <f t="shared" ca="1" si="17"/>
        <v>0.46499999798834324</v>
      </c>
      <c r="K32" s="288">
        <f t="shared" ca="1" si="17"/>
        <v>0.46499999798834324</v>
      </c>
      <c r="L32" s="288">
        <f t="shared" ca="1" si="17"/>
        <v>0.46499999891966581</v>
      </c>
      <c r="M32" s="288">
        <f t="shared" ca="1" si="17"/>
        <v>920000.46500000078</v>
      </c>
      <c r="N32" s="288">
        <f t="shared" ca="1" si="17"/>
        <v>920000.46499999985</v>
      </c>
      <c r="O32" s="288">
        <f t="shared" ca="1" si="17"/>
        <v>920000.46500000358</v>
      </c>
      <c r="P32" s="288">
        <f t="shared" ca="1" si="17"/>
        <v>920000.46500000358</v>
      </c>
      <c r="Q32" s="288">
        <f t="shared" ca="1" si="17"/>
        <v>920000.46500000358</v>
      </c>
      <c r="R32" s="288">
        <f t="shared" ca="1" si="17"/>
        <v>920000.46500000358</v>
      </c>
      <c r="S32" s="288">
        <f t="shared" ca="1" si="17"/>
        <v>920000.46500000544</v>
      </c>
      <c r="T32" s="288">
        <f t="shared" ca="1" si="17"/>
        <v>920000.46500000544</v>
      </c>
      <c r="U32" s="288">
        <f t="shared" ca="1" si="17"/>
        <v>920000.46500000358</v>
      </c>
      <c r="V32" s="288">
        <f t="shared" ca="1" si="17"/>
        <v>920000.46500000171</v>
      </c>
      <c r="W32" s="288">
        <f t="shared" ca="1" si="17"/>
        <v>920000.46500000171</v>
      </c>
      <c r="X32" s="288">
        <f t="shared" ca="1" si="17"/>
        <v>920000.46499999985</v>
      </c>
      <c r="Z32" s="288">
        <f t="shared" ca="1" si="17"/>
        <v>0.46499999705702066</v>
      </c>
      <c r="AA32" s="288">
        <f t="shared" ca="1" si="17"/>
        <v>0.46499999891966581</v>
      </c>
      <c r="AB32" s="288">
        <f t="shared" ca="1" si="17"/>
        <v>920000.46500000358</v>
      </c>
      <c r="AC32" s="288">
        <f t="shared" ca="1" si="17"/>
        <v>920000.46500000544</v>
      </c>
      <c r="AD32" s="288">
        <f t="shared" ca="1" si="17"/>
        <v>920000.46499999985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4DAD-D00D-4EBC-BDE6-86CBBDD7EC63}">
  <sheetPr>
    <tabColor rgb="FF92D050"/>
  </sheetPr>
  <dimension ref="B1:AC31"/>
  <sheetViews>
    <sheetView topLeftCell="G13" zoomScale="80" zoomScaleNormal="80" workbookViewId="0">
      <selection activeCell="L26" sqref="L26"/>
    </sheetView>
  </sheetViews>
  <sheetFormatPr defaultRowHeight="15" x14ac:dyDescent="0.25"/>
  <cols>
    <col min="1" max="1" width="4.42578125" customWidth="1"/>
    <col min="2" max="2" width="55.28515625" bestFit="1" customWidth="1"/>
    <col min="3" max="3" width="5.5703125" customWidth="1"/>
    <col min="4" max="7" width="12" bestFit="1" customWidth="1"/>
    <col min="8" max="8" width="15.140625" bestFit="1" customWidth="1"/>
    <col min="9" max="9" width="12" bestFit="1" customWidth="1"/>
    <col min="10" max="10" width="15.140625" bestFit="1" customWidth="1"/>
    <col min="11" max="11" width="12" bestFit="1" customWidth="1"/>
    <col min="12" max="12" width="13.85546875" bestFit="1" customWidth="1"/>
    <col min="13" max="22" width="13" bestFit="1" customWidth="1"/>
    <col min="23" max="23" width="13" customWidth="1"/>
    <col min="25" max="25" width="13" customWidth="1"/>
    <col min="26" max="26" width="15.140625" bestFit="1" customWidth="1"/>
    <col min="27" max="27" width="13.85546875" bestFit="1" customWidth="1"/>
    <col min="28" max="29" width="13" customWidth="1"/>
  </cols>
  <sheetData>
    <row r="1" spans="2:29" x14ac:dyDescent="0.25">
      <c r="D1" s="194">
        <v>1</v>
      </c>
      <c r="E1" s="194">
        <v>1</v>
      </c>
      <c r="F1" s="194">
        <v>1</v>
      </c>
      <c r="G1" s="194">
        <v>1</v>
      </c>
      <c r="H1" s="194">
        <f>D1+1</f>
        <v>2</v>
      </c>
      <c r="I1" s="194">
        <f t="shared" ref="I1:W1" si="0">E1+1</f>
        <v>2</v>
      </c>
      <c r="J1" s="194">
        <f t="shared" si="0"/>
        <v>2</v>
      </c>
      <c r="K1" s="194">
        <f t="shared" si="0"/>
        <v>2</v>
      </c>
      <c r="L1" s="194">
        <f t="shared" si="0"/>
        <v>3</v>
      </c>
      <c r="M1" s="194">
        <f t="shared" si="0"/>
        <v>3</v>
      </c>
      <c r="N1" s="194">
        <f t="shared" si="0"/>
        <v>3</v>
      </c>
      <c r="O1" s="194">
        <f t="shared" si="0"/>
        <v>3</v>
      </c>
      <c r="P1" s="194">
        <f t="shared" si="0"/>
        <v>4</v>
      </c>
      <c r="Q1" s="194">
        <f t="shared" si="0"/>
        <v>4</v>
      </c>
      <c r="R1" s="194">
        <f t="shared" si="0"/>
        <v>4</v>
      </c>
      <c r="S1" s="194">
        <f t="shared" si="0"/>
        <v>4</v>
      </c>
      <c r="T1" s="194">
        <f t="shared" si="0"/>
        <v>5</v>
      </c>
      <c r="U1" s="194">
        <f t="shared" si="0"/>
        <v>5</v>
      </c>
      <c r="V1" s="194">
        <f t="shared" si="0"/>
        <v>5</v>
      </c>
      <c r="W1" s="194">
        <f t="shared" si="0"/>
        <v>5</v>
      </c>
      <c r="Y1" s="194" t="s">
        <v>14</v>
      </c>
      <c r="Z1" s="194" t="s">
        <v>14</v>
      </c>
      <c r="AA1" s="194" t="s">
        <v>14</v>
      </c>
      <c r="AB1" s="194" t="s">
        <v>14</v>
      </c>
      <c r="AC1" s="194" t="s">
        <v>14</v>
      </c>
    </row>
    <row r="3" spans="2:29" x14ac:dyDescent="0.25">
      <c r="D3" s="199" t="s">
        <v>6</v>
      </c>
      <c r="E3" s="199"/>
      <c r="F3" s="199"/>
      <c r="G3" s="199"/>
      <c r="H3" s="199" t="s">
        <v>7</v>
      </c>
      <c r="I3" s="199"/>
      <c r="J3" s="199"/>
      <c r="K3" s="199"/>
      <c r="L3" s="199" t="s">
        <v>8</v>
      </c>
      <c r="M3" s="199"/>
      <c r="N3" s="199"/>
      <c r="O3" s="199"/>
      <c r="P3" s="199" t="s">
        <v>9</v>
      </c>
      <c r="Q3" s="199"/>
      <c r="R3" s="199"/>
      <c r="S3" s="199"/>
      <c r="T3" s="199" t="s">
        <v>10</v>
      </c>
      <c r="U3" s="199"/>
      <c r="V3" s="199"/>
      <c r="W3" s="199"/>
      <c r="Y3" s="199">
        <v>1</v>
      </c>
      <c r="Z3" s="199">
        <v>2</v>
      </c>
      <c r="AA3" s="199">
        <v>3</v>
      </c>
      <c r="AB3" s="199">
        <v>4</v>
      </c>
      <c r="AC3" s="199">
        <v>5</v>
      </c>
    </row>
    <row r="4" spans="2:29" x14ac:dyDescent="0.25">
      <c r="D4" s="200" t="s">
        <v>11</v>
      </c>
      <c r="E4" s="200" t="s">
        <v>12</v>
      </c>
      <c r="F4" s="200" t="s">
        <v>13</v>
      </c>
      <c r="G4" s="200" t="s">
        <v>14</v>
      </c>
      <c r="H4" s="200" t="s">
        <v>11</v>
      </c>
      <c r="I4" s="200" t="s">
        <v>12</v>
      </c>
      <c r="J4" s="200" t="s">
        <v>13</v>
      </c>
      <c r="K4" s="200" t="s">
        <v>14</v>
      </c>
      <c r="L4" s="200" t="s">
        <v>11</v>
      </c>
      <c r="M4" s="200" t="s">
        <v>12</v>
      </c>
      <c r="N4" s="200" t="s">
        <v>13</v>
      </c>
      <c r="O4" s="200" t="s">
        <v>14</v>
      </c>
      <c r="P4" s="200" t="s">
        <v>11</v>
      </c>
      <c r="Q4" s="200" t="s">
        <v>12</v>
      </c>
      <c r="R4" s="200" t="s">
        <v>13</v>
      </c>
      <c r="S4" s="200" t="s">
        <v>14</v>
      </c>
      <c r="T4" s="200" t="s">
        <v>11</v>
      </c>
      <c r="U4" s="200" t="s">
        <v>12</v>
      </c>
      <c r="V4" s="200" t="s">
        <v>13</v>
      </c>
      <c r="W4" s="200" t="s">
        <v>14</v>
      </c>
      <c r="Y4" s="200"/>
      <c r="Z4" s="200"/>
      <c r="AA4" s="200"/>
      <c r="AB4" s="200"/>
      <c r="AC4" s="200"/>
    </row>
    <row r="5" spans="2:29" x14ac:dyDescent="0.25">
      <c r="B5" s="164" t="s">
        <v>251</v>
      </c>
      <c r="C5" s="164"/>
    </row>
    <row r="6" spans="2:29" x14ac:dyDescent="0.25">
      <c r="B6" s="311" t="s">
        <v>239</v>
      </c>
      <c r="C6" s="311"/>
      <c r="D6" s="282">
        <f ca="1">'CompanyP&amp;L'!D27</f>
        <v>322964.24987837486</v>
      </c>
      <c r="E6" s="282">
        <f ca="1">'CompanyP&amp;L'!E27</f>
        <v>371197.83103417302</v>
      </c>
      <c r="F6" s="282">
        <f ca="1">'CompanyP&amp;L'!F27</f>
        <v>280842.68348046136</v>
      </c>
      <c r="G6" s="282">
        <f ca="1">'CompanyP&amp;L'!G27</f>
        <v>249230.94899864378</v>
      </c>
      <c r="H6" s="282">
        <f ca="1">'CompanyP&amp;L'!H27</f>
        <v>268477.87937538559</v>
      </c>
      <c r="I6" s="282">
        <f ca="1">'CompanyP&amp;L'!I27</f>
        <v>330844.75758397137</v>
      </c>
      <c r="J6" s="282">
        <f ca="1">'CompanyP&amp;L'!J27</f>
        <v>243966.46700023249</v>
      </c>
      <c r="K6" s="282">
        <f ca="1">'CompanyP&amp;L'!K27</f>
        <v>225888.32492357399</v>
      </c>
      <c r="L6" s="282">
        <f ca="1">'CompanyP&amp;L'!L27</f>
        <v>225263.2773102558</v>
      </c>
      <c r="M6" s="282">
        <f ca="1">'CompanyP&amp;L'!M27</f>
        <v>185039.83810196479</v>
      </c>
      <c r="N6" s="282">
        <f ca="1">'CompanyP&amp;L'!N27</f>
        <v>216114.67590918473</v>
      </c>
      <c r="O6" s="282">
        <f ca="1">'CompanyP&amp;L'!O27</f>
        <v>210519.46434536402</v>
      </c>
      <c r="P6" s="282">
        <f ca="1">'CompanyP&amp;L'!P27</f>
        <v>255268.09294361144</v>
      </c>
      <c r="Q6" s="282">
        <f ca="1">'CompanyP&amp;L'!Q27</f>
        <v>256394.62206254958</v>
      </c>
      <c r="R6" s="282">
        <f ca="1">'CompanyP&amp;L'!R27</f>
        <v>299280.88456356863</v>
      </c>
      <c r="S6" s="282">
        <f ca="1">'CompanyP&amp;L'!S27</f>
        <v>305293.35057738691</v>
      </c>
      <c r="T6" s="282">
        <f ca="1">'CompanyP&amp;L'!T27</f>
        <v>301080.35231270059</v>
      </c>
      <c r="U6" s="282">
        <f ca="1">'CompanyP&amp;L'!U27</f>
        <v>399685.05233379442</v>
      </c>
      <c r="V6" s="282">
        <f ca="1">'CompanyP&amp;L'!V27</f>
        <v>453623.05810892419</v>
      </c>
      <c r="W6" s="282">
        <f ca="1">'CompanyP&amp;L'!W27</f>
        <v>427394.29916611593</v>
      </c>
      <c r="Y6" s="285">
        <f ca="1">SUMIFS($D6:$W6,$D$1:$W$1,Y$3)</f>
        <v>1224235.713391653</v>
      </c>
      <c r="Z6" s="285">
        <f t="shared" ref="Z6:AC21" ca="1" si="1">SUMIFS($D6:$W6,$D$1:$W$1,Z$3)</f>
        <v>1069177.4288831635</v>
      </c>
      <c r="AA6" s="285">
        <f t="shared" ca="1" si="1"/>
        <v>836937.25566676934</v>
      </c>
      <c r="AB6" s="285">
        <f t="shared" ca="1" si="1"/>
        <v>1116236.9501471166</v>
      </c>
      <c r="AC6" s="285">
        <f t="shared" ca="1" si="1"/>
        <v>1581782.7619215352</v>
      </c>
    </row>
    <row r="7" spans="2:29" x14ac:dyDescent="0.25">
      <c r="B7" s="311" t="s">
        <v>252</v>
      </c>
      <c r="C7" s="311"/>
      <c r="D7" s="282">
        <f>'CompanyP&amp;L'!D21</f>
        <v>150000</v>
      </c>
      <c r="E7" s="282">
        <f>'CompanyP&amp;L'!E21</f>
        <v>191250</v>
      </c>
      <c r="F7" s="282">
        <f>'CompanyP&amp;L'!F21</f>
        <v>277828.125</v>
      </c>
      <c r="G7" s="282">
        <f>'CompanyP&amp;L'!G21</f>
        <v>361159.5703125</v>
      </c>
      <c r="H7" s="282">
        <f>'CompanyP&amp;L'!H21</f>
        <v>394491.08642578125</v>
      </c>
      <c r="I7" s="282">
        <f>'CompanyP&amp;L'!I21</f>
        <v>426572.67068481445</v>
      </c>
      <c r="J7" s="282">
        <f>'CompanyP&amp;L'!J21</f>
        <v>504326.19553413388</v>
      </c>
      <c r="K7" s="282">
        <f>'CompanyP&amp;L'!K21</f>
        <v>579163.96320160385</v>
      </c>
      <c r="L7" s="282">
        <f>'CompanyP&amp;L'!L21</f>
        <v>604320.31458154379</v>
      </c>
      <c r="M7" s="282">
        <f>'CompanyP&amp;L'!M21</f>
        <v>628533.30278473592</v>
      </c>
      <c r="N7" s="282">
        <f>'CompanyP&amp;L'!N21</f>
        <v>698713.30393030832</v>
      </c>
      <c r="O7" s="282">
        <f>'CompanyP&amp;L'!O21</f>
        <v>766261.55503292184</v>
      </c>
      <c r="P7" s="282">
        <f>'CompanyP&amp;L'!P21</f>
        <v>784401.74671918724</v>
      </c>
      <c r="Q7" s="282">
        <f>'CompanyP&amp;L'!Q21</f>
        <v>801861.6812172177</v>
      </c>
      <c r="R7" s="282">
        <f>'CompanyP&amp;L'!R21</f>
        <v>865541.8681715721</v>
      </c>
      <c r="S7" s="282">
        <f>'CompanyP&amp;L'!S21</f>
        <v>926834.04811513808</v>
      </c>
      <c r="T7" s="282">
        <f>'CompanyP&amp;L'!T21</f>
        <v>938952.77131082048</v>
      </c>
      <c r="U7" s="282">
        <f>'CompanyP&amp;L'!U21</f>
        <v>950617.04238666466</v>
      </c>
      <c r="V7" s="282">
        <f>'CompanyP&amp;L'!V21</f>
        <v>1008718.9032971647</v>
      </c>
      <c r="W7" s="282">
        <f>'CompanyP&amp;L'!W21</f>
        <v>1064641.9444235209</v>
      </c>
      <c r="Y7" s="285">
        <f t="shared" ref="Y7:AC28" si="2">SUMIFS($D7:$W7,$D$1:$W$1,Y$3)</f>
        <v>980237.6953125</v>
      </c>
      <c r="Z7" s="285">
        <f t="shared" si="1"/>
        <v>1904553.9158463334</v>
      </c>
      <c r="AA7" s="285">
        <f t="shared" si="1"/>
        <v>2697828.4763295101</v>
      </c>
      <c r="AB7" s="285">
        <f t="shared" si="1"/>
        <v>3378639.3442231151</v>
      </c>
      <c r="AC7" s="285">
        <f t="shared" si="1"/>
        <v>3962930.6614181707</v>
      </c>
    </row>
    <row r="8" spans="2:29" x14ac:dyDescent="0.25">
      <c r="Y8" s="318"/>
      <c r="Z8" s="318"/>
      <c r="AA8" s="318"/>
      <c r="AB8" s="318"/>
      <c r="AC8" s="318"/>
    </row>
    <row r="9" spans="2:29" x14ac:dyDescent="0.25">
      <c r="B9" s="164" t="s">
        <v>253</v>
      </c>
      <c r="C9" s="164"/>
      <c r="Y9" s="318"/>
      <c r="Z9" s="318"/>
      <c r="AA9" s="318"/>
      <c r="AB9" s="318"/>
      <c r="AC9" s="318"/>
    </row>
    <row r="10" spans="2:29" x14ac:dyDescent="0.25">
      <c r="B10" s="311" t="s">
        <v>254</v>
      </c>
      <c r="C10" s="311"/>
      <c r="D10" s="282">
        <f ca="1">BalanceSheet!D10-BalanceSheet!E10</f>
        <v>-198419.7962499999</v>
      </c>
      <c r="E10" s="282">
        <f ca="1">BalanceSheet!E10-BalanceSheet!F10</f>
        <v>-389819.39414031222</v>
      </c>
      <c r="F10" s="282">
        <f ca="1">BalanceSheet!F10-BalanceSheet!G10</f>
        <v>-392740.77495219652</v>
      </c>
      <c r="G10" s="282">
        <f ca="1">BalanceSheet!G10-BalanceSheet!H10</f>
        <v>-205770.3526385203</v>
      </c>
      <c r="H10" s="282">
        <f ca="1">BalanceSheet!H10-BalanceSheet!I10</f>
        <v>-207311.43926353054</v>
      </c>
      <c r="I10" s="282">
        <f ca="1">BalanceSheet!I10-BalanceSheet!J10</f>
        <v>-398777.87173875887</v>
      </c>
      <c r="J10" s="282">
        <f ca="1">BalanceSheet!J10-BalanceSheet!K10</f>
        <v>-401766.59075944964</v>
      </c>
      <c r="K10" s="282">
        <f ca="1">BalanceSheet!K10-BalanceSheet!L10</f>
        <v>-214864.01408300828</v>
      </c>
      <c r="L10" s="282">
        <f ca="1">BalanceSheet!L10-BalanceSheet!M10</f>
        <v>-216473.45760704577</v>
      </c>
      <c r="M10" s="282">
        <f ca="1">BalanceSheet!M10-BalanceSheet!N10</f>
        <v>-408008.762105498</v>
      </c>
      <c r="N10" s="282">
        <f ca="1">BalanceSheet!N10-BalanceSheet!O10</f>
        <v>-411066.87216528319</v>
      </c>
      <c r="O10" s="282">
        <f ca="1">BalanceSheet!O10-BalanceSheet!P10</f>
        <v>-224234.20946496353</v>
      </c>
      <c r="P10" s="282">
        <f ca="1">BalanceSheet!P10-BalanceSheet!Q10</f>
        <v>-225914.09385302104</v>
      </c>
      <c r="Q10" s="282">
        <f ca="1">BalanceSheet!Q10-BalanceSheet!R10</f>
        <v>-417520.37008420192</v>
      </c>
      <c r="R10" s="282">
        <f ca="1">BalanceSheet!R10-BalanceSheet!S10</f>
        <v>-420649.98675639555</v>
      </c>
      <c r="S10" s="282">
        <f ca="1">BalanceSheet!S10-BalanceSheet!T10</f>
        <v>-233889.36958953179</v>
      </c>
      <c r="T10" s="282">
        <f ca="1">BalanceSheet!T10-BalanceSheet!U10</f>
        <v>-235641.84250408877</v>
      </c>
      <c r="U10" s="282">
        <f ca="1">BalanceSheet!U10-BalanceSheet!V10</f>
        <v>-427321.25435766391</v>
      </c>
      <c r="V10" s="282">
        <f ca="1">BalanceSheet!V10-BalanceSheet!W10</f>
        <v>-430524.55788209103</v>
      </c>
      <c r="W10" s="282">
        <f ca="1">BalanceSheet!W10-BalanceSheet!X10</f>
        <v>-243838.18296258058</v>
      </c>
      <c r="Y10" s="285">
        <f t="shared" ca="1" si="2"/>
        <v>-1186750.3179810289</v>
      </c>
      <c r="Z10" s="285">
        <f t="shared" ca="1" si="1"/>
        <v>-1222719.9158447473</v>
      </c>
      <c r="AA10" s="285">
        <f t="shared" ca="1" si="1"/>
        <v>-1259783.3013427905</v>
      </c>
      <c r="AB10" s="285">
        <f t="shared" ca="1" si="1"/>
        <v>-1297973.8202831503</v>
      </c>
      <c r="AC10" s="285">
        <f t="shared" ca="1" si="1"/>
        <v>-1337325.8377064243</v>
      </c>
    </row>
    <row r="11" spans="2:29" x14ac:dyDescent="0.25">
      <c r="B11" s="311" t="s">
        <v>255</v>
      </c>
      <c r="C11" s="311"/>
      <c r="D11" s="282">
        <f ca="1">BalanceSheet!D11-BalanceSheet!E11</f>
        <v>-19841.979624999978</v>
      </c>
      <c r="E11" s="282">
        <f ca="1">BalanceSheet!E11-BalanceSheet!F11</f>
        <v>-38981.939414031222</v>
      </c>
      <c r="F11" s="282">
        <f ca="1">BalanceSheet!F11-BalanceSheet!G11</f>
        <v>-39274.077495219652</v>
      </c>
      <c r="G11" s="282">
        <f ca="1">BalanceSheet!G11-BalanceSheet!H11</f>
        <v>-20577.035263852042</v>
      </c>
      <c r="H11" s="282">
        <f ca="1">BalanceSheet!H11-BalanceSheet!I11</f>
        <v>-20731.143926353077</v>
      </c>
      <c r="I11" s="282">
        <f ca="1">BalanceSheet!I11-BalanceSheet!J11</f>
        <v>-39877.787173875899</v>
      </c>
      <c r="J11" s="282">
        <f ca="1">BalanceSheet!J11-BalanceSheet!K11</f>
        <v>-40176.659075944917</v>
      </c>
      <c r="K11" s="282">
        <f ca="1">BalanceSheet!K11-BalanceSheet!L11</f>
        <v>-21486.401408300851</v>
      </c>
      <c r="L11" s="282">
        <f ca="1">BalanceSheet!L11-BalanceSheet!M11</f>
        <v>-21647.3457607046</v>
      </c>
      <c r="M11" s="282">
        <f ca="1">BalanceSheet!M11-BalanceSheet!N11</f>
        <v>-40800.876210549788</v>
      </c>
      <c r="N11" s="282">
        <f ca="1">BalanceSheet!N11-BalanceSheet!O11</f>
        <v>-41106.687216528284</v>
      </c>
      <c r="O11" s="282">
        <f ca="1">BalanceSheet!O11-BalanceSheet!P11</f>
        <v>-22423.420946496364</v>
      </c>
      <c r="P11" s="282">
        <f ca="1">BalanceSheet!P11-BalanceSheet!Q11</f>
        <v>-22591.409385302162</v>
      </c>
      <c r="Q11" s="282">
        <f ca="1">BalanceSheet!Q11-BalanceSheet!R11</f>
        <v>-41752.037008420099</v>
      </c>
      <c r="R11" s="282">
        <f ca="1">BalanceSheet!R11-BalanceSheet!S11</f>
        <v>-42064.998675639625</v>
      </c>
      <c r="S11" s="282">
        <f ca="1">BalanceSheet!S11-BalanceSheet!T11</f>
        <v>-23388.936958953156</v>
      </c>
      <c r="T11" s="282">
        <f ca="1">BalanceSheet!T11-BalanceSheet!U11</f>
        <v>-23564.1842504089</v>
      </c>
      <c r="U11" s="282">
        <f ca="1">BalanceSheet!U11-BalanceSheet!V11</f>
        <v>-42732.125435766415</v>
      </c>
      <c r="V11" s="282">
        <f ca="1">BalanceSheet!V11-BalanceSheet!W11</f>
        <v>-43052.455788209103</v>
      </c>
      <c r="W11" s="282">
        <f ca="1">BalanceSheet!W11-BalanceSheet!X11</f>
        <v>-24383.818296257989</v>
      </c>
      <c r="Y11" s="285">
        <f t="shared" ca="1" si="2"/>
        <v>-118675.03179810289</v>
      </c>
      <c r="Z11" s="285">
        <f t="shared" ca="1" si="1"/>
        <v>-122271.99158447474</v>
      </c>
      <c r="AA11" s="285">
        <f t="shared" ca="1" si="1"/>
        <v>-125978.33013427904</v>
      </c>
      <c r="AB11" s="285">
        <f t="shared" ca="1" si="1"/>
        <v>-129797.38202831504</v>
      </c>
      <c r="AC11" s="285">
        <f t="shared" ca="1" si="1"/>
        <v>-133732.58377064241</v>
      </c>
    </row>
    <row r="12" spans="2:29" x14ac:dyDescent="0.25">
      <c r="B12" s="311" t="s">
        <v>256</v>
      </c>
      <c r="C12" s="311"/>
      <c r="D12" s="282">
        <f ca="1">BalanceSheet!D12-BalanceSheet!E12</f>
        <v>-1984.1979624999985</v>
      </c>
      <c r="E12" s="282">
        <f ca="1">BalanceSheet!E12-BalanceSheet!F12</f>
        <v>-3898.193941403124</v>
      </c>
      <c r="F12" s="282">
        <f ca="1">BalanceSheet!F12-BalanceSheet!G12</f>
        <v>-3927.4077495219644</v>
      </c>
      <c r="G12" s="282">
        <f ca="1">BalanceSheet!G12-BalanceSheet!H12</f>
        <v>-2057.7035263852013</v>
      </c>
      <c r="H12" s="282">
        <f ca="1">BalanceSheet!H12-BalanceSheet!I12</f>
        <v>-2073.114392635307</v>
      </c>
      <c r="I12" s="282">
        <f ca="1">BalanceSheet!I12-BalanceSheet!J12</f>
        <v>-3987.7787173875877</v>
      </c>
      <c r="J12" s="282">
        <f ca="1">BalanceSheet!J12-BalanceSheet!K12</f>
        <v>-4017.6659075944954</v>
      </c>
      <c r="K12" s="282">
        <f ca="1">BalanceSheet!K12-BalanceSheet!L12</f>
        <v>-2148.6401408300881</v>
      </c>
      <c r="L12" s="282">
        <f ca="1">BalanceSheet!L12-BalanceSheet!M12</f>
        <v>-2164.7345760704557</v>
      </c>
      <c r="M12" s="282">
        <f ca="1">BalanceSheet!M12-BalanceSheet!N12</f>
        <v>-4080.0876210549759</v>
      </c>
      <c r="N12" s="282">
        <f ca="1">BalanceSheet!N12-BalanceSheet!O12</f>
        <v>-4110.6687216528371</v>
      </c>
      <c r="O12" s="282">
        <f ca="1">BalanceSheet!O12-BalanceSheet!P12</f>
        <v>-2242.3420946496335</v>
      </c>
      <c r="P12" s="282">
        <f ca="1">BalanceSheet!P12-BalanceSheet!Q12</f>
        <v>-2259.1409385302104</v>
      </c>
      <c r="Q12" s="282">
        <f ca="1">BalanceSheet!Q12-BalanceSheet!R12</f>
        <v>-4175.2037008420157</v>
      </c>
      <c r="R12" s="282">
        <f ca="1">BalanceSheet!R12-BalanceSheet!S12</f>
        <v>-4206.4998675639581</v>
      </c>
      <c r="S12" s="282">
        <f ca="1">BalanceSheet!S12-BalanceSheet!T12</f>
        <v>-2338.89369589532</v>
      </c>
      <c r="T12" s="282">
        <f ca="1">BalanceSheet!T12-BalanceSheet!U12</f>
        <v>-2356.4184250408871</v>
      </c>
      <c r="U12" s="282">
        <f ca="1">BalanceSheet!U12-BalanceSheet!V12</f>
        <v>-4273.2125435766357</v>
      </c>
      <c r="V12" s="282">
        <f ca="1">BalanceSheet!V12-BalanceSheet!W12</f>
        <v>-4305.245578820919</v>
      </c>
      <c r="W12" s="282">
        <f ca="1">BalanceSheet!W12-BalanceSheet!X12</f>
        <v>-2438.3818296257959</v>
      </c>
      <c r="Y12" s="285">
        <f t="shared" ca="1" si="2"/>
        <v>-11867.503179810288</v>
      </c>
      <c r="Z12" s="285">
        <f t="shared" ca="1" si="1"/>
        <v>-12227.199158447478</v>
      </c>
      <c r="AA12" s="285">
        <f t="shared" ca="1" si="1"/>
        <v>-12597.833013427902</v>
      </c>
      <c r="AB12" s="285">
        <f t="shared" ca="1" si="1"/>
        <v>-12979.738202831504</v>
      </c>
      <c r="AC12" s="285">
        <f t="shared" ca="1" si="1"/>
        <v>-13373.258377064238</v>
      </c>
    </row>
    <row r="13" spans="2:29" x14ac:dyDescent="0.25">
      <c r="Y13" s="318"/>
      <c r="Z13" s="318"/>
      <c r="AA13" s="318"/>
      <c r="AB13" s="318"/>
      <c r="AC13" s="318"/>
    </row>
    <row r="14" spans="2:29" x14ac:dyDescent="0.25">
      <c r="B14" s="311" t="s">
        <v>257</v>
      </c>
      <c r="C14" s="311"/>
      <c r="D14" s="282">
        <f ca="1">BalanceSheet!E18-BalanceSheet!D18</f>
        <v>39683.959249999956</v>
      </c>
      <c r="E14" s="282">
        <f ca="1">BalanceSheet!F18-BalanceSheet!E18</f>
        <v>77963.878828062443</v>
      </c>
      <c r="F14" s="282">
        <f ca="1">BalanceSheet!G18-BalanceSheet!F18</f>
        <v>78548.154990439303</v>
      </c>
      <c r="G14" s="282">
        <f ca="1">BalanceSheet!H18-BalanceSheet!G18</f>
        <v>41154.070527704083</v>
      </c>
      <c r="H14" s="282">
        <f ca="1">BalanceSheet!I18-BalanceSheet!H18</f>
        <v>41462.287852706155</v>
      </c>
      <c r="I14" s="282">
        <f ca="1">BalanceSheet!J18-BalanceSheet!I18</f>
        <v>79755.574347751797</v>
      </c>
      <c r="J14" s="282">
        <f ca="1">BalanceSheet!K18-BalanceSheet!J18</f>
        <v>80353.318151889835</v>
      </c>
      <c r="K14" s="282">
        <f ca="1">BalanceSheet!L18-BalanceSheet!K18</f>
        <v>42972.802816601703</v>
      </c>
      <c r="L14" s="282">
        <f ca="1">BalanceSheet!M18-BalanceSheet!L18</f>
        <v>43294.691521409201</v>
      </c>
      <c r="M14" s="282">
        <f ca="1">BalanceSheet!N18-BalanceSheet!M18</f>
        <v>81601.752421099576</v>
      </c>
      <c r="N14" s="282">
        <f ca="1">BalanceSheet!O18-BalanceSheet!N18</f>
        <v>82213.374433056568</v>
      </c>
      <c r="O14" s="282">
        <f ca="1">BalanceSheet!P18-BalanceSheet!O18</f>
        <v>44846.841892992728</v>
      </c>
      <c r="P14" s="282">
        <f ca="1">BalanceSheet!Q18-BalanceSheet!P18</f>
        <v>45182.818770604325</v>
      </c>
      <c r="Q14" s="282">
        <f ca="1">BalanceSheet!R18-BalanceSheet!Q18</f>
        <v>83504.074016840197</v>
      </c>
      <c r="R14" s="282">
        <f ca="1">BalanceSheet!S18-BalanceSheet!R18</f>
        <v>84129.997351279249</v>
      </c>
      <c r="S14" s="282">
        <f ca="1">BalanceSheet!T18-BalanceSheet!S18</f>
        <v>46777.873917906312</v>
      </c>
      <c r="T14" s="282">
        <f ca="1">BalanceSheet!U18-BalanceSheet!T18</f>
        <v>47128.3685008178</v>
      </c>
      <c r="U14" s="282">
        <f ca="1">BalanceSheet!V18-BalanceSheet!U18</f>
        <v>85464.250871532829</v>
      </c>
      <c r="V14" s="282">
        <f ca="1">BalanceSheet!W18-BalanceSheet!V18</f>
        <v>86104.911576418206</v>
      </c>
      <c r="W14" s="282">
        <f ca="1">BalanceSheet!X18-BalanceSheet!W18</f>
        <v>48767.636592515977</v>
      </c>
      <c r="Y14" s="285">
        <f t="shared" ca="1" si="2"/>
        <v>237350.06359620579</v>
      </c>
      <c r="Z14" s="285">
        <f t="shared" ca="1" si="1"/>
        <v>244543.98316894949</v>
      </c>
      <c r="AA14" s="285">
        <f t="shared" ca="1" si="1"/>
        <v>251956.66026855807</v>
      </c>
      <c r="AB14" s="285">
        <f t="shared" ca="1" si="1"/>
        <v>259594.76405663008</v>
      </c>
      <c r="AC14" s="285">
        <f t="shared" ca="1" si="1"/>
        <v>267465.16754128481</v>
      </c>
    </row>
    <row r="15" spans="2:29" x14ac:dyDescent="0.25">
      <c r="B15" s="311" t="s">
        <v>258</v>
      </c>
      <c r="C15" s="311"/>
      <c r="D15" s="282">
        <f ca="1">BalanceSheet!E19-BalanceSheet!D19</f>
        <v>1984.1979624999985</v>
      </c>
      <c r="E15" s="282">
        <f ca="1">BalanceSheet!F19-BalanceSheet!E19</f>
        <v>3898.193941403124</v>
      </c>
      <c r="F15" s="282">
        <f ca="1">BalanceSheet!G19-BalanceSheet!F19</f>
        <v>3927.4077495219644</v>
      </c>
      <c r="G15" s="282">
        <f ca="1">BalanceSheet!H19-BalanceSheet!G19</f>
        <v>2057.7035263852013</v>
      </c>
      <c r="H15" s="282">
        <f ca="1">BalanceSheet!I19-BalanceSheet!H19</f>
        <v>2073.114392635307</v>
      </c>
      <c r="I15" s="282">
        <f ca="1">BalanceSheet!J19-BalanceSheet!I19</f>
        <v>3987.7787173875877</v>
      </c>
      <c r="J15" s="282">
        <f ca="1">BalanceSheet!K19-BalanceSheet!J19</f>
        <v>4017.6659075944954</v>
      </c>
      <c r="K15" s="282">
        <f ca="1">BalanceSheet!L19-BalanceSheet!K19</f>
        <v>2148.6401408300881</v>
      </c>
      <c r="L15" s="282">
        <f ca="1">BalanceSheet!M19-BalanceSheet!L19</f>
        <v>2164.7345760704557</v>
      </c>
      <c r="M15" s="282">
        <f ca="1">BalanceSheet!N19-BalanceSheet!M19</f>
        <v>4080.0876210549759</v>
      </c>
      <c r="N15" s="282">
        <f ca="1">BalanceSheet!O19-BalanceSheet!N19</f>
        <v>4110.6687216528371</v>
      </c>
      <c r="O15" s="282">
        <f ca="1">BalanceSheet!P19-BalanceSheet!O19</f>
        <v>2242.3420946496335</v>
      </c>
      <c r="P15" s="282">
        <f ca="1">BalanceSheet!Q19-BalanceSheet!P19</f>
        <v>2259.1409385302104</v>
      </c>
      <c r="Q15" s="282">
        <f ca="1">BalanceSheet!R19-BalanceSheet!Q19</f>
        <v>4175.2037008420157</v>
      </c>
      <c r="R15" s="282">
        <f ca="1">BalanceSheet!S19-BalanceSheet!R19</f>
        <v>4206.4998675639581</v>
      </c>
      <c r="S15" s="282">
        <f ca="1">BalanceSheet!T19-BalanceSheet!S19</f>
        <v>2338.89369589532</v>
      </c>
      <c r="T15" s="282">
        <f ca="1">BalanceSheet!U19-BalanceSheet!T19</f>
        <v>2356.4184250408871</v>
      </c>
      <c r="U15" s="282">
        <f ca="1">BalanceSheet!V19-BalanceSheet!U19</f>
        <v>4273.2125435766357</v>
      </c>
      <c r="V15" s="282">
        <f ca="1">BalanceSheet!W19-BalanceSheet!V19</f>
        <v>4305.245578820919</v>
      </c>
      <c r="W15" s="282">
        <f ca="1">BalanceSheet!X19-BalanceSheet!W19</f>
        <v>2438.3818296257959</v>
      </c>
      <c r="Y15" s="285">
        <f t="shared" ca="1" si="2"/>
        <v>11867.503179810288</v>
      </c>
      <c r="Z15" s="285">
        <f t="shared" ca="1" si="1"/>
        <v>12227.199158447478</v>
      </c>
      <c r="AA15" s="285">
        <f t="shared" ca="1" si="1"/>
        <v>12597.833013427902</v>
      </c>
      <c r="AB15" s="285">
        <f t="shared" ca="1" si="1"/>
        <v>12979.738202831504</v>
      </c>
      <c r="AC15" s="285">
        <f t="shared" ca="1" si="1"/>
        <v>13373.258377064238</v>
      </c>
    </row>
    <row r="16" spans="2:29" x14ac:dyDescent="0.25">
      <c r="B16" s="311" t="s">
        <v>259</v>
      </c>
      <c r="C16" s="311"/>
      <c r="D16" s="282">
        <f ca="1">BalanceSheet!E20-BalanceSheet!D20</f>
        <v>992.09898124999927</v>
      </c>
      <c r="E16" s="282">
        <f ca="1">BalanceSheet!F20-BalanceSheet!E20</f>
        <v>1949.096970701562</v>
      </c>
      <c r="F16" s="282">
        <f ca="1">BalanceSheet!G20-BalanceSheet!F20</f>
        <v>1963.7038747609822</v>
      </c>
      <c r="G16" s="282">
        <f ca="1">BalanceSheet!H20-BalanceSheet!G20</f>
        <v>1028.8517631926006</v>
      </c>
      <c r="H16" s="282">
        <f ca="1">BalanceSheet!I20-BalanceSheet!H20</f>
        <v>1036.5571963176535</v>
      </c>
      <c r="I16" s="282">
        <f ca="1">BalanceSheet!J20-BalanceSheet!I20</f>
        <v>1993.8893586937938</v>
      </c>
      <c r="J16" s="282">
        <f ca="1">BalanceSheet!K20-BalanceSheet!J20</f>
        <v>2008.8329537972477</v>
      </c>
      <c r="K16" s="282">
        <f ca="1">BalanceSheet!L20-BalanceSheet!K20</f>
        <v>1074.320070415044</v>
      </c>
      <c r="L16" s="282">
        <f ca="1">BalanceSheet!M20-BalanceSheet!L20</f>
        <v>1082.3672880352278</v>
      </c>
      <c r="M16" s="282">
        <f ca="1">BalanceSheet!N20-BalanceSheet!M20</f>
        <v>2040.0438105274879</v>
      </c>
      <c r="N16" s="282">
        <f ca="1">BalanceSheet!O20-BalanceSheet!N20</f>
        <v>2055.3343608264186</v>
      </c>
      <c r="O16" s="282">
        <f ca="1">BalanceSheet!P20-BalanceSheet!O20</f>
        <v>1121.1710473248168</v>
      </c>
      <c r="P16" s="282">
        <f ca="1">BalanceSheet!Q20-BalanceSheet!P20</f>
        <v>1129.5704692651052</v>
      </c>
      <c r="Q16" s="282">
        <f ca="1">BalanceSheet!R20-BalanceSheet!Q20</f>
        <v>2087.6018504210078</v>
      </c>
      <c r="R16" s="282">
        <f ca="1">BalanceSheet!S20-BalanceSheet!R20</f>
        <v>2103.2499337819791</v>
      </c>
      <c r="S16" s="282">
        <f ca="1">BalanceSheet!T20-BalanceSheet!S20</f>
        <v>1169.44684794766</v>
      </c>
      <c r="T16" s="282">
        <f ca="1">BalanceSheet!U20-BalanceSheet!T20</f>
        <v>1178.2092125204435</v>
      </c>
      <c r="U16" s="282">
        <f ca="1">BalanceSheet!V20-BalanceSheet!U20</f>
        <v>2136.6062717883178</v>
      </c>
      <c r="V16" s="282">
        <f ca="1">BalanceSheet!W20-BalanceSheet!V20</f>
        <v>2152.6227894104595</v>
      </c>
      <c r="W16" s="282">
        <f ca="1">BalanceSheet!X20-BalanceSheet!W20</f>
        <v>1219.190914812898</v>
      </c>
      <c r="Y16" s="285">
        <f t="shared" ca="1" si="2"/>
        <v>5933.7515899051441</v>
      </c>
      <c r="Z16" s="285">
        <f t="shared" ca="1" si="1"/>
        <v>6113.5995792237391</v>
      </c>
      <c r="AA16" s="285">
        <f t="shared" ca="1" si="1"/>
        <v>6298.9165067139511</v>
      </c>
      <c r="AB16" s="285">
        <f t="shared" ca="1" si="1"/>
        <v>6489.8691014157521</v>
      </c>
      <c r="AC16" s="285">
        <f t="shared" ca="1" si="1"/>
        <v>6686.6291885321189</v>
      </c>
    </row>
    <row r="17" spans="2:29" x14ac:dyDescent="0.25">
      <c r="B17" s="164" t="s">
        <v>260</v>
      </c>
      <c r="C17" s="164"/>
      <c r="D17" s="282">
        <f ca="1">SUM(D10:D16)</f>
        <v>-177585.71764374993</v>
      </c>
      <c r="E17" s="282">
        <f t="shared" ref="E17:W17" ca="1" si="3">SUM(E10:E16)</f>
        <v>-348888.3577555794</v>
      </c>
      <c r="F17" s="282">
        <f t="shared" ca="1" si="3"/>
        <v>-351502.99358221586</v>
      </c>
      <c r="G17" s="282">
        <f t="shared" ca="1" si="3"/>
        <v>-184164.46561147567</v>
      </c>
      <c r="H17" s="282">
        <f t="shared" ca="1" si="3"/>
        <v>-185543.73814085982</v>
      </c>
      <c r="I17" s="282">
        <f t="shared" ca="1" si="3"/>
        <v>-356906.19520618918</v>
      </c>
      <c r="J17" s="282">
        <f t="shared" ca="1" si="3"/>
        <v>-359581.09872970748</v>
      </c>
      <c r="K17" s="282">
        <f t="shared" ca="1" si="3"/>
        <v>-192303.29260429239</v>
      </c>
      <c r="L17" s="282">
        <f t="shared" ca="1" si="3"/>
        <v>-193743.74455830595</v>
      </c>
      <c r="M17" s="282">
        <f t="shared" ca="1" si="3"/>
        <v>-365167.84208442073</v>
      </c>
      <c r="N17" s="282">
        <f t="shared" ca="1" si="3"/>
        <v>-367904.85058792849</v>
      </c>
      <c r="O17" s="282">
        <f t="shared" ca="1" si="3"/>
        <v>-200689.61747114235</v>
      </c>
      <c r="P17" s="282">
        <f t="shared" ca="1" si="3"/>
        <v>-202193.11399845377</v>
      </c>
      <c r="Q17" s="282">
        <f t="shared" ca="1" si="3"/>
        <v>-373680.73122536083</v>
      </c>
      <c r="R17" s="282">
        <f t="shared" ca="1" si="3"/>
        <v>-376481.73814697395</v>
      </c>
      <c r="S17" s="282">
        <f t="shared" ca="1" si="3"/>
        <v>-209330.98578263097</v>
      </c>
      <c r="T17" s="282">
        <f t="shared" ca="1" si="3"/>
        <v>-210899.44904115942</v>
      </c>
      <c r="U17" s="282">
        <f t="shared" ca="1" si="3"/>
        <v>-382452.5226501092</v>
      </c>
      <c r="V17" s="282">
        <f t="shared" ca="1" si="3"/>
        <v>-385319.47930447146</v>
      </c>
      <c r="W17" s="282">
        <f t="shared" ca="1" si="3"/>
        <v>-218235.17375150969</v>
      </c>
      <c r="Y17" s="285">
        <f t="shared" ca="1" si="2"/>
        <v>-1062141.5345930208</v>
      </c>
      <c r="Z17" s="285">
        <f t="shared" ca="1" si="1"/>
        <v>-1094334.3246810487</v>
      </c>
      <c r="AA17" s="285">
        <f t="shared" ca="1" si="1"/>
        <v>-1127506.0547017977</v>
      </c>
      <c r="AB17" s="285">
        <f t="shared" ca="1" si="1"/>
        <v>-1161686.5691534195</v>
      </c>
      <c r="AC17" s="285">
        <f t="shared" ca="1" si="1"/>
        <v>-1196906.6247472498</v>
      </c>
    </row>
    <row r="18" spans="2:29" x14ac:dyDescent="0.25">
      <c r="B18" s="312" t="s">
        <v>261</v>
      </c>
      <c r="C18" s="311"/>
      <c r="D18" s="314">
        <f ca="1">D17+D7+D6</f>
        <v>295378.53223462496</v>
      </c>
      <c r="E18" s="314">
        <f t="shared" ref="E18:W18" ca="1" si="4">E17+E7+E6</f>
        <v>213559.47327859362</v>
      </c>
      <c r="F18" s="314">
        <f t="shared" ca="1" si="4"/>
        <v>207167.8148982455</v>
      </c>
      <c r="G18" s="314">
        <f t="shared" ca="1" si="4"/>
        <v>426226.05369966815</v>
      </c>
      <c r="H18" s="314">
        <f t="shared" ca="1" si="4"/>
        <v>477425.22766030702</v>
      </c>
      <c r="I18" s="314">
        <f t="shared" ca="1" si="4"/>
        <v>400511.23306259664</v>
      </c>
      <c r="J18" s="314">
        <f t="shared" ca="1" si="4"/>
        <v>388711.56380465889</v>
      </c>
      <c r="K18" s="314">
        <f t="shared" ca="1" si="4"/>
        <v>612748.99552088545</v>
      </c>
      <c r="L18" s="314">
        <f t="shared" ca="1" si="4"/>
        <v>635839.84733349364</v>
      </c>
      <c r="M18" s="314">
        <f t="shared" ca="1" si="4"/>
        <v>448405.29880227998</v>
      </c>
      <c r="N18" s="314">
        <f t="shared" ca="1" si="4"/>
        <v>546923.12925156462</v>
      </c>
      <c r="O18" s="314">
        <f t="shared" ca="1" si="4"/>
        <v>776091.40190714353</v>
      </c>
      <c r="P18" s="314">
        <f t="shared" ca="1" si="4"/>
        <v>837476.72566434497</v>
      </c>
      <c r="Q18" s="314">
        <f t="shared" ca="1" si="4"/>
        <v>684575.5720544064</v>
      </c>
      <c r="R18" s="314">
        <f t="shared" ca="1" si="4"/>
        <v>788341.01458816673</v>
      </c>
      <c r="S18" s="314">
        <f t="shared" ca="1" si="4"/>
        <v>1022796.412909894</v>
      </c>
      <c r="T18" s="314">
        <f t="shared" ca="1" si="4"/>
        <v>1029133.6745823617</v>
      </c>
      <c r="U18" s="314">
        <f t="shared" ca="1" si="4"/>
        <v>967849.57207034982</v>
      </c>
      <c r="V18" s="314">
        <f t="shared" ca="1" si="4"/>
        <v>1077022.4821016174</v>
      </c>
      <c r="W18" s="314">
        <f t="shared" ca="1" si="4"/>
        <v>1273801.0698381271</v>
      </c>
      <c r="Y18" s="284">
        <f t="shared" ca="1" si="2"/>
        <v>1142331.8741111322</v>
      </c>
      <c r="Z18" s="284">
        <f t="shared" ca="1" si="1"/>
        <v>1879397.0200484479</v>
      </c>
      <c r="AA18" s="284">
        <f t="shared" ca="1" si="1"/>
        <v>2407259.6772944815</v>
      </c>
      <c r="AB18" s="284">
        <f t="shared" ca="1" si="1"/>
        <v>3333189.7252168125</v>
      </c>
      <c r="AC18" s="284">
        <f t="shared" ca="1" si="1"/>
        <v>4347806.7985924557</v>
      </c>
    </row>
    <row r="19" spans="2:29" x14ac:dyDescent="0.25">
      <c r="Y19" s="318"/>
      <c r="Z19" s="318"/>
      <c r="AA19" s="318"/>
      <c r="AB19" s="318"/>
      <c r="AC19" s="318"/>
    </row>
    <row r="20" spans="2:29" x14ac:dyDescent="0.25">
      <c r="B20" s="164" t="s">
        <v>262</v>
      </c>
      <c r="Y20" s="318"/>
      <c r="Z20" s="318"/>
      <c r="AA20" s="318"/>
      <c r="AB20" s="318"/>
      <c r="AC20" s="318"/>
    </row>
    <row r="21" spans="2:29" x14ac:dyDescent="0.25">
      <c r="B21" s="311" t="s">
        <v>263</v>
      </c>
      <c r="D21" s="282">
        <f>-CapEx!E12</f>
        <v>-1250000</v>
      </c>
      <c r="E21" s="282">
        <f>-CapEx!F12</f>
        <v>-2500000</v>
      </c>
      <c r="F21" s="282">
        <f>-CapEx!G12</f>
        <v>-2500000</v>
      </c>
      <c r="G21" s="282">
        <f>-CapEx!H12</f>
        <v>-1250000</v>
      </c>
      <c r="H21" s="282">
        <f>-CapEx!I12</f>
        <v>-1250000</v>
      </c>
      <c r="I21" s="282">
        <f>-CapEx!J12</f>
        <v>-2500000</v>
      </c>
      <c r="J21" s="282">
        <f>-CapEx!K12</f>
        <v>-2500000</v>
      </c>
      <c r="K21" s="282">
        <f>-CapEx!L12</f>
        <v>-1250000</v>
      </c>
      <c r="L21" s="282">
        <f>-CapEx!M12</f>
        <v>-1250000</v>
      </c>
      <c r="M21" s="282">
        <f>-CapEx!N12</f>
        <v>-2500000</v>
      </c>
      <c r="N21" s="282">
        <f>-CapEx!O12</f>
        <v>-2500000</v>
      </c>
      <c r="O21" s="282">
        <f>-CapEx!P12</f>
        <v>-1250000</v>
      </c>
      <c r="P21" s="282">
        <f>-CapEx!Q12</f>
        <v>-1250000</v>
      </c>
      <c r="Q21" s="282">
        <f>-CapEx!R12</f>
        <v>-2500000</v>
      </c>
      <c r="R21" s="282">
        <f>-CapEx!S12</f>
        <v>-2500000</v>
      </c>
      <c r="S21" s="282">
        <f>-CapEx!T12</f>
        <v>-1250000</v>
      </c>
      <c r="T21" s="282">
        <f>-CapEx!U12</f>
        <v>-1250000</v>
      </c>
      <c r="U21" s="282">
        <f>-CapEx!V12</f>
        <v>-2500000</v>
      </c>
      <c r="V21" s="282">
        <f>-CapEx!W12</f>
        <v>-2500000</v>
      </c>
      <c r="W21" s="282">
        <f>-CapEx!X12</f>
        <v>-1250000</v>
      </c>
      <c r="Y21" s="285">
        <f t="shared" si="2"/>
        <v>-7500000</v>
      </c>
      <c r="Z21" s="285">
        <f t="shared" si="1"/>
        <v>-7500000</v>
      </c>
      <c r="AA21" s="285">
        <f t="shared" si="1"/>
        <v>-7500000</v>
      </c>
      <c r="AB21" s="285">
        <f t="shared" si="1"/>
        <v>-7500000</v>
      </c>
      <c r="AC21" s="285">
        <f t="shared" si="1"/>
        <v>-7500000</v>
      </c>
    </row>
    <row r="22" spans="2:29" x14ac:dyDescent="0.25">
      <c r="B22" s="164" t="s">
        <v>264</v>
      </c>
      <c r="D22" s="279">
        <f>D21</f>
        <v>-1250000</v>
      </c>
      <c r="E22" s="279">
        <f t="shared" ref="E22:W22" si="5">E21</f>
        <v>-2500000</v>
      </c>
      <c r="F22" s="279">
        <f t="shared" si="5"/>
        <v>-2500000</v>
      </c>
      <c r="G22" s="279">
        <f t="shared" si="5"/>
        <v>-1250000</v>
      </c>
      <c r="H22" s="279">
        <f t="shared" si="5"/>
        <v>-1250000</v>
      </c>
      <c r="I22" s="279">
        <f t="shared" si="5"/>
        <v>-2500000</v>
      </c>
      <c r="J22" s="279">
        <f t="shared" si="5"/>
        <v>-2500000</v>
      </c>
      <c r="K22" s="279">
        <f t="shared" si="5"/>
        <v>-1250000</v>
      </c>
      <c r="L22" s="279">
        <f t="shared" si="5"/>
        <v>-1250000</v>
      </c>
      <c r="M22" s="279">
        <f t="shared" si="5"/>
        <v>-2500000</v>
      </c>
      <c r="N22" s="279">
        <f t="shared" si="5"/>
        <v>-2500000</v>
      </c>
      <c r="O22" s="279">
        <f t="shared" si="5"/>
        <v>-1250000</v>
      </c>
      <c r="P22" s="279">
        <f t="shared" si="5"/>
        <v>-1250000</v>
      </c>
      <c r="Q22" s="279">
        <f t="shared" si="5"/>
        <v>-2500000</v>
      </c>
      <c r="R22" s="279">
        <f t="shared" si="5"/>
        <v>-2500000</v>
      </c>
      <c r="S22" s="279">
        <f t="shared" si="5"/>
        <v>-1250000</v>
      </c>
      <c r="T22" s="279">
        <f t="shared" si="5"/>
        <v>-1250000</v>
      </c>
      <c r="U22" s="279">
        <f t="shared" si="5"/>
        <v>-2500000</v>
      </c>
      <c r="V22" s="279">
        <f t="shared" si="5"/>
        <v>-2500000</v>
      </c>
      <c r="W22" s="279">
        <f t="shared" si="5"/>
        <v>-1250000</v>
      </c>
      <c r="Y22" s="325">
        <f t="shared" si="2"/>
        <v>-7500000</v>
      </c>
      <c r="Z22" s="325">
        <f t="shared" si="2"/>
        <v>-7500000</v>
      </c>
      <c r="AA22" s="325">
        <f t="shared" si="2"/>
        <v>-7500000</v>
      </c>
      <c r="AB22" s="325">
        <f t="shared" si="2"/>
        <v>-7500000</v>
      </c>
      <c r="AC22" s="325">
        <f t="shared" si="2"/>
        <v>-7500000</v>
      </c>
    </row>
    <row r="23" spans="2:29" x14ac:dyDescent="0.25">
      <c r="Y23" s="318"/>
      <c r="Z23" s="318"/>
      <c r="AA23" s="318"/>
      <c r="AB23" s="318"/>
      <c r="AC23" s="318"/>
    </row>
    <row r="24" spans="2:29" x14ac:dyDescent="0.25">
      <c r="B24" s="164" t="s">
        <v>265</v>
      </c>
      <c r="Y24" s="318"/>
      <c r="Z24" s="318"/>
      <c r="AA24" s="318"/>
      <c r="AB24" s="318"/>
      <c r="AC24" s="318"/>
    </row>
    <row r="25" spans="2:29" x14ac:dyDescent="0.25">
      <c r="B25" s="311" t="s">
        <v>266</v>
      </c>
      <c r="D25" s="276">
        <f>BalanceSheet!E23-BalanceSheet!D23</f>
        <v>0</v>
      </c>
      <c r="E25" s="276">
        <f>BalanceSheet!F23-BalanceSheet!E23</f>
        <v>0</v>
      </c>
      <c r="F25" s="276">
        <f>BalanceSheet!G23-BalanceSheet!F23</f>
        <v>0</v>
      </c>
      <c r="G25" s="276">
        <f>BalanceSheet!H23-BalanceSheet!G23</f>
        <v>0</v>
      </c>
      <c r="H25" s="276">
        <f>BalanceSheet!I23-BalanceSheet!H23</f>
        <v>0</v>
      </c>
      <c r="I25" s="276">
        <f>BalanceSheet!J23-BalanceSheet!I23</f>
        <v>0</v>
      </c>
      <c r="J25" s="276">
        <f>BalanceSheet!K23-BalanceSheet!J23</f>
        <v>0</v>
      </c>
      <c r="K25" s="276">
        <f>BalanceSheet!L23-BalanceSheet!K23</f>
        <v>0</v>
      </c>
      <c r="L25" s="276">
        <v>3570000</v>
      </c>
      <c r="M25" s="276">
        <f>BalanceSheet!N23-BalanceSheet!M23</f>
        <v>0</v>
      </c>
      <c r="N25" s="276">
        <f>BalanceSheet!O23-BalanceSheet!N23</f>
        <v>0</v>
      </c>
      <c r="O25" s="276">
        <f>BalanceSheet!P23-BalanceSheet!O23</f>
        <v>0</v>
      </c>
      <c r="P25" s="276">
        <f>BalanceSheet!Q23-BalanceSheet!P23</f>
        <v>0</v>
      </c>
      <c r="Q25" s="276">
        <f>BalanceSheet!R23-BalanceSheet!Q23</f>
        <v>0</v>
      </c>
      <c r="R25" s="276">
        <f>BalanceSheet!S23-BalanceSheet!R23</f>
        <v>0</v>
      </c>
      <c r="S25" s="276">
        <f>BalanceSheet!T23-BalanceSheet!S23</f>
        <v>0</v>
      </c>
      <c r="T25" s="276">
        <f>BalanceSheet!U23-BalanceSheet!T23</f>
        <v>0</v>
      </c>
      <c r="U25" s="276">
        <f>BalanceSheet!V23-BalanceSheet!U23</f>
        <v>0</v>
      </c>
      <c r="V25" s="276">
        <f>BalanceSheet!W23-BalanceSheet!V23</f>
        <v>0</v>
      </c>
      <c r="W25" s="276">
        <f>BalanceSheet!X23-BalanceSheet!W23</f>
        <v>0</v>
      </c>
      <c r="Y25" s="326">
        <f t="shared" si="2"/>
        <v>0</v>
      </c>
      <c r="Z25" s="326">
        <f t="shared" si="2"/>
        <v>0</v>
      </c>
      <c r="AA25" s="326">
        <f t="shared" si="2"/>
        <v>3570000</v>
      </c>
      <c r="AB25" s="326">
        <f t="shared" si="2"/>
        <v>0</v>
      </c>
      <c r="AC25" s="326">
        <f t="shared" si="2"/>
        <v>0</v>
      </c>
    </row>
    <row r="26" spans="2:29" x14ac:dyDescent="0.25">
      <c r="B26" s="164" t="s">
        <v>267</v>
      </c>
      <c r="D26" s="313">
        <f>D25</f>
        <v>0</v>
      </c>
      <c r="E26" s="313">
        <f t="shared" ref="E26:W26" si="6">E25</f>
        <v>0</v>
      </c>
      <c r="F26" s="313">
        <f t="shared" si="6"/>
        <v>0</v>
      </c>
      <c r="G26" s="313">
        <f t="shared" si="6"/>
        <v>0</v>
      </c>
      <c r="H26" s="313">
        <f t="shared" si="6"/>
        <v>0</v>
      </c>
      <c r="I26" s="313">
        <f t="shared" si="6"/>
        <v>0</v>
      </c>
      <c r="J26" s="313">
        <f t="shared" si="6"/>
        <v>0</v>
      </c>
      <c r="K26" s="313">
        <f t="shared" si="6"/>
        <v>0</v>
      </c>
      <c r="L26" s="313">
        <f t="shared" si="6"/>
        <v>3570000</v>
      </c>
      <c r="M26" s="313">
        <f t="shared" si="6"/>
        <v>0</v>
      </c>
      <c r="N26" s="313">
        <f t="shared" si="6"/>
        <v>0</v>
      </c>
      <c r="O26" s="313">
        <f t="shared" si="6"/>
        <v>0</v>
      </c>
      <c r="P26" s="313">
        <f t="shared" si="6"/>
        <v>0</v>
      </c>
      <c r="Q26" s="313">
        <f t="shared" si="6"/>
        <v>0</v>
      </c>
      <c r="R26" s="313">
        <f t="shared" si="6"/>
        <v>0</v>
      </c>
      <c r="S26" s="313">
        <f t="shared" si="6"/>
        <v>0</v>
      </c>
      <c r="T26" s="313">
        <f t="shared" si="6"/>
        <v>0</v>
      </c>
      <c r="U26" s="313">
        <f t="shared" si="6"/>
        <v>0</v>
      </c>
      <c r="V26" s="313">
        <f t="shared" si="6"/>
        <v>0</v>
      </c>
      <c r="W26" s="313">
        <f t="shared" si="6"/>
        <v>0</v>
      </c>
      <c r="Y26" s="327">
        <f t="shared" si="2"/>
        <v>0</v>
      </c>
      <c r="Z26" s="327">
        <f t="shared" si="2"/>
        <v>0</v>
      </c>
      <c r="AA26" s="327">
        <f t="shared" si="2"/>
        <v>3570000</v>
      </c>
      <c r="AB26" s="327">
        <f t="shared" si="2"/>
        <v>0</v>
      </c>
      <c r="AC26" s="327">
        <f t="shared" si="2"/>
        <v>0</v>
      </c>
    </row>
    <row r="27" spans="2:29" x14ac:dyDescent="0.25">
      <c r="Y27" s="318"/>
      <c r="Z27" s="318"/>
      <c r="AA27" s="318"/>
      <c r="AB27" s="318"/>
      <c r="AC27" s="318"/>
    </row>
    <row r="28" spans="2:29" x14ac:dyDescent="0.25">
      <c r="B28" s="164" t="s">
        <v>268</v>
      </c>
      <c r="D28" s="315">
        <f ca="1">D26+D22+D18</f>
        <v>-954621.46776537504</v>
      </c>
      <c r="E28" s="316">
        <f t="shared" ref="E28:W28" ca="1" si="7">E26+E22+E18</f>
        <v>-2286440.5267214063</v>
      </c>
      <c r="F28" s="316">
        <f t="shared" ca="1" si="7"/>
        <v>-2292832.1851017545</v>
      </c>
      <c r="G28" s="316">
        <f t="shared" ca="1" si="7"/>
        <v>-823773.94630033185</v>
      </c>
      <c r="H28" s="316">
        <f t="shared" ca="1" si="7"/>
        <v>-772574.77233969304</v>
      </c>
      <c r="I28" s="316">
        <f t="shared" ca="1" si="7"/>
        <v>-2099488.7669374035</v>
      </c>
      <c r="J28" s="316">
        <f t="shared" ca="1" si="7"/>
        <v>-2111288.4361953409</v>
      </c>
      <c r="K28" s="316">
        <f t="shared" ca="1" si="7"/>
        <v>-637251.00447911455</v>
      </c>
      <c r="L28" s="316">
        <f ca="1">L26+L22+L18</f>
        <v>2955839.8473334936</v>
      </c>
      <c r="M28" s="316">
        <f t="shared" ca="1" si="7"/>
        <v>-2051594.7011977201</v>
      </c>
      <c r="N28" s="316">
        <f t="shared" ca="1" si="7"/>
        <v>-1953076.8707484354</v>
      </c>
      <c r="O28" s="316">
        <f t="shared" ca="1" si="7"/>
        <v>-473908.59809285647</v>
      </c>
      <c r="P28" s="316">
        <f t="shared" ca="1" si="7"/>
        <v>-412523.27433565503</v>
      </c>
      <c r="Q28" s="316">
        <f t="shared" ca="1" si="7"/>
        <v>-1815424.4279455936</v>
      </c>
      <c r="R28" s="316">
        <f t="shared" ca="1" si="7"/>
        <v>-1711658.9854118333</v>
      </c>
      <c r="S28" s="316">
        <f t="shared" ca="1" si="7"/>
        <v>-227203.58709010598</v>
      </c>
      <c r="T28" s="316">
        <f t="shared" ca="1" si="7"/>
        <v>-220866.32541763829</v>
      </c>
      <c r="U28" s="316">
        <f t="shared" ca="1" si="7"/>
        <v>-1532150.4279296501</v>
      </c>
      <c r="V28" s="316">
        <f t="shared" ca="1" si="7"/>
        <v>-1422977.5178983826</v>
      </c>
      <c r="W28" s="317">
        <f t="shared" ca="1" si="7"/>
        <v>23801.069838127121</v>
      </c>
      <c r="Y28" s="328">
        <f t="shared" ca="1" si="2"/>
        <v>-6357668.1258888673</v>
      </c>
      <c r="Z28" s="328">
        <f t="shared" ca="1" si="2"/>
        <v>-5620602.9799515521</v>
      </c>
      <c r="AA28" s="328">
        <f t="shared" ca="1" si="2"/>
        <v>-1522740.3227055185</v>
      </c>
      <c r="AB28" s="328">
        <f t="shared" ca="1" si="2"/>
        <v>-4166810.2747831875</v>
      </c>
      <c r="AC28" s="328">
        <f t="shared" ca="1" si="2"/>
        <v>-3152193.2014075438</v>
      </c>
    </row>
    <row r="29" spans="2:29" x14ac:dyDescent="0.25"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Y29" s="285"/>
      <c r="Z29" s="285"/>
      <c r="AA29" s="285"/>
      <c r="AB29" s="285"/>
      <c r="AC29" s="285"/>
    </row>
    <row r="30" spans="2:29" x14ac:dyDescent="0.25">
      <c r="B30" t="s">
        <v>269</v>
      </c>
      <c r="D30" s="277">
        <f>BalanceSheet!D9</f>
        <v>10000000</v>
      </c>
      <c r="E30" s="277">
        <f ca="1">D31</f>
        <v>9045378.532234624</v>
      </c>
      <c r="F30" s="277">
        <f t="shared" ref="F30:W30" ca="1" si="8">E31</f>
        <v>6758938.0055132173</v>
      </c>
      <c r="G30" s="277">
        <f t="shared" ca="1" si="8"/>
        <v>4466105.8204114623</v>
      </c>
      <c r="H30" s="277">
        <f t="shared" ca="1" si="8"/>
        <v>3642331.8741111304</v>
      </c>
      <c r="I30" s="277">
        <f t="shared" ca="1" si="8"/>
        <v>2869757.1017714376</v>
      </c>
      <c r="J30" s="277">
        <f t="shared" ca="1" si="8"/>
        <v>770268.33483403409</v>
      </c>
      <c r="K30" s="277">
        <f t="shared" ca="1" si="8"/>
        <v>-1341020.1013613068</v>
      </c>
      <c r="L30" s="277">
        <f t="shared" ca="1" si="8"/>
        <v>-1978271.1058404213</v>
      </c>
      <c r="M30" s="277">
        <f t="shared" ca="1" si="8"/>
        <v>977568.74149307236</v>
      </c>
      <c r="N30" s="277">
        <f t="shared" ca="1" si="8"/>
        <v>-1074025.9597046478</v>
      </c>
      <c r="O30" s="277">
        <f t="shared" ca="1" si="8"/>
        <v>-3027102.8304530829</v>
      </c>
      <c r="P30" s="277">
        <f t="shared" ca="1" si="8"/>
        <v>-3501011.4285459393</v>
      </c>
      <c r="Q30" s="277">
        <f t="shared" ca="1" si="8"/>
        <v>-3913534.7028815942</v>
      </c>
      <c r="R30" s="277">
        <f t="shared" ca="1" si="8"/>
        <v>-5728959.1308271876</v>
      </c>
      <c r="S30" s="277">
        <f t="shared" ca="1" si="8"/>
        <v>-7440618.1162390206</v>
      </c>
      <c r="T30" s="277">
        <f t="shared" ca="1" si="8"/>
        <v>-7667821.7033291264</v>
      </c>
      <c r="U30" s="277">
        <f t="shared" ca="1" si="8"/>
        <v>-7888688.0287467651</v>
      </c>
      <c r="V30" s="277">
        <f t="shared" ca="1" si="8"/>
        <v>-9420838.4566764161</v>
      </c>
      <c r="W30" s="277">
        <f t="shared" ca="1" si="8"/>
        <v>-10843815.974574799</v>
      </c>
      <c r="Y30" s="285">
        <f>D30</f>
        <v>10000000</v>
      </c>
      <c r="Z30" s="285">
        <f ca="1">Y31</f>
        <v>3642331.8741111304</v>
      </c>
      <c r="AA30" s="285">
        <f ca="1">Z31</f>
        <v>-1978271.1058404213</v>
      </c>
      <c r="AB30" s="285">
        <f t="shared" ref="AB30:AC30" ca="1" si="9">AA31</f>
        <v>-3501011.4285459393</v>
      </c>
      <c r="AC30" s="285">
        <f t="shared" ca="1" si="9"/>
        <v>-7667821.7033291264</v>
      </c>
    </row>
    <row r="31" spans="2:29" x14ac:dyDescent="0.25">
      <c r="B31" t="s">
        <v>270</v>
      </c>
      <c r="D31" s="314">
        <f ca="1">D30+D28</f>
        <v>9045378.532234624</v>
      </c>
      <c r="E31" s="314">
        <f ca="1">E30+E28</f>
        <v>6758938.0055132173</v>
      </c>
      <c r="F31" s="314">
        <f t="shared" ref="F31:W31" ca="1" si="10">F30+F28</f>
        <v>4466105.8204114623</v>
      </c>
      <c r="G31" s="314">
        <f t="shared" ca="1" si="10"/>
        <v>3642331.8741111304</v>
      </c>
      <c r="H31" s="314">
        <f t="shared" ca="1" si="10"/>
        <v>2869757.1017714376</v>
      </c>
      <c r="I31" s="314">
        <f t="shared" ca="1" si="10"/>
        <v>770268.33483403409</v>
      </c>
      <c r="J31" s="314">
        <f t="shared" ca="1" si="10"/>
        <v>-1341020.1013613068</v>
      </c>
      <c r="K31" s="314">
        <f t="shared" ca="1" si="10"/>
        <v>-1978271.1058404213</v>
      </c>
      <c r="L31" s="314">
        <f t="shared" ca="1" si="10"/>
        <v>977568.74149307236</v>
      </c>
      <c r="M31" s="314">
        <f t="shared" ca="1" si="10"/>
        <v>-1074025.9597046478</v>
      </c>
      <c r="N31" s="314">
        <f t="shared" ca="1" si="10"/>
        <v>-3027102.8304530829</v>
      </c>
      <c r="O31" s="314">
        <f t="shared" ca="1" si="10"/>
        <v>-3501011.4285459393</v>
      </c>
      <c r="P31" s="314">
        <f t="shared" ca="1" si="10"/>
        <v>-3913534.7028815942</v>
      </c>
      <c r="Q31" s="314">
        <f t="shared" ca="1" si="10"/>
        <v>-5728959.1308271876</v>
      </c>
      <c r="R31" s="314">
        <f t="shared" ca="1" si="10"/>
        <v>-7440618.1162390206</v>
      </c>
      <c r="S31" s="314">
        <f t="shared" ca="1" si="10"/>
        <v>-7667821.7033291264</v>
      </c>
      <c r="T31" s="314">
        <f t="shared" ca="1" si="10"/>
        <v>-7888688.0287467651</v>
      </c>
      <c r="U31" s="314">
        <f t="shared" ca="1" si="10"/>
        <v>-9420838.4566764161</v>
      </c>
      <c r="V31" s="314">
        <f t="shared" ca="1" si="10"/>
        <v>-10843815.974574799</v>
      </c>
      <c r="W31" s="314">
        <f t="shared" ca="1" si="10"/>
        <v>-10820014.904736672</v>
      </c>
      <c r="Y31" s="284">
        <f ca="1">G31</f>
        <v>3642331.8741111304</v>
      </c>
      <c r="Z31" s="284">
        <f ca="1">K31</f>
        <v>-1978271.1058404213</v>
      </c>
      <c r="AA31" s="284">
        <f ca="1">O31</f>
        <v>-3501011.4285459393</v>
      </c>
      <c r="AB31" s="284">
        <f ca="1">S31</f>
        <v>-7667821.7033291264</v>
      </c>
      <c r="AC31" s="284">
        <f ca="1">W31</f>
        <v>-10820014.904736672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AEA6-B770-41B6-B01F-B74C2951EBB9}">
  <sheetPr>
    <tabColor rgb="FF92D050"/>
  </sheetPr>
  <dimension ref="B2:X13"/>
  <sheetViews>
    <sheetView workbookViewId="0">
      <selection activeCell="P13" sqref="P13"/>
    </sheetView>
  </sheetViews>
  <sheetFormatPr defaultRowHeight="15" x14ac:dyDescent="0.25"/>
  <cols>
    <col min="2" max="2" width="39.140625" bestFit="1" customWidth="1"/>
    <col min="5" max="7" width="10.85546875" bestFit="1" customWidth="1"/>
    <col min="8" max="24" width="11.85546875" bestFit="1" customWidth="1"/>
  </cols>
  <sheetData>
    <row r="2" spans="2:24" x14ac:dyDescent="0.25">
      <c r="B2" s="89" t="s">
        <v>142</v>
      </c>
      <c r="C2" s="286">
        <f>Inputs!C5</f>
        <v>1250000</v>
      </c>
    </row>
    <row r="3" spans="2:24" x14ac:dyDescent="0.25">
      <c r="B3" s="89" t="s">
        <v>243</v>
      </c>
      <c r="C3" s="287">
        <f>Inputs!C6</f>
        <v>0.15</v>
      </c>
    </row>
    <row r="4" spans="2:24" x14ac:dyDescent="0.25">
      <c r="E4" s="199" t="s">
        <v>6</v>
      </c>
      <c r="F4" s="199"/>
      <c r="G4" s="199"/>
      <c r="H4" s="199"/>
      <c r="I4" s="199" t="s">
        <v>7</v>
      </c>
      <c r="J4" s="199"/>
      <c r="K4" s="199"/>
      <c r="L4" s="199"/>
      <c r="M4" s="199" t="s">
        <v>8</v>
      </c>
      <c r="N4" s="199"/>
      <c r="O4" s="199"/>
      <c r="P4" s="199"/>
      <c r="Q4" s="199" t="s">
        <v>9</v>
      </c>
      <c r="R4" s="199"/>
      <c r="S4" s="199"/>
      <c r="T4" s="199"/>
      <c r="U4" s="199" t="s">
        <v>10</v>
      </c>
      <c r="V4" s="199"/>
      <c r="W4" s="199"/>
      <c r="X4" s="199"/>
    </row>
    <row r="5" spans="2:24" x14ac:dyDescent="0.25">
      <c r="E5" s="200" t="s">
        <v>11</v>
      </c>
      <c r="F5" s="200" t="s">
        <v>12</v>
      </c>
      <c r="G5" s="200" t="s">
        <v>13</v>
      </c>
      <c r="H5" s="200" t="s">
        <v>14</v>
      </c>
      <c r="I5" s="200" t="s">
        <v>11</v>
      </c>
      <c r="J5" s="200" t="s">
        <v>12</v>
      </c>
      <c r="K5" s="200" t="s">
        <v>13</v>
      </c>
      <c r="L5" s="200" t="s">
        <v>14</v>
      </c>
      <c r="M5" s="200" t="s">
        <v>11</v>
      </c>
      <c r="N5" s="200" t="s">
        <v>12</v>
      </c>
      <c r="O5" s="200" t="s">
        <v>13</v>
      </c>
      <c r="P5" s="200" t="s">
        <v>14</v>
      </c>
      <c r="Q5" s="200" t="s">
        <v>11</v>
      </c>
      <c r="R5" s="200" t="s">
        <v>12</v>
      </c>
      <c r="S5" s="200" t="s">
        <v>13</v>
      </c>
      <c r="T5" s="200" t="s">
        <v>14</v>
      </c>
      <c r="U5" s="200" t="s">
        <v>11</v>
      </c>
      <c r="V5" s="200" t="s">
        <v>12</v>
      </c>
      <c r="W5" s="200" t="s">
        <v>13</v>
      </c>
      <c r="X5" s="200" t="s">
        <v>14</v>
      </c>
    </row>
    <row r="6" spans="2:24" x14ac:dyDescent="0.25">
      <c r="B6" t="s">
        <v>223</v>
      </c>
      <c r="C6" s="1"/>
      <c r="D6" s="1"/>
      <c r="E6" s="240">
        <v>0.25</v>
      </c>
      <c r="F6" s="240">
        <v>0.25</v>
      </c>
      <c r="G6" s="240">
        <v>0.25</v>
      </c>
      <c r="H6" s="240">
        <v>0.25</v>
      </c>
      <c r="I6" s="240">
        <v>0.25</v>
      </c>
      <c r="J6" s="240">
        <v>0.25</v>
      </c>
      <c r="K6" s="240">
        <v>0.25</v>
      </c>
      <c r="L6" s="240">
        <v>0.25</v>
      </c>
      <c r="M6" s="240">
        <v>0.25</v>
      </c>
      <c r="N6" s="240">
        <v>0.25</v>
      </c>
      <c r="O6" s="240">
        <v>0.25</v>
      </c>
      <c r="P6" s="240">
        <v>0.25</v>
      </c>
      <c r="Q6" s="240">
        <v>0.25</v>
      </c>
      <c r="R6" s="240">
        <v>0.25</v>
      </c>
      <c r="S6" s="240">
        <v>0.25</v>
      </c>
      <c r="T6" s="240">
        <v>0.25</v>
      </c>
      <c r="U6" s="240">
        <v>0.25</v>
      </c>
      <c r="V6" s="240">
        <v>0.25</v>
      </c>
      <c r="W6" s="240">
        <v>0.25</v>
      </c>
      <c r="X6" s="240">
        <v>0.25</v>
      </c>
    </row>
    <row r="7" spans="2:24" x14ac:dyDescent="0.25">
      <c r="B7" t="s">
        <v>216</v>
      </c>
      <c r="E7" s="194">
        <f>'Inc_Stm_New_Stores---&gt;&gt;'!G10</f>
        <v>1</v>
      </c>
      <c r="F7" s="194">
        <f>'Inc_Stm_New_Stores---&gt;&gt;'!H10</f>
        <v>2</v>
      </c>
      <c r="G7" s="194">
        <f>'Inc_Stm_New_Stores---&gt;&gt;'!I10</f>
        <v>2</v>
      </c>
      <c r="H7" s="194">
        <f>'Inc_Stm_New_Stores---&gt;&gt;'!J10</f>
        <v>1</v>
      </c>
      <c r="I7" s="194">
        <f>'Inc_Stm_New_Stores---&gt;&gt;'!K10</f>
        <v>1</v>
      </c>
      <c r="J7" s="194">
        <f>'Inc_Stm_New_Stores---&gt;&gt;'!L10</f>
        <v>2</v>
      </c>
      <c r="K7" s="194">
        <f>'Inc_Stm_New_Stores---&gt;&gt;'!M10</f>
        <v>2</v>
      </c>
      <c r="L7" s="194">
        <f>'Inc_Stm_New_Stores---&gt;&gt;'!N10</f>
        <v>1</v>
      </c>
      <c r="M7" s="194">
        <f>'Inc_Stm_New_Stores---&gt;&gt;'!O10</f>
        <v>1</v>
      </c>
      <c r="N7" s="194">
        <f>'Inc_Stm_New_Stores---&gt;&gt;'!P10</f>
        <v>2</v>
      </c>
      <c r="O7" s="194">
        <f>'Inc_Stm_New_Stores---&gt;&gt;'!Q10</f>
        <v>2</v>
      </c>
      <c r="P7" s="194">
        <f>'Inc_Stm_New_Stores---&gt;&gt;'!R10</f>
        <v>1</v>
      </c>
      <c r="Q7" s="194">
        <f>'Inc_Stm_New_Stores---&gt;&gt;'!S10</f>
        <v>1</v>
      </c>
      <c r="R7" s="194">
        <f>'Inc_Stm_New_Stores---&gt;&gt;'!T10</f>
        <v>2</v>
      </c>
      <c r="S7" s="194">
        <f>'Inc_Stm_New_Stores---&gt;&gt;'!U10</f>
        <v>2</v>
      </c>
      <c r="T7" s="194">
        <f>'Inc_Stm_New_Stores---&gt;&gt;'!V10</f>
        <v>1</v>
      </c>
      <c r="U7" s="194">
        <f>'Inc_Stm_New_Stores---&gt;&gt;'!W10</f>
        <v>1</v>
      </c>
      <c r="V7" s="194">
        <f>'Inc_Stm_New_Stores---&gt;&gt;'!X10</f>
        <v>2</v>
      </c>
      <c r="W7" s="194">
        <f>'Inc_Stm_New_Stores---&gt;&gt;'!Y10</f>
        <v>2</v>
      </c>
      <c r="X7" s="194">
        <f>'Inc_Stm_New_Stores---&gt;&gt;'!Z10</f>
        <v>1</v>
      </c>
    </row>
    <row r="8" spans="2:24" x14ac:dyDescent="0.25">
      <c r="B8" t="s">
        <v>242</v>
      </c>
      <c r="E8" s="288">
        <f t="shared" ref="E8:X8" si="0">E$7*$C$2</f>
        <v>1250000</v>
      </c>
      <c r="F8" s="288">
        <f t="shared" si="0"/>
        <v>2500000</v>
      </c>
      <c r="G8" s="288">
        <f t="shared" si="0"/>
        <v>2500000</v>
      </c>
      <c r="H8" s="288">
        <f t="shared" si="0"/>
        <v>1250000</v>
      </c>
      <c r="I8" s="288">
        <f t="shared" si="0"/>
        <v>1250000</v>
      </c>
      <c r="J8" s="288">
        <f t="shared" si="0"/>
        <v>2500000</v>
      </c>
      <c r="K8" s="288">
        <f t="shared" si="0"/>
        <v>2500000</v>
      </c>
      <c r="L8" s="288">
        <f t="shared" si="0"/>
        <v>1250000</v>
      </c>
      <c r="M8" s="288">
        <f t="shared" si="0"/>
        <v>1250000</v>
      </c>
      <c r="N8" s="288">
        <f t="shared" si="0"/>
        <v>2500000</v>
      </c>
      <c r="O8" s="288">
        <f t="shared" si="0"/>
        <v>2500000</v>
      </c>
      <c r="P8" s="288">
        <f t="shared" si="0"/>
        <v>1250000</v>
      </c>
      <c r="Q8" s="288">
        <f t="shared" si="0"/>
        <v>1250000</v>
      </c>
      <c r="R8" s="288">
        <f t="shared" si="0"/>
        <v>2500000</v>
      </c>
      <c r="S8" s="288">
        <f t="shared" si="0"/>
        <v>2500000</v>
      </c>
      <c r="T8" s="288">
        <f t="shared" si="0"/>
        <v>1250000</v>
      </c>
      <c r="U8" s="288">
        <f t="shared" si="0"/>
        <v>1250000</v>
      </c>
      <c r="V8" s="288">
        <f t="shared" si="0"/>
        <v>2500000</v>
      </c>
      <c r="W8" s="288">
        <f t="shared" si="0"/>
        <v>2500000</v>
      </c>
      <c r="X8" s="288">
        <f t="shared" si="0"/>
        <v>1250000</v>
      </c>
    </row>
    <row r="10" spans="2:24" x14ac:dyDescent="0.25">
      <c r="B10" t="s">
        <v>244</v>
      </c>
      <c r="E10" s="288">
        <f>Inputs!D86</f>
        <v>4000000</v>
      </c>
      <c r="F10" s="288">
        <f>E13</f>
        <v>5100000</v>
      </c>
      <c r="G10" s="288">
        <f t="shared" ref="G10:X10" si="1">F13</f>
        <v>7408750</v>
      </c>
      <c r="H10" s="288">
        <f t="shared" si="1"/>
        <v>9630921.875</v>
      </c>
      <c r="I10" s="288">
        <f t="shared" si="1"/>
        <v>10519762.3046875</v>
      </c>
      <c r="J10" s="288">
        <f t="shared" si="1"/>
        <v>11375271.218261719</v>
      </c>
      <c r="K10" s="288">
        <f t="shared" si="1"/>
        <v>13448698.547576904</v>
      </c>
      <c r="L10" s="288">
        <f t="shared" si="1"/>
        <v>15444372.35204277</v>
      </c>
      <c r="M10" s="288">
        <f t="shared" si="1"/>
        <v>16115208.388841167</v>
      </c>
      <c r="N10" s="288">
        <f t="shared" si="1"/>
        <v>16760888.074259624</v>
      </c>
      <c r="O10" s="288">
        <f t="shared" si="1"/>
        <v>18632354.77147489</v>
      </c>
      <c r="P10" s="288">
        <f t="shared" si="1"/>
        <v>20433641.467544582</v>
      </c>
      <c r="Q10" s="288">
        <f t="shared" si="1"/>
        <v>20917379.912511662</v>
      </c>
      <c r="R10" s="288">
        <f t="shared" si="1"/>
        <v>21382978.165792473</v>
      </c>
      <c r="S10" s="288">
        <f t="shared" si="1"/>
        <v>23081116.484575257</v>
      </c>
      <c r="T10" s="288">
        <f t="shared" si="1"/>
        <v>24715574.616403684</v>
      </c>
      <c r="U10" s="288">
        <f t="shared" si="1"/>
        <v>25038740.568288546</v>
      </c>
      <c r="V10" s="288">
        <f t="shared" si="1"/>
        <v>25349787.796977725</v>
      </c>
      <c r="W10" s="288">
        <f t="shared" si="1"/>
        <v>26899170.754591059</v>
      </c>
      <c r="X10" s="288">
        <f t="shared" si="1"/>
        <v>28390451.851293895</v>
      </c>
    </row>
    <row r="11" spans="2:24" x14ac:dyDescent="0.25">
      <c r="B11" t="s">
        <v>237</v>
      </c>
      <c r="E11" s="288">
        <f>-(E10*E6*$C$3)</f>
        <v>-150000</v>
      </c>
      <c r="F11" s="288">
        <f t="shared" ref="F11:X11" si="2">-(F10*F6*$C$3)</f>
        <v>-191250</v>
      </c>
      <c r="G11" s="288">
        <f t="shared" si="2"/>
        <v>-277828.125</v>
      </c>
      <c r="H11" s="288">
        <f t="shared" si="2"/>
        <v>-361159.5703125</v>
      </c>
      <c r="I11" s="288">
        <f t="shared" si="2"/>
        <v>-394491.08642578125</v>
      </c>
      <c r="J11" s="288">
        <f t="shared" si="2"/>
        <v>-426572.67068481445</v>
      </c>
      <c r="K11" s="288">
        <f t="shared" si="2"/>
        <v>-504326.19553413388</v>
      </c>
      <c r="L11" s="288">
        <f t="shared" si="2"/>
        <v>-579163.96320160385</v>
      </c>
      <c r="M11" s="288">
        <f t="shared" si="2"/>
        <v>-604320.31458154379</v>
      </c>
      <c r="N11" s="288">
        <f t="shared" si="2"/>
        <v>-628533.30278473592</v>
      </c>
      <c r="O11" s="288">
        <f t="shared" si="2"/>
        <v>-698713.30393030832</v>
      </c>
      <c r="P11" s="288">
        <f t="shared" si="2"/>
        <v>-766261.55503292184</v>
      </c>
      <c r="Q11" s="288">
        <f t="shared" si="2"/>
        <v>-784401.74671918724</v>
      </c>
      <c r="R11" s="288">
        <f t="shared" si="2"/>
        <v>-801861.6812172177</v>
      </c>
      <c r="S11" s="288">
        <f t="shared" si="2"/>
        <v>-865541.8681715721</v>
      </c>
      <c r="T11" s="288">
        <f t="shared" si="2"/>
        <v>-926834.04811513808</v>
      </c>
      <c r="U11" s="288">
        <f t="shared" si="2"/>
        <v>-938952.77131082048</v>
      </c>
      <c r="V11" s="288">
        <f t="shared" si="2"/>
        <v>-950617.04238666466</v>
      </c>
      <c r="W11" s="288">
        <f t="shared" si="2"/>
        <v>-1008718.9032971647</v>
      </c>
      <c r="X11" s="288">
        <f t="shared" si="2"/>
        <v>-1064641.9444235209</v>
      </c>
    </row>
    <row r="12" spans="2:24" x14ac:dyDescent="0.25">
      <c r="B12" t="s">
        <v>245</v>
      </c>
      <c r="E12" s="288">
        <f>E8</f>
        <v>1250000</v>
      </c>
      <c r="F12" s="288">
        <f t="shared" ref="F12:K12" si="3">F8</f>
        <v>2500000</v>
      </c>
      <c r="G12" s="288">
        <f t="shared" si="3"/>
        <v>2500000</v>
      </c>
      <c r="H12" s="288">
        <f t="shared" si="3"/>
        <v>1250000</v>
      </c>
      <c r="I12" s="288">
        <f t="shared" si="3"/>
        <v>1250000</v>
      </c>
      <c r="J12" s="288">
        <f t="shared" si="3"/>
        <v>2500000</v>
      </c>
      <c r="K12" s="288">
        <f t="shared" si="3"/>
        <v>2500000</v>
      </c>
      <c r="L12" s="288">
        <f t="shared" ref="L12:X12" si="4">L8</f>
        <v>1250000</v>
      </c>
      <c r="M12" s="288">
        <f t="shared" si="4"/>
        <v>1250000</v>
      </c>
      <c r="N12" s="288">
        <f t="shared" si="4"/>
        <v>2500000</v>
      </c>
      <c r="O12" s="288">
        <f t="shared" si="4"/>
        <v>2500000</v>
      </c>
      <c r="P12" s="288">
        <f t="shared" si="4"/>
        <v>1250000</v>
      </c>
      <c r="Q12" s="288">
        <f t="shared" si="4"/>
        <v>1250000</v>
      </c>
      <c r="R12" s="288">
        <f t="shared" si="4"/>
        <v>2500000</v>
      </c>
      <c r="S12" s="288">
        <f t="shared" si="4"/>
        <v>2500000</v>
      </c>
      <c r="T12" s="288">
        <f t="shared" si="4"/>
        <v>1250000</v>
      </c>
      <c r="U12" s="288">
        <f t="shared" si="4"/>
        <v>1250000</v>
      </c>
      <c r="V12" s="288">
        <f t="shared" si="4"/>
        <v>2500000</v>
      </c>
      <c r="W12" s="288">
        <f t="shared" si="4"/>
        <v>2500000</v>
      </c>
      <c r="X12" s="288">
        <f t="shared" si="4"/>
        <v>1250000</v>
      </c>
    </row>
    <row r="13" spans="2:24" x14ac:dyDescent="0.25">
      <c r="B13" s="185" t="s">
        <v>246</v>
      </c>
      <c r="C13" s="185"/>
      <c r="D13" s="185"/>
      <c r="E13" s="290">
        <f t="shared" ref="E13:X13" si="5">SUM(E10:E12)</f>
        <v>5100000</v>
      </c>
      <c r="F13" s="290">
        <f t="shared" si="5"/>
        <v>7408750</v>
      </c>
      <c r="G13" s="290">
        <f t="shared" si="5"/>
        <v>9630921.875</v>
      </c>
      <c r="H13" s="290">
        <f t="shared" si="5"/>
        <v>10519762.3046875</v>
      </c>
      <c r="I13" s="290">
        <f t="shared" si="5"/>
        <v>11375271.218261719</v>
      </c>
      <c r="J13" s="290">
        <f t="shared" si="5"/>
        <v>13448698.547576904</v>
      </c>
      <c r="K13" s="290">
        <f t="shared" si="5"/>
        <v>15444372.35204277</v>
      </c>
      <c r="L13" s="290">
        <f t="shared" si="5"/>
        <v>16115208.388841167</v>
      </c>
      <c r="M13" s="290">
        <f t="shared" si="5"/>
        <v>16760888.074259624</v>
      </c>
      <c r="N13" s="290">
        <f t="shared" si="5"/>
        <v>18632354.77147489</v>
      </c>
      <c r="O13" s="290">
        <f t="shared" si="5"/>
        <v>20433641.467544582</v>
      </c>
      <c r="P13" s="290">
        <f t="shared" si="5"/>
        <v>20917379.912511662</v>
      </c>
      <c r="Q13" s="290">
        <f t="shared" si="5"/>
        <v>21382978.165792473</v>
      </c>
      <c r="R13" s="290">
        <f t="shared" si="5"/>
        <v>23081116.484575257</v>
      </c>
      <c r="S13" s="290">
        <f t="shared" si="5"/>
        <v>24715574.616403684</v>
      </c>
      <c r="T13" s="290">
        <f t="shared" si="5"/>
        <v>25038740.568288546</v>
      </c>
      <c r="U13" s="290">
        <f t="shared" si="5"/>
        <v>25349787.796977725</v>
      </c>
      <c r="V13" s="290">
        <f t="shared" si="5"/>
        <v>26899170.754591059</v>
      </c>
      <c r="W13" s="290">
        <f t="shared" si="5"/>
        <v>28390451.851293895</v>
      </c>
      <c r="X13" s="290">
        <f t="shared" si="5"/>
        <v>28575809.906870373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333-1FB1-4F60-8473-9D8C356D3957}">
  <sheetPr>
    <tabColor rgb="FF92D050"/>
  </sheetPr>
  <dimension ref="B1:AC28"/>
  <sheetViews>
    <sheetView zoomScale="85" zoomScaleNormal="85" workbookViewId="0">
      <selection activeCell="E5" sqref="E5"/>
    </sheetView>
  </sheetViews>
  <sheetFormatPr defaultRowHeight="15" x14ac:dyDescent="0.25"/>
  <cols>
    <col min="2" max="2" width="42.7109375" bestFit="1" customWidth="1"/>
    <col min="3" max="3" width="3.5703125" customWidth="1"/>
    <col min="4" max="11" width="11.28515625" bestFit="1" customWidth="1"/>
    <col min="12" max="12" width="12.42578125" bestFit="1" customWidth="1"/>
    <col min="13" max="13" width="11.28515625" bestFit="1" customWidth="1"/>
    <col min="14" max="23" width="12.28515625" bestFit="1" customWidth="1"/>
    <col min="25" max="29" width="12.28515625" bestFit="1" customWidth="1"/>
  </cols>
  <sheetData>
    <row r="1" spans="2:29" x14ac:dyDescent="0.25">
      <c r="D1" s="194">
        <v>1</v>
      </c>
      <c r="E1" s="194">
        <v>1</v>
      </c>
      <c r="F1" s="194">
        <v>1</v>
      </c>
      <c r="G1" s="194">
        <v>1</v>
      </c>
      <c r="H1" s="194">
        <f>D1+1</f>
        <v>2</v>
      </c>
      <c r="I1" s="194">
        <f t="shared" ref="I1:W1" si="0">E1+1</f>
        <v>2</v>
      </c>
      <c r="J1" s="194">
        <f t="shared" si="0"/>
        <v>2</v>
      </c>
      <c r="K1" s="194">
        <f t="shared" si="0"/>
        <v>2</v>
      </c>
      <c r="L1" s="194">
        <f t="shared" si="0"/>
        <v>3</v>
      </c>
      <c r="M1" s="194">
        <f t="shared" si="0"/>
        <v>3</v>
      </c>
      <c r="N1" s="194">
        <f t="shared" si="0"/>
        <v>3</v>
      </c>
      <c r="O1" s="194">
        <f t="shared" si="0"/>
        <v>3</v>
      </c>
      <c r="P1" s="194">
        <f t="shared" si="0"/>
        <v>4</v>
      </c>
      <c r="Q1" s="194">
        <f t="shared" si="0"/>
        <v>4</v>
      </c>
      <c r="R1" s="194">
        <f t="shared" si="0"/>
        <v>4</v>
      </c>
      <c r="S1" s="194">
        <f t="shared" si="0"/>
        <v>4</v>
      </c>
      <c r="T1" s="194">
        <f t="shared" si="0"/>
        <v>5</v>
      </c>
      <c r="U1" s="194">
        <f t="shared" si="0"/>
        <v>5</v>
      </c>
      <c r="V1" s="194">
        <f t="shared" si="0"/>
        <v>5</v>
      </c>
      <c r="W1" s="194">
        <f t="shared" si="0"/>
        <v>5</v>
      </c>
      <c r="Y1" s="194"/>
      <c r="Z1" s="194"/>
      <c r="AA1" s="194"/>
      <c r="AB1" s="194"/>
      <c r="AC1" s="194"/>
    </row>
    <row r="3" spans="2:29" x14ac:dyDescent="0.25">
      <c r="D3" s="199" t="s">
        <v>6</v>
      </c>
      <c r="E3" s="199"/>
      <c r="F3" s="199"/>
      <c r="G3" s="199"/>
      <c r="H3" s="199" t="s">
        <v>7</v>
      </c>
      <c r="I3" s="199"/>
      <c r="J3" s="199"/>
      <c r="K3" s="199"/>
      <c r="L3" s="199" t="s">
        <v>8</v>
      </c>
      <c r="M3" s="199"/>
      <c r="N3" s="199"/>
      <c r="O3" s="199"/>
      <c r="P3" s="199" t="s">
        <v>9</v>
      </c>
      <c r="Q3" s="199"/>
      <c r="R3" s="199"/>
      <c r="S3" s="199"/>
      <c r="T3" s="199" t="s">
        <v>10</v>
      </c>
      <c r="U3" s="199"/>
      <c r="V3" s="199"/>
      <c r="W3" s="199"/>
      <c r="Y3" s="199">
        <v>1</v>
      </c>
      <c r="Z3" s="199">
        <v>2</v>
      </c>
      <c r="AA3" s="199">
        <v>3</v>
      </c>
      <c r="AB3" s="199">
        <v>4</v>
      </c>
      <c r="AC3" s="199">
        <v>5</v>
      </c>
    </row>
    <row r="4" spans="2:29" x14ac:dyDescent="0.25">
      <c r="D4" s="200" t="s">
        <v>11</v>
      </c>
      <c r="E4" s="200" t="s">
        <v>12</v>
      </c>
      <c r="F4" s="200" t="s">
        <v>13</v>
      </c>
      <c r="G4" s="200" t="s">
        <v>14</v>
      </c>
      <c r="H4" s="200" t="s">
        <v>11</v>
      </c>
      <c r="I4" s="200" t="s">
        <v>12</v>
      </c>
      <c r="J4" s="200" t="s">
        <v>13</v>
      </c>
      <c r="K4" s="200" t="s">
        <v>14</v>
      </c>
      <c r="L4" s="200" t="s">
        <v>11</v>
      </c>
      <c r="M4" s="200" t="s">
        <v>12</v>
      </c>
      <c r="N4" s="200" t="s">
        <v>13</v>
      </c>
      <c r="O4" s="200" t="s">
        <v>14</v>
      </c>
      <c r="P4" s="200" t="s">
        <v>11</v>
      </c>
      <c r="Q4" s="200" t="s">
        <v>12</v>
      </c>
      <c r="R4" s="200" t="s">
        <v>13</v>
      </c>
      <c r="S4" s="200" t="s">
        <v>14</v>
      </c>
      <c r="T4" s="200" t="s">
        <v>11</v>
      </c>
      <c r="U4" s="200" t="s">
        <v>12</v>
      </c>
      <c r="V4" s="200" t="s">
        <v>13</v>
      </c>
      <c r="W4" s="200" t="s">
        <v>14</v>
      </c>
      <c r="Y4" s="200"/>
      <c r="Z4" s="200"/>
      <c r="AA4" s="200"/>
      <c r="AB4" s="200"/>
      <c r="AC4" s="200"/>
    </row>
    <row r="5" spans="2:29" x14ac:dyDescent="0.25">
      <c r="B5" s="164" t="s">
        <v>15</v>
      </c>
      <c r="D5" s="282">
        <f ca="1">'All Stores--&gt;&gt;'!G10</f>
        <v>3180373.5924999998</v>
      </c>
      <c r="E5" s="282">
        <f ca="1">'All Stores--&gt;&gt;'!H10</f>
        <v>3960012.3807806242</v>
      </c>
      <c r="F5" s="282">
        <f ca="1">'All Stores--&gt;&gt;'!I10</f>
        <v>4745493.9306850173</v>
      </c>
      <c r="G5" s="282">
        <f ca="1">'All Stores--&gt;&gt;'!J10</f>
        <v>5157034.6359620579</v>
      </c>
      <c r="H5" s="282">
        <f ca="1">'All Stores--&gt;&gt;'!K10</f>
        <v>5571657.5144891189</v>
      </c>
      <c r="I5" s="282">
        <f ca="1">'All Stores--&gt;&gt;'!L10</f>
        <v>6369213.2579666367</v>
      </c>
      <c r="J5" s="282">
        <f ca="1">'All Stores--&gt;&gt;'!M10</f>
        <v>7172746.439485536</v>
      </c>
      <c r="K5" s="282">
        <f ca="1">'All Stores--&gt;&gt;'!N10</f>
        <v>7602474.4676515525</v>
      </c>
      <c r="L5" s="282">
        <f ca="1">'All Stores--&gt;&gt;'!O10</f>
        <v>8035421.3828656441</v>
      </c>
      <c r="M5" s="282">
        <f ca="1">'All Stores--&gt;&gt;'!P10</f>
        <v>8851438.9070766401</v>
      </c>
      <c r="N5" s="282">
        <f ca="1">'All Stores--&gt;&gt;'!Q10</f>
        <v>9673572.6514072064</v>
      </c>
      <c r="O5" s="282">
        <f ca="1">'All Stores--&gt;&gt;'!R10</f>
        <v>10122041.070337133</v>
      </c>
      <c r="P5" s="282">
        <f ca="1">'All Stores--&gt;&gt;'!S10</f>
        <v>10573869.258043176</v>
      </c>
      <c r="Q5" s="282">
        <f ca="1">'All Stores--&gt;&gt;'!T10</f>
        <v>11408909.998211579</v>
      </c>
      <c r="R5" s="282">
        <f ca="1">'All Stores--&gt;&gt;'!U10</f>
        <v>12250209.97172437</v>
      </c>
      <c r="S5" s="282">
        <f ca="1">'All Stores--&gt;&gt;'!V10</f>
        <v>12717988.710903434</v>
      </c>
      <c r="T5" s="282">
        <f ca="1">'All Stores--&gt;&gt;'!W10</f>
        <v>13189272.395911612</v>
      </c>
      <c r="U5" s="282">
        <f ca="1">'All Stores--&gt;&gt;'!X10</f>
        <v>14043914.904626939</v>
      </c>
      <c r="V5" s="282">
        <f ca="1">'All Stores--&gt;&gt;'!Y10</f>
        <v>14904964.020391122</v>
      </c>
      <c r="W5" s="282">
        <f ca="1">'All Stores--&gt;&gt;'!Z10</f>
        <v>15392640.386316283</v>
      </c>
      <c r="Y5" s="282">
        <f ca="1">SUMIFS($D5:$W5,$D$1:$W$1,Y$3)</f>
        <v>17042914.539927699</v>
      </c>
      <c r="Z5" s="282">
        <f t="shared" ref="Z5:AC19" ca="1" si="1">SUMIFS($D5:$W5,$D$1:$W$1,Z$3)</f>
        <v>26716091.679592844</v>
      </c>
      <c r="AA5" s="282">
        <f t="shared" ca="1" si="1"/>
        <v>36682474.011686623</v>
      </c>
      <c r="AB5" s="282">
        <f t="shared" ca="1" si="1"/>
        <v>46950977.93888256</v>
      </c>
      <c r="AC5" s="282">
        <f t="shared" ca="1" si="1"/>
        <v>57530791.707245961</v>
      </c>
    </row>
    <row r="6" spans="2:29" x14ac:dyDescent="0.25">
      <c r="B6" s="310" t="str">
        <f>B5&amp;" as a % of Revenue"</f>
        <v>Revenue as a % of Revenue</v>
      </c>
      <c r="D6" s="281">
        <f ca="1">D5/D$5</f>
        <v>1</v>
      </c>
      <c r="E6" s="281">
        <f t="shared" ref="E6:W6" ca="1" si="2">E5/E$5</f>
        <v>1</v>
      </c>
      <c r="F6" s="281">
        <f t="shared" ca="1" si="2"/>
        <v>1</v>
      </c>
      <c r="G6" s="281">
        <f t="shared" ca="1" si="2"/>
        <v>1</v>
      </c>
      <c r="H6" s="281">
        <f t="shared" ca="1" si="2"/>
        <v>1</v>
      </c>
      <c r="I6" s="281">
        <f t="shared" ca="1" si="2"/>
        <v>1</v>
      </c>
      <c r="J6" s="281">
        <f t="shared" ca="1" si="2"/>
        <v>1</v>
      </c>
      <c r="K6" s="281">
        <f t="shared" ca="1" si="2"/>
        <v>1</v>
      </c>
      <c r="L6" s="281">
        <f t="shared" ca="1" si="2"/>
        <v>1</v>
      </c>
      <c r="M6" s="281">
        <f t="shared" ca="1" si="2"/>
        <v>1</v>
      </c>
      <c r="N6" s="281">
        <f t="shared" ca="1" si="2"/>
        <v>1</v>
      </c>
      <c r="O6" s="281">
        <f t="shared" ca="1" si="2"/>
        <v>1</v>
      </c>
      <c r="P6" s="281">
        <f t="shared" ca="1" si="2"/>
        <v>1</v>
      </c>
      <c r="Q6" s="281">
        <f t="shared" ca="1" si="2"/>
        <v>1</v>
      </c>
      <c r="R6" s="281">
        <f t="shared" ca="1" si="2"/>
        <v>1</v>
      </c>
      <c r="S6" s="281">
        <f t="shared" ca="1" si="2"/>
        <v>1</v>
      </c>
      <c r="T6" s="281">
        <f t="shared" ca="1" si="2"/>
        <v>1</v>
      </c>
      <c r="U6" s="281">
        <f t="shared" ca="1" si="2"/>
        <v>1</v>
      </c>
      <c r="V6" s="281">
        <f t="shared" ca="1" si="2"/>
        <v>1</v>
      </c>
      <c r="W6" s="281">
        <f t="shared" ca="1" si="2"/>
        <v>1</v>
      </c>
      <c r="Y6" s="281">
        <f t="shared" ref="Y6" ca="1" si="3">Y5/Y$5</f>
        <v>1</v>
      </c>
      <c r="Z6" s="281">
        <f t="shared" ref="Z6" ca="1" si="4">Z5/Z$5</f>
        <v>1</v>
      </c>
      <c r="AA6" s="281">
        <f t="shared" ref="AA6" ca="1" si="5">AA5/AA$5</f>
        <v>1</v>
      </c>
      <c r="AB6" s="281">
        <f t="shared" ref="AB6" ca="1" si="6">AB5/AB$5</f>
        <v>1</v>
      </c>
      <c r="AC6" s="281">
        <f t="shared" ref="AC6" ca="1" si="7">AC5/AC$5</f>
        <v>1</v>
      </c>
    </row>
    <row r="7" spans="2:29" x14ac:dyDescent="0.25">
      <c r="B7" s="164" t="s">
        <v>232</v>
      </c>
      <c r="D7" s="282">
        <f ca="1">'All Stores--&gt;&gt;'!G27</f>
        <v>922308.34182499989</v>
      </c>
      <c r="E7" s="282">
        <f ca="1">'All Stores--&gt;&gt;'!H27</f>
        <v>1148403.5904263812</v>
      </c>
      <c r="F7" s="282">
        <f ca="1">'All Stores--&gt;&gt;'!I27</f>
        <v>1376193.2398986551</v>
      </c>
      <c r="G7" s="282">
        <f ca="1">'All Stores--&gt;&gt;'!J27</f>
        <v>1495540.0444289967</v>
      </c>
      <c r="H7" s="282">
        <f ca="1">'All Stores--&gt;&gt;'!K27</f>
        <v>1615780.6792018444</v>
      </c>
      <c r="I7" s="282">
        <f ca="1">'All Stores--&gt;&gt;'!L27</f>
        <v>1847071.8448103247</v>
      </c>
      <c r="J7" s="282">
        <f ca="1">'All Stores--&gt;&gt;'!M27</f>
        <v>2080096.4674508055</v>
      </c>
      <c r="K7" s="282">
        <f ca="1">'All Stores--&gt;&gt;'!N27</f>
        <v>2204717.5956189502</v>
      </c>
      <c r="L7" s="282">
        <f ca="1">'All Stores--&gt;&gt;'!O27</f>
        <v>2330272.2010310367</v>
      </c>
      <c r="M7" s="282">
        <f ca="1">'All Stores--&gt;&gt;'!P27</f>
        <v>2566917.2830522256</v>
      </c>
      <c r="N7" s="282">
        <f ca="1">'All Stores--&gt;&gt;'!Q27</f>
        <v>2805336.0689080893</v>
      </c>
      <c r="O7" s="282">
        <f ca="1">'All Stores--&gt;&gt;'!R27</f>
        <v>2935391.910397768</v>
      </c>
      <c r="P7" s="282">
        <f ca="1">'All Stores--&gt;&gt;'!S27</f>
        <v>3066422.0848325212</v>
      </c>
      <c r="Q7" s="282">
        <f ca="1">'All Stores--&gt;&gt;'!T27</f>
        <v>3308583.899481358</v>
      </c>
      <c r="R7" s="282">
        <f ca="1">'All Stores--&gt;&gt;'!U27</f>
        <v>3552560.8918000665</v>
      </c>
      <c r="S7" s="282">
        <f ca="1">'All Stores--&gt;&gt;'!V27</f>
        <v>3688216.7261619959</v>
      </c>
      <c r="T7" s="282">
        <f ca="1">'All Stores--&gt;&gt;'!W27</f>
        <v>3824888.994814368</v>
      </c>
      <c r="U7" s="282">
        <f ca="1">'All Stores--&gt;&gt;'!X27</f>
        <v>4072735.3223418123</v>
      </c>
      <c r="V7" s="282">
        <f ca="1">'All Stores--&gt;&gt;'!Y27</f>
        <v>4322439.5659134239</v>
      </c>
      <c r="W7" s="282">
        <f ca="1">'All Stores--&gt;&gt;'!Z27</f>
        <v>4463865.7120317221</v>
      </c>
      <c r="Y7" s="282">
        <f t="shared" ref="Y7:AC27" ca="1" si="8">SUMIFS($D7:$W7,$D$1:$W$1,Y$3)</f>
        <v>4942445.2165790331</v>
      </c>
      <c r="Z7" s="282">
        <f t="shared" ca="1" si="1"/>
        <v>7747666.5870819241</v>
      </c>
      <c r="AA7" s="282">
        <f t="shared" ca="1" si="1"/>
        <v>10637917.463389119</v>
      </c>
      <c r="AB7" s="282">
        <f t="shared" ca="1" si="1"/>
        <v>13615783.602275942</v>
      </c>
      <c r="AC7" s="282">
        <f t="shared" ca="1" si="1"/>
        <v>16683929.595101327</v>
      </c>
    </row>
    <row r="8" spans="2:29" x14ac:dyDescent="0.25">
      <c r="B8" s="310" t="str">
        <f>B7&amp;" as a % of Revenue"</f>
        <v>Food &amp; Paper Costs as a % of Revenue</v>
      </c>
      <c r="D8" s="280">
        <f ca="1">D7/D$5</f>
        <v>0.28999999999999998</v>
      </c>
      <c r="E8" s="280">
        <f t="shared" ref="E8" ca="1" si="9">E7/E$5</f>
        <v>0.29000000000000004</v>
      </c>
      <c r="F8" s="280">
        <f t="shared" ref="F8" ca="1" si="10">F7/F$5</f>
        <v>0.29000000000000004</v>
      </c>
      <c r="G8" s="280">
        <f t="shared" ref="G8" ca="1" si="11">G7/G$5</f>
        <v>0.28999999999999998</v>
      </c>
      <c r="H8" s="280">
        <f t="shared" ref="H8" ca="1" si="12">H7/H$5</f>
        <v>0.28999999999999998</v>
      </c>
      <c r="I8" s="280">
        <f t="shared" ref="I8" ca="1" si="13">I7/I$5</f>
        <v>0.29000000000000004</v>
      </c>
      <c r="J8" s="280">
        <f t="shared" ref="J8" ca="1" si="14">J7/J$5</f>
        <v>0.28999999999999998</v>
      </c>
      <c r="K8" s="280">
        <f t="shared" ref="K8" ca="1" si="15">K7/K$5</f>
        <v>0.28999999999999998</v>
      </c>
      <c r="L8" s="280">
        <f t="shared" ref="L8" ca="1" si="16">L7/L$5</f>
        <v>0.28999999999999998</v>
      </c>
      <c r="M8" s="280">
        <f t="shared" ref="M8" ca="1" si="17">M7/M$5</f>
        <v>0.28999999999999998</v>
      </c>
      <c r="N8" s="280">
        <f t="shared" ref="N8" ca="1" si="18">N7/N$5</f>
        <v>0.28999999999999992</v>
      </c>
      <c r="O8" s="280">
        <f t="shared" ref="O8" ca="1" si="19">O7/O$5</f>
        <v>0.28999999999999992</v>
      </c>
      <c r="P8" s="280">
        <f t="shared" ref="P8" ca="1" si="20">P7/P$5</f>
        <v>0.29000000000000004</v>
      </c>
      <c r="Q8" s="280">
        <f t="shared" ref="Q8" ca="1" si="21">Q7/Q$5</f>
        <v>0.28999999999999998</v>
      </c>
      <c r="R8" s="280">
        <f t="shared" ref="R8" ca="1" si="22">R7/R$5</f>
        <v>0.28999999999999992</v>
      </c>
      <c r="S8" s="280">
        <f t="shared" ref="S8" ca="1" si="23">S7/S$5</f>
        <v>0.28999999999999998</v>
      </c>
      <c r="T8" s="280">
        <f t="shared" ref="T8" ca="1" si="24">T7/T$5</f>
        <v>0.29000000000000004</v>
      </c>
      <c r="U8" s="280">
        <f t="shared" ref="U8" ca="1" si="25">U7/U$5</f>
        <v>0.28999999999999998</v>
      </c>
      <c r="V8" s="280">
        <f t="shared" ref="V8" ca="1" si="26">V7/V$5</f>
        <v>0.28999999999999992</v>
      </c>
      <c r="W8" s="280">
        <f t="shared" ref="W8" ca="1" si="27">W7/W$5</f>
        <v>0.28999999999999998</v>
      </c>
      <c r="Y8" s="280">
        <f t="shared" ref="Y8" ca="1" si="28">Y7/Y$5</f>
        <v>0.29000000000000004</v>
      </c>
      <c r="Z8" s="280">
        <f t="shared" ref="Z8" ca="1" si="29">Z7/Z$5</f>
        <v>0.28999999999999998</v>
      </c>
      <c r="AA8" s="280">
        <f t="shared" ref="AA8" ca="1" si="30">AA7/AA$5</f>
        <v>0.28999999999999998</v>
      </c>
      <c r="AB8" s="280">
        <f t="shared" ref="AB8" ca="1" si="31">AB7/AB$5</f>
        <v>0.28999999999999998</v>
      </c>
      <c r="AC8" s="280">
        <f t="shared" ref="AC8" ca="1" si="32">AC7/AC$5</f>
        <v>0.28999999999999998</v>
      </c>
    </row>
    <row r="9" spans="2:29" x14ac:dyDescent="0.25">
      <c r="B9" s="164" t="s">
        <v>233</v>
      </c>
      <c r="D9" s="282">
        <f ca="1">'All Stores--&gt;&gt;'!G23</f>
        <v>931965.30991162499</v>
      </c>
      <c r="E9" s="282">
        <f ca="1">'All Stores--&gt;&gt;'!H23</f>
        <v>1248780.4393272838</v>
      </c>
      <c r="F9" s="282">
        <f ca="1">'All Stores--&gt;&gt;'!I23</f>
        <v>1567884.13721713</v>
      </c>
      <c r="G9" s="282">
        <f ca="1">'All Stores--&gt;&gt;'!J23</f>
        <v>1733823.6175115108</v>
      </c>
      <c r="H9" s="282">
        <f ca="1">'All Stores--&gt;&gt;'!K23</f>
        <v>1900963.2538775648</v>
      </c>
      <c r="I9" s="282">
        <f ca="1">'All Stores--&gt;&gt;'!L23</f>
        <v>2224782.0280529275</v>
      </c>
      <c r="J9" s="282">
        <f ca="1">'All Stores--&gt;&gt;'!M23</f>
        <v>2550941.9590419712</v>
      </c>
      <c r="K9" s="282">
        <f ca="1">'All Stores--&gt;&gt;'!N23</f>
        <v>2723990.6562660593</v>
      </c>
      <c r="L9" s="282">
        <f ca="1">'All Stores--&gt;&gt;'!O23</f>
        <v>2898292.8918624506</v>
      </c>
      <c r="M9" s="282">
        <f ca="1">'All Stores--&gt;&gt;'!P23</f>
        <v>3229328.049040495</v>
      </c>
      <c r="N9" s="282">
        <f ca="1">'All Stores--&gt;&gt;'!Q23</f>
        <v>3562758.551300521</v>
      </c>
      <c r="O9" s="282">
        <f ca="1">'All Stores--&gt;&gt;'!R23</f>
        <v>3743132.4156069197</v>
      </c>
      <c r="P9" s="282">
        <f ca="1">'All Stores--&gt;&gt;'!S23</f>
        <v>3924814.8247100422</v>
      </c>
      <c r="Q9" s="282">
        <f ca="1">'All Stores--&gt;&gt;'!T23</f>
        <v>4263285.5755255679</v>
      </c>
      <c r="R9" s="282">
        <f ca="1">'All Stores--&gt;&gt;'!U23</f>
        <v>4604207.5083767399</v>
      </c>
      <c r="S9" s="282">
        <f ca="1">'All Stores--&gt;&gt;'!V23</f>
        <v>4792129.0601909691</v>
      </c>
      <c r="T9" s="282">
        <f ca="1">'All Stores--&gt;&gt;'!W23</f>
        <v>4981415.8368454352</v>
      </c>
      <c r="U9" s="282">
        <f ca="1">'All Stores--&gt;&gt;'!X23</f>
        <v>5327548.0615703361</v>
      </c>
      <c r="V9" s="282">
        <f ca="1">'All Stores--&gt;&gt;'!Y23</f>
        <v>5676189.0042151818</v>
      </c>
      <c r="W9" s="282">
        <f ca="1">'All Stores--&gt;&gt;'!Z23</f>
        <v>5871887.5344696399</v>
      </c>
      <c r="Y9" s="282">
        <f t="shared" ca="1" si="8"/>
        <v>5482453.5039675497</v>
      </c>
      <c r="Z9" s="282">
        <f t="shared" ca="1" si="1"/>
        <v>9400677.8972385228</v>
      </c>
      <c r="AA9" s="282">
        <f t="shared" ca="1" si="1"/>
        <v>13433511.907810386</v>
      </c>
      <c r="AB9" s="282">
        <f t="shared" ca="1" si="1"/>
        <v>17584436.96880332</v>
      </c>
      <c r="AC9" s="282">
        <f t="shared" ca="1" si="1"/>
        <v>21857040.437100589</v>
      </c>
    </row>
    <row r="10" spans="2:29" x14ac:dyDescent="0.25">
      <c r="B10" s="310" t="str">
        <f>B9&amp;" as a % of Revenue"</f>
        <v>Labor &amp; Benefits as a % of Revenue</v>
      </c>
      <c r="D10" s="280">
        <f ca="1">D9/D$5</f>
        <v>0.29303642569206279</v>
      </c>
      <c r="E10" s="280">
        <f t="shared" ref="E10" ca="1" si="33">E9/E$5</f>
        <v>0.3153476098681075</v>
      </c>
      <c r="F10" s="280">
        <f t="shared" ref="F10" ca="1" si="34">F9/F$5</f>
        <v>0.33039429827925293</v>
      </c>
      <c r="G10" s="280">
        <f t="shared" ref="G10" ca="1" si="35">G9/G$5</f>
        <v>0.33620554056799767</v>
      </c>
      <c r="H10" s="280">
        <f t="shared" ref="H10" ca="1" si="36">H9/H$5</f>
        <v>0.34118451267582434</v>
      </c>
      <c r="I10" s="280">
        <f t="shared" ref="I10" ca="1" si="37">I9/I$5</f>
        <v>0.34930248649943718</v>
      </c>
      <c r="J10" s="280">
        <f t="shared" ref="J10" ca="1" si="38">J9/J$5</f>
        <v>0.35564368273206898</v>
      </c>
      <c r="K10" s="280">
        <f t="shared" ref="K10" ca="1" si="39">K9/K$5</f>
        <v>0.35830316403647394</v>
      </c>
      <c r="L10" s="280">
        <f t="shared" ref="L10" ca="1" si="40">L9/L$5</f>
        <v>0.36068959594858768</v>
      </c>
      <c r="M10" s="280">
        <f t="shared" ref="M10" ca="1" si="41">M9/M$5</f>
        <v>0.3648365065773293</v>
      </c>
      <c r="N10" s="280">
        <f t="shared" ref="N10" ca="1" si="42">N9/N$5</f>
        <v>0.36829811277452384</v>
      </c>
      <c r="O10" s="280">
        <f t="shared" ref="O10" ca="1" si="43">O9/O$5</f>
        <v>0.3698001608169969</v>
      </c>
      <c r="P10" s="280">
        <f t="shared" ref="P10" ca="1" si="44">P9/P$5</f>
        <v>0.37118057060565335</v>
      </c>
      <c r="Q10" s="280">
        <f t="shared" ref="Q10" ca="1" si="45">Q9/Q$5</f>
        <v>0.37368035826331047</v>
      </c>
      <c r="R10" s="280">
        <f t="shared" ref="R10" ca="1" si="46">R9/R$5</f>
        <v>0.37584723192533492</v>
      </c>
      <c r="S10" s="280">
        <f t="shared" ref="S10" ca="1" si="47">S9/S$5</f>
        <v>0.37679928557277009</v>
      </c>
      <c r="T10" s="280">
        <f t="shared" ref="T10" ca="1" si="48">T9/T$5</f>
        <v>0.37768693278255183</v>
      </c>
      <c r="U10" s="280">
        <f t="shared" ref="U10" ca="1" si="49">U9/U$5</f>
        <v>0.37934921264832716</v>
      </c>
      <c r="V10" s="280">
        <f t="shared" ref="V10" ca="1" si="50">V9/V$5</f>
        <v>0.3808254079949287</v>
      </c>
      <c r="W10" s="280">
        <f t="shared" ref="W10" ca="1" si="51">W9/W$5</f>
        <v>0.38147370347777487</v>
      </c>
      <c r="Y10" s="280">
        <f t="shared" ref="Y10" ca="1" si="52">Y9/Y$5</f>
        <v>0.32168520772215337</v>
      </c>
      <c r="Z10" s="280">
        <f t="shared" ref="Z10" ca="1" si="53">Z9/Z$5</f>
        <v>0.35187324590667035</v>
      </c>
      <c r="AA10" s="280">
        <f t="shared" ref="AA10" ca="1" si="54">AA9/AA$5</f>
        <v>0.36621062972826263</v>
      </c>
      <c r="AB10" s="280">
        <f t="shared" ref="AB10" ca="1" si="55">AB9/AB$5</f>
        <v>0.37452759752296294</v>
      </c>
      <c r="AC10" s="280">
        <f t="shared" ref="AC10" ca="1" si="56">AC9/AC$5</f>
        <v>0.37991899274258922</v>
      </c>
    </row>
    <row r="11" spans="2:29" x14ac:dyDescent="0.25">
      <c r="B11" s="164" t="s">
        <v>234</v>
      </c>
      <c r="D11" s="282">
        <f ca="1">'All Stores--&gt;&gt;'!G34</f>
        <v>282075.69088499999</v>
      </c>
      <c r="E11" s="282">
        <f ca="1">'All Stores--&gt;&gt;'!H34</f>
        <v>364320.51999278623</v>
      </c>
      <c r="F11" s="282">
        <f ca="1">'All Stores--&gt;&gt;'!I34</f>
        <v>446810.74508877075</v>
      </c>
      <c r="G11" s="282">
        <f ca="1">'All Stores--&gt;&gt;'!J34</f>
        <v>488845.45471040648</v>
      </c>
      <c r="H11" s="282">
        <f ca="1">'All Stores--&gt;&gt;'!K34</f>
        <v>531009.61560854304</v>
      </c>
      <c r="I11" s="282">
        <f ca="1">'All Stores--&gt;&gt;'!L34</f>
        <v>614006.95683459868</v>
      </c>
      <c r="J11" s="282">
        <f ca="1">'All Stores--&gt;&gt;'!M34</f>
        <v>697255.35045839252</v>
      </c>
      <c r="K11" s="282">
        <f ca="1">'All Stores--&gt;&gt;'!N34</f>
        <v>740053.92764136521</v>
      </c>
      <c r="L11" s="282">
        <f ca="1">'All Stores--&gt;&gt;'!O34</f>
        <v>782987.69808035716</v>
      </c>
      <c r="M11" s="282">
        <f ca="1">'All Stores--&gt;&gt;'!P34</f>
        <v>866760.43409721891</v>
      </c>
      <c r="N11" s="282">
        <f ca="1">'All Stores--&gt;&gt;'!Q34</f>
        <v>950790.05135910271</v>
      </c>
      <c r="O11" s="282">
        <f ca="1">'All Stores--&gt;&gt;'!R34</f>
        <v>994375.7249541597</v>
      </c>
      <c r="P11" s="282">
        <f ca="1">'All Stores--&gt;&gt;'!S34</f>
        <v>1038102.5088378135</v>
      </c>
      <c r="Q11" s="282">
        <f ca="1">'All Stores--&gt;&gt;'!T34</f>
        <v>1122674.2199248862</v>
      </c>
      <c r="R11" s="282">
        <f ca="1">'All Stores--&gt;&gt;'!U34</f>
        <v>1207508.8188124236</v>
      </c>
      <c r="S11" s="282">
        <f ca="1">'All Stores--&gt;&gt;'!V34</f>
        <v>1251905.5258579443</v>
      </c>
      <c r="T11" s="282">
        <f ca="1">'All Stores--&gt;&gt;'!W34</f>
        <v>1296449.4406282876</v>
      </c>
      <c r="U11" s="282">
        <f ca="1">'All Stores--&gt;&gt;'!X34</f>
        <v>1381844.4259943315</v>
      </c>
      <c r="V11" s="282">
        <f ca="1">'All Stores--&gt;&gt;'!Y34</f>
        <v>1467508.4888564269</v>
      </c>
      <c r="W11" s="282">
        <f ca="1">'All Stores--&gt;&gt;'!Z34</f>
        <v>1512740.8962252839</v>
      </c>
      <c r="Y11" s="282">
        <f t="shared" ca="1" si="8"/>
        <v>1582052.4106769634</v>
      </c>
      <c r="Z11" s="282">
        <f t="shared" ca="1" si="1"/>
        <v>2582325.8505428992</v>
      </c>
      <c r="AA11" s="282">
        <f t="shared" ca="1" si="1"/>
        <v>3594913.9084908385</v>
      </c>
      <c r="AB11" s="282">
        <f t="shared" ca="1" si="1"/>
        <v>4620191.0734330676</v>
      </c>
      <c r="AC11" s="282">
        <f t="shared" ca="1" si="1"/>
        <v>5658543.2517043296</v>
      </c>
    </row>
    <row r="12" spans="2:29" x14ac:dyDescent="0.25">
      <c r="B12" s="310" t="str">
        <f>B11&amp;" as a % of Revenue"</f>
        <v>Other Operating Expenses as a % of Revenue</v>
      </c>
      <c r="D12" s="280">
        <f ca="1">D11/D$5</f>
        <v>8.86926276680811E-2</v>
      </c>
      <c r="E12" s="280">
        <f t="shared" ref="E12" ca="1" si="57">E11/E$5</f>
        <v>9.1999843677501053E-2</v>
      </c>
      <c r="F12" s="280">
        <f t="shared" ref="F12" ca="1" si="58">F11/F$5</f>
        <v>9.4154739551900166E-2</v>
      </c>
      <c r="G12" s="280">
        <f t="shared" ref="G12" ca="1" si="59">G11/G$5</f>
        <v>9.4791966550213241E-2</v>
      </c>
      <c r="H12" s="280">
        <f t="shared" ref="H12" ca="1" si="60">H11/H$5</f>
        <v>9.5305501859662106E-2</v>
      </c>
      <c r="I12" s="280">
        <f t="shared" ref="I12" ca="1" si="61">I11/I$5</f>
        <v>9.6402323484238245E-2</v>
      </c>
      <c r="J12" s="280">
        <f t="shared" ref="J12" ca="1" si="62">J11/J$5</f>
        <v>9.7208977947421074E-2</v>
      </c>
      <c r="K12" s="280">
        <f t="shared" ref="K12" ca="1" si="63">K11/K$5</f>
        <v>9.7343822829038987E-2</v>
      </c>
      <c r="L12" s="280">
        <f t="shared" ref="L12" ca="1" si="64">L11/L$5</f>
        <v>9.7442020868994311E-2</v>
      </c>
      <c r="M12" s="280">
        <f t="shared" ref="M12" ca="1" si="65">M11/M$5</f>
        <v>9.7923110942363542E-2</v>
      </c>
      <c r="N12" s="280">
        <f t="shared" ref="N12" ca="1" si="66">N11/N$5</f>
        <v>9.8287373819515592E-2</v>
      </c>
      <c r="O12" s="280">
        <f t="shared" ref="O12" ca="1" si="67">O11/O$5</f>
        <v>9.823865740558986E-2</v>
      </c>
      <c r="P12" s="280">
        <f t="shared" ref="P12" ca="1" si="68">P11/P$5</f>
        <v>9.817621946177979E-2</v>
      </c>
      <c r="Q12" s="280">
        <f t="shared" ref="Q12" ca="1" si="69">Q11/Q$5</f>
        <v>9.8403284809931241E-2</v>
      </c>
      <c r="R12" s="280">
        <f t="shared" ref="R12" ca="1" si="70">R11/R$5</f>
        <v>9.857045892270952E-2</v>
      </c>
      <c r="S12" s="280">
        <f t="shared" ref="S12" ca="1" si="71">S11/S$5</f>
        <v>9.8435810434762835E-2</v>
      </c>
      <c r="T12" s="280">
        <f t="shared" ref="T12" ca="1" si="72">T11/T$5</f>
        <v>9.8295751404009132E-2</v>
      </c>
      <c r="U12" s="280">
        <f t="shared" ref="U12" ca="1" si="73">U11/U$5</f>
        <v>9.8394531395164311E-2</v>
      </c>
      <c r="V12" s="280">
        <f t="shared" ref="V12" ca="1" si="74">V11/V$5</f>
        <v>9.8457700860516265E-2</v>
      </c>
      <c r="W12" s="280">
        <f t="shared" ref="W12" ca="1" si="75">W11/W$5</f>
        <v>9.827689455865396E-2</v>
      </c>
      <c r="Y12" s="280">
        <f t="shared" ref="Y12" ca="1" si="76">Y11/Y$5</f>
        <v>9.2827574002707816E-2</v>
      </c>
      <c r="Z12" s="280">
        <f t="shared" ref="Z12" ca="1" si="77">Z11/Z$5</f>
        <v>9.6658069657524631E-2</v>
      </c>
      <c r="AA12" s="280">
        <f t="shared" ref="AA12" ca="1" si="78">AA11/AA$5</f>
        <v>9.8000857503382666E-2</v>
      </c>
      <c r="AB12" s="280">
        <f t="shared" ref="AB12" ca="1" si="79">AB11/AB$5</f>
        <v>9.8404575926987148E-2</v>
      </c>
      <c r="AC12" s="280">
        <f t="shared" ref="AC12" ca="1" si="80">AC11/AC$5</f>
        <v>9.8356777019490249E-2</v>
      </c>
    </row>
    <row r="13" spans="2:29" x14ac:dyDescent="0.25">
      <c r="B13" s="164" t="s">
        <v>235</v>
      </c>
      <c r="D13" s="282">
        <f>'All Stores--&gt;&gt;'!G38</f>
        <v>195000</v>
      </c>
      <c r="E13" s="282">
        <f ca="1">'All Stores--&gt;&gt;'!H38</f>
        <v>260000</v>
      </c>
      <c r="F13" s="282">
        <f ca="1">'All Stores--&gt;&gt;'!I38</f>
        <v>325000</v>
      </c>
      <c r="G13" s="282">
        <f ca="1">'All Stores--&gt;&gt;'!J38</f>
        <v>357500</v>
      </c>
      <c r="H13" s="282">
        <f ca="1">'All Stores--&gt;&gt;'!K38</f>
        <v>390000</v>
      </c>
      <c r="I13" s="282">
        <f ca="1">'All Stores--&gt;&gt;'!L38</f>
        <v>455000</v>
      </c>
      <c r="J13" s="282">
        <f ca="1">'All Stores--&gt;&gt;'!M38</f>
        <v>520000</v>
      </c>
      <c r="K13" s="282">
        <f ca="1">'All Stores--&gt;&gt;'!N38</f>
        <v>552500</v>
      </c>
      <c r="L13" s="282">
        <f ca="1">'All Stores--&gt;&gt;'!O38</f>
        <v>585000</v>
      </c>
      <c r="M13" s="282">
        <f ca="1">'All Stores--&gt;&gt;'!P38</f>
        <v>650000</v>
      </c>
      <c r="N13" s="282">
        <f ca="1">'All Stores--&gt;&gt;'!Q38</f>
        <v>715000</v>
      </c>
      <c r="O13" s="282">
        <f ca="1">'All Stores--&gt;&gt;'!R38</f>
        <v>747500</v>
      </c>
      <c r="P13" s="282">
        <f ca="1">'All Stores--&gt;&gt;'!S38</f>
        <v>780000</v>
      </c>
      <c r="Q13" s="282">
        <f ca="1">'All Stores--&gt;&gt;'!T38</f>
        <v>845000</v>
      </c>
      <c r="R13" s="282">
        <f ca="1">'All Stores--&gt;&gt;'!U38</f>
        <v>910000</v>
      </c>
      <c r="S13" s="282">
        <f ca="1">'All Stores--&gt;&gt;'!V38</f>
        <v>942500</v>
      </c>
      <c r="T13" s="282">
        <f ca="1">'All Stores--&gt;&gt;'!W38</f>
        <v>975000</v>
      </c>
      <c r="U13" s="282">
        <f ca="1">'All Stores--&gt;&gt;'!X38</f>
        <v>1040000</v>
      </c>
      <c r="V13" s="282">
        <f ca="1">'All Stores--&gt;&gt;'!Y38</f>
        <v>1105000</v>
      </c>
      <c r="W13" s="282">
        <f ca="1">'All Stores--&gt;&gt;'!Z38</f>
        <v>1137500</v>
      </c>
      <c r="Y13" s="282">
        <f t="shared" ca="1" si="8"/>
        <v>1137500</v>
      </c>
      <c r="Z13" s="282">
        <f t="shared" ca="1" si="1"/>
        <v>1917500</v>
      </c>
      <c r="AA13" s="282">
        <f t="shared" ca="1" si="1"/>
        <v>2697500</v>
      </c>
      <c r="AB13" s="282">
        <f t="shared" ca="1" si="1"/>
        <v>3477500</v>
      </c>
      <c r="AC13" s="282">
        <f t="shared" ca="1" si="1"/>
        <v>4257500</v>
      </c>
    </row>
    <row r="14" spans="2:29" x14ac:dyDescent="0.25">
      <c r="B14" s="310" t="str">
        <f>B13&amp;" as a % of Revenue"</f>
        <v>Occupancy Costs as a % of Revenue</v>
      </c>
      <c r="D14" s="280">
        <f ca="1">D13/D$5</f>
        <v>6.1313551483338828E-2</v>
      </c>
      <c r="E14" s="280">
        <f t="shared" ref="E14" ca="1" si="81">E13/E$5</f>
        <v>6.5656360384597351E-2</v>
      </c>
      <c r="F14" s="280">
        <f t="shared" ref="F14" ca="1" si="82">F13/F$5</f>
        <v>6.8486021633808278E-2</v>
      </c>
      <c r="G14" s="280">
        <f t="shared" ref="G14" ca="1" si="83">G13/G$5</f>
        <v>6.9322784358865852E-2</v>
      </c>
      <c r="H14" s="280">
        <f t="shared" ref="H14" ca="1" si="84">H13/H$5</f>
        <v>6.9997123654101739E-2</v>
      </c>
      <c r="I14" s="280">
        <f t="shared" ref="I14" ca="1" si="85">I13/I$5</f>
        <v>7.143739447425225E-2</v>
      </c>
      <c r="J14" s="280">
        <f t="shared" ref="J14" ca="1" si="86">J13/J$5</f>
        <v>7.249663770873474E-2</v>
      </c>
      <c r="K14" s="280">
        <f t="shared" ref="K14" ca="1" si="87">K13/K$5</f>
        <v>7.267370674520271E-2</v>
      </c>
      <c r="L14" s="280">
        <f t="shared" ref="L14" ca="1" si="88">L13/L$5</f>
        <v>7.2802653666356146E-2</v>
      </c>
      <c r="M14" s="280">
        <f t="shared" ref="M14" ca="1" si="89">M13/M$5</f>
        <v>7.3434388106133938E-2</v>
      </c>
      <c r="N14" s="280">
        <f t="shared" ref="N14" ca="1" si="90">N13/N$5</f>
        <v>7.3912713096333599E-2</v>
      </c>
      <c r="O14" s="280">
        <f t="shared" ref="O14" ca="1" si="91">O13/O$5</f>
        <v>7.3848742047744248E-2</v>
      </c>
      <c r="P14" s="280">
        <f t="shared" ref="P14" ca="1" si="92">P13/P$5</f>
        <v>7.3766752828599721E-2</v>
      </c>
      <c r="Q14" s="280">
        <f t="shared" ref="Q14" ca="1" si="93">Q13/Q$5</f>
        <v>7.406491944738447E-2</v>
      </c>
      <c r="R14" s="280">
        <f t="shared" ref="R14" ca="1" si="94">R13/R$5</f>
        <v>7.4284441009618563E-2</v>
      </c>
      <c r="S14" s="280">
        <f t="shared" ref="S14" ca="1" si="95">S13/S$5</f>
        <v>7.4107629863829988E-2</v>
      </c>
      <c r="T14" s="280">
        <f t="shared" ref="T14" ca="1" si="96">T13/T$5</f>
        <v>7.3923713964860471E-2</v>
      </c>
      <c r="U14" s="280">
        <f t="shared" ref="U14" ca="1" si="97">U13/U$5</f>
        <v>7.4053425064357178E-2</v>
      </c>
      <c r="V14" s="280">
        <f t="shared" ref="V14" ca="1" si="98">V13/V$5</f>
        <v>7.4136374867344604E-2</v>
      </c>
      <c r="W14" s="280">
        <f t="shared" ref="W14" ca="1" si="99">W13/W$5</f>
        <v>7.3898952450757727E-2</v>
      </c>
      <c r="Y14" s="280">
        <f t="shared" ref="Y14" ca="1" si="100">Y13/Y$5</f>
        <v>6.6743278993454697E-2</v>
      </c>
      <c r="Z14" s="280">
        <f t="shared" ref="Z14" ca="1" si="101">Z13/Z$5</f>
        <v>7.1773222782608101E-2</v>
      </c>
      <c r="AA14" s="280">
        <f t="shared" ref="AA14" ca="1" si="102">AA13/AA$5</f>
        <v>7.3536479549896408E-2</v>
      </c>
      <c r="AB14" s="280">
        <f t="shared" ref="AB14" ca="1" si="103">AB13/AB$5</f>
        <v>7.4066614853619497E-2</v>
      </c>
      <c r="AC14" s="280">
        <f t="shared" ref="AC14" ca="1" si="104">AC13/AC$5</f>
        <v>7.4003848611451858E-2</v>
      </c>
    </row>
    <row r="15" spans="2:29" x14ac:dyDescent="0.25">
      <c r="B15" s="164" t="s">
        <v>236</v>
      </c>
      <c r="D15" s="284">
        <f ca="1">D5-D7-D9-D11-D13</f>
        <v>849024.24987837486</v>
      </c>
      <c r="E15" s="284">
        <f t="shared" ref="E15:W15" ca="1" si="105">E5-E7-E9-E11-E13</f>
        <v>938507.83103417302</v>
      </c>
      <c r="F15" s="284">
        <f t="shared" ca="1" si="105"/>
        <v>1029605.8084804614</v>
      </c>
      <c r="G15" s="284">
        <f t="shared" ca="1" si="105"/>
        <v>1081325.5193111438</v>
      </c>
      <c r="H15" s="284">
        <f t="shared" ca="1" si="105"/>
        <v>1133903.9658011668</v>
      </c>
      <c r="I15" s="284">
        <f t="shared" ca="1" si="105"/>
        <v>1228352.4282687858</v>
      </c>
      <c r="J15" s="284">
        <f t="shared" ca="1" si="105"/>
        <v>1324452.6625343664</v>
      </c>
      <c r="K15" s="284">
        <f t="shared" ca="1" si="105"/>
        <v>1381212.2881251778</v>
      </c>
      <c r="L15" s="284">
        <f t="shared" ca="1" si="105"/>
        <v>1438868.5918917996</v>
      </c>
      <c r="M15" s="284">
        <f t="shared" ca="1" si="105"/>
        <v>1538433.1408867007</v>
      </c>
      <c r="N15" s="284">
        <f t="shared" ca="1" si="105"/>
        <v>1639687.9798394931</v>
      </c>
      <c r="O15" s="284">
        <f t="shared" ca="1" si="105"/>
        <v>1701641.0193782859</v>
      </c>
      <c r="P15" s="284">
        <f t="shared" ca="1" si="105"/>
        <v>1764529.8396627987</v>
      </c>
      <c r="Q15" s="284">
        <f t="shared" ca="1" si="105"/>
        <v>1869366.3032797673</v>
      </c>
      <c r="R15" s="284">
        <f t="shared" ca="1" si="105"/>
        <v>1975932.7527351407</v>
      </c>
      <c r="S15" s="284">
        <f t="shared" ca="1" si="105"/>
        <v>2043237.398692525</v>
      </c>
      <c r="T15" s="284">
        <f t="shared" ca="1" si="105"/>
        <v>2111518.1236235211</v>
      </c>
      <c r="U15" s="284">
        <f t="shared" ca="1" si="105"/>
        <v>2221787.0947204591</v>
      </c>
      <c r="V15" s="284">
        <f t="shared" ca="1" si="105"/>
        <v>2333826.9614060889</v>
      </c>
      <c r="W15" s="284">
        <f t="shared" ca="1" si="105"/>
        <v>2406646.2435896369</v>
      </c>
      <c r="Y15" s="284">
        <f t="shared" ca="1" si="8"/>
        <v>3898463.4087041533</v>
      </c>
      <c r="Z15" s="284">
        <f t="shared" ca="1" si="1"/>
        <v>5067921.3447294971</v>
      </c>
      <c r="AA15" s="284">
        <f t="shared" ca="1" si="1"/>
        <v>6318630.7319962792</v>
      </c>
      <c r="AB15" s="284">
        <f t="shared" ca="1" si="1"/>
        <v>7653066.2943702312</v>
      </c>
      <c r="AC15" s="284">
        <f t="shared" ca="1" si="1"/>
        <v>9073778.4233397059</v>
      </c>
    </row>
    <row r="16" spans="2:29" x14ac:dyDescent="0.25">
      <c r="B16" s="310" t="str">
        <f>B15&amp;" as a % of Revenue"</f>
        <v>SLEBITDA as a % of Revenue</v>
      </c>
      <c r="D16" s="280">
        <f ca="1">D15/D$5</f>
        <v>0.26695739515651729</v>
      </c>
      <c r="E16" s="280">
        <f t="shared" ref="E16" ca="1" si="106">E15/E$5</f>
        <v>0.23699618606979406</v>
      </c>
      <c r="F16" s="280">
        <f t="shared" ref="F16" ca="1" si="107">F15/F$5</f>
        <v>0.21696494053503859</v>
      </c>
      <c r="G16" s="280">
        <f t="shared" ref="G16" ca="1" si="108">G15/G$5</f>
        <v>0.20967970852292322</v>
      </c>
      <c r="H16" s="280">
        <f t="shared" ref="H16" ca="1" si="109">H15/H$5</f>
        <v>0.20351286181041187</v>
      </c>
      <c r="I16" s="280">
        <f t="shared" ref="I16" ca="1" si="110">I15/I$5</f>
        <v>0.1928577955420723</v>
      </c>
      <c r="J16" s="280">
        <f t="shared" ref="J16" ca="1" si="111">J15/J$5</f>
        <v>0.18465070161177516</v>
      </c>
      <c r="K16" s="280">
        <f t="shared" ref="K16" ca="1" si="112">K15/K$5</f>
        <v>0.18167930638928434</v>
      </c>
      <c r="L16" s="280">
        <f t="shared" ref="L16" ca="1" si="113">L15/L$5</f>
        <v>0.17906572951606192</v>
      </c>
      <c r="M16" s="280">
        <f t="shared" ref="M16" ca="1" si="114">M15/M$5</f>
        <v>0.17380599437417324</v>
      </c>
      <c r="N16" s="280">
        <f t="shared" ref="N16" ca="1" si="115">N15/N$5</f>
        <v>0.16950180030962697</v>
      </c>
      <c r="O16" s="280">
        <f t="shared" ref="O16" ca="1" si="116">O15/O$5</f>
        <v>0.16811243972966902</v>
      </c>
      <c r="P16" s="280">
        <f t="shared" ref="P16" ca="1" si="117">P15/P$5</f>
        <v>0.16687645710396712</v>
      </c>
      <c r="Q16" s="280">
        <f t="shared" ref="Q16" ca="1" si="118">Q15/Q$5</f>
        <v>0.16385143747937381</v>
      </c>
      <c r="R16" s="280">
        <f t="shared" ref="R16" ca="1" si="119">R15/R$5</f>
        <v>0.1612978681423371</v>
      </c>
      <c r="S16" s="280">
        <f t="shared" ref="S16" ca="1" si="120">S15/S$5</f>
        <v>0.16065727412863709</v>
      </c>
      <c r="T16" s="280">
        <f t="shared" ref="T16" ca="1" si="121">T15/T$5</f>
        <v>0.16009360184857854</v>
      </c>
      <c r="U16" s="280">
        <f t="shared" ref="U16" ca="1" si="122">U15/U$5</f>
        <v>0.15820283089215131</v>
      </c>
      <c r="V16" s="280">
        <f t="shared" ref="V16" ca="1" si="123">V15/V$5</f>
        <v>0.15658051627721051</v>
      </c>
      <c r="W16" s="280">
        <f t="shared" ref="W16" ca="1" si="124">W15/W$5</f>
        <v>0.15635044951281343</v>
      </c>
      <c r="Y16" s="280">
        <f t="shared" ref="Y16" ca="1" si="125">Y15/Y$5</f>
        <v>0.22874393928168413</v>
      </c>
      <c r="Z16" s="280">
        <f t="shared" ref="Z16" ca="1" si="126">Z15/Z$5</f>
        <v>0.1896954616531969</v>
      </c>
      <c r="AA16" s="280">
        <f t="shared" ref="AA16" ca="1" si="127">AA15/AA$5</f>
        <v>0.17225203321845833</v>
      </c>
      <c r="AB16" s="280">
        <f t="shared" ref="AB16" ca="1" si="128">AB15/AB$5</f>
        <v>0.16300121169643045</v>
      </c>
      <c r="AC16" s="280">
        <f t="shared" ref="AC16" ca="1" si="129">AC15/AC$5</f>
        <v>0.15772038162646856</v>
      </c>
    </row>
    <row r="17" spans="2:29" x14ac:dyDescent="0.25">
      <c r="B17" s="164" t="s">
        <v>240</v>
      </c>
      <c r="D17" s="282">
        <f>'G&amp;A'!H51</f>
        <v>251060</v>
      </c>
      <c r="E17" s="282">
        <f>'G&amp;A'!I51</f>
        <v>251060</v>
      </c>
      <c r="F17" s="282">
        <f>'G&amp;A'!J51</f>
        <v>345935</v>
      </c>
      <c r="G17" s="282">
        <f>'G&amp;A'!K51</f>
        <v>345935</v>
      </c>
      <c r="H17" s="282">
        <f>'G&amp;A'!L51</f>
        <v>345935</v>
      </c>
      <c r="I17" s="282">
        <f>'G&amp;A'!M51</f>
        <v>345935</v>
      </c>
      <c r="J17" s="282">
        <f>'G&amp;A'!N51</f>
        <v>451160</v>
      </c>
      <c r="K17" s="282">
        <f>'G&amp;A'!O51</f>
        <v>451160</v>
      </c>
      <c r="L17" s="282">
        <f>'G&amp;A'!P51</f>
        <v>451160</v>
      </c>
      <c r="M17" s="282">
        <f>'G&amp;A'!Q51</f>
        <v>566735</v>
      </c>
      <c r="N17" s="282">
        <f>'G&amp;A'!R51</f>
        <v>566735</v>
      </c>
      <c r="O17" s="282">
        <f>'G&amp;A'!S51</f>
        <v>566735</v>
      </c>
      <c r="P17" s="282">
        <f>'G&amp;A'!T51</f>
        <v>566735</v>
      </c>
      <c r="Q17" s="282">
        <f>'G&amp;A'!U51</f>
        <v>652985</v>
      </c>
      <c r="R17" s="282">
        <f>'G&amp;A'!V51</f>
        <v>652985</v>
      </c>
      <c r="S17" s="282">
        <f>'G&amp;A'!W51</f>
        <v>652985</v>
      </c>
      <c r="T17" s="282">
        <f>'G&amp;A'!X51</f>
        <v>713360</v>
      </c>
      <c r="U17" s="282">
        <f>'G&amp;A'!Y51</f>
        <v>713360</v>
      </c>
      <c r="V17" s="282">
        <f>'G&amp;A'!Z51</f>
        <v>713360</v>
      </c>
      <c r="W17" s="282">
        <f>'G&amp;A'!AA51</f>
        <v>756485</v>
      </c>
      <c r="Y17" s="282">
        <f t="shared" si="8"/>
        <v>1193990</v>
      </c>
      <c r="Z17" s="282">
        <f t="shared" si="1"/>
        <v>1594190</v>
      </c>
      <c r="AA17" s="282">
        <f t="shared" si="1"/>
        <v>2151365</v>
      </c>
      <c r="AB17" s="282">
        <f t="shared" si="1"/>
        <v>2525690</v>
      </c>
      <c r="AC17" s="282">
        <f t="shared" si="1"/>
        <v>2896565</v>
      </c>
    </row>
    <row r="18" spans="2:29" x14ac:dyDescent="0.25">
      <c r="B18" s="310" t="str">
        <f>B17&amp;" as a % of Revenue"</f>
        <v>G&amp;A as a % of Revenue</v>
      </c>
      <c r="D18" s="280">
        <f ca="1">D17/D$5</f>
        <v>7.8940411463625876E-2</v>
      </c>
      <c r="E18" s="280">
        <f t="shared" ref="E18" ca="1" si="130">E17/E$5</f>
        <v>6.3398791685219266E-2</v>
      </c>
      <c r="F18" s="280">
        <f t="shared" ref="F18" ca="1" si="131">F17/F$5</f>
        <v>7.2897575058127592E-2</v>
      </c>
      <c r="G18" s="280">
        <f t="shared" ref="G18" ca="1" si="132">G17/G$5</f>
        <v>6.7080216523592334E-2</v>
      </c>
      <c r="H18" s="280">
        <f t="shared" ref="H18" ca="1" si="133">H17/H$5</f>
        <v>6.2088346080209446E-2</v>
      </c>
      <c r="I18" s="280">
        <f t="shared" ref="I18" ca="1" si="134">I17/I$5</f>
        <v>5.4313615510880119E-2</v>
      </c>
      <c r="J18" s="280">
        <f t="shared" ref="J18" ca="1" si="135">J17/J$5</f>
        <v>6.2899198208986096E-2</v>
      </c>
      <c r="K18" s="280">
        <f t="shared" ref="K18" ca="1" si="136">K17/K$5</f>
        <v>5.9343836262743262E-2</v>
      </c>
      <c r="L18" s="280">
        <f t="shared" ref="L18" ca="1" si="137">L17/L$5</f>
        <v>5.6146402099338862E-2</v>
      </c>
      <c r="M18" s="280">
        <f t="shared" ref="M18" ca="1" si="138">M17/M$5</f>
        <v>6.4027442989738184E-2</v>
      </c>
      <c r="N18" s="280">
        <f t="shared" ref="N18" ca="1" si="139">N17/N$5</f>
        <v>5.8585904135175698E-2</v>
      </c>
      <c r="O18" s="280">
        <f t="shared" ref="O18" ca="1" si="140">O17/O$5</f>
        <v>5.5990189731676701E-2</v>
      </c>
      <c r="P18" s="280">
        <f t="shared" ref="P18" ca="1" si="141">P17/P$5</f>
        <v>5.3597693159380073E-2</v>
      </c>
      <c r="Q18" s="280">
        <f t="shared" ref="Q18" ca="1" si="142">Q17/Q$5</f>
        <v>5.7234652574379118E-2</v>
      </c>
      <c r="R18" s="280">
        <f t="shared" ref="R18" ca="1" si="143">R17/R$5</f>
        <v>5.330398429963272E-2</v>
      </c>
      <c r="S18" s="280">
        <f t="shared" ref="S18" ca="1" si="144">S17/S$5</f>
        <v>5.134341717414645E-2</v>
      </c>
      <c r="T18" s="280">
        <f t="shared" ref="T18" ca="1" si="145">T17/T$5</f>
        <v>5.4086380096382433E-2</v>
      </c>
      <c r="U18" s="280">
        <f t="shared" ref="U18" ca="1" si="146">U17/U$5</f>
        <v>5.0794953176836383E-2</v>
      </c>
      <c r="V18" s="280">
        <f t="shared" ref="V18" ca="1" si="147">V17/V$5</f>
        <v>4.7860565045582761E-2</v>
      </c>
      <c r="W18" s="280">
        <f t="shared" ref="W18" ca="1" si="148">W17/W$5</f>
        <v>4.9145889270076008E-2</v>
      </c>
      <c r="Y18" s="280">
        <f t="shared" ref="Y18" ca="1" si="149">Y17/Y$5</f>
        <v>7.0057852910237334E-2</v>
      </c>
      <c r="Z18" s="280">
        <f t="shared" ref="Z18" ca="1" si="150">Z17/Z$5</f>
        <v>5.9671527524279538E-2</v>
      </c>
      <c r="AA18" s="280">
        <f t="shared" ref="AA18" ca="1" si="151">AA17/AA$5</f>
        <v>5.8648307072052971E-2</v>
      </c>
      <c r="AB18" s="280">
        <f t="shared" ref="AB18" ca="1" si="152">AB17/AB$5</f>
        <v>5.3794193664885179E-2</v>
      </c>
      <c r="AC18" s="280">
        <f t="shared" ref="AC18" ca="1" si="153">AC17/AC$5</f>
        <v>5.0348081680147982E-2</v>
      </c>
    </row>
    <row r="19" spans="2:29" x14ac:dyDescent="0.25">
      <c r="B19" s="164" t="s">
        <v>241</v>
      </c>
      <c r="D19" s="284">
        <f ca="1">D15-D17</f>
        <v>597964.24987837486</v>
      </c>
      <c r="E19" s="284">
        <f t="shared" ref="E19:W19" ca="1" si="154">E15-E17</f>
        <v>687447.83103417302</v>
      </c>
      <c r="F19" s="284">
        <f t="shared" ca="1" si="154"/>
        <v>683670.80848046136</v>
      </c>
      <c r="G19" s="284">
        <f t="shared" ca="1" si="154"/>
        <v>735390.51931114378</v>
      </c>
      <c r="H19" s="284">
        <f t="shared" ca="1" si="154"/>
        <v>787968.96580116684</v>
      </c>
      <c r="I19" s="284">
        <f t="shared" ca="1" si="154"/>
        <v>882417.42826878582</v>
      </c>
      <c r="J19" s="284">
        <f t="shared" ca="1" si="154"/>
        <v>873292.66253436636</v>
      </c>
      <c r="K19" s="284">
        <f t="shared" ca="1" si="154"/>
        <v>930052.28812517785</v>
      </c>
      <c r="L19" s="284">
        <f t="shared" ca="1" si="154"/>
        <v>987708.59189179959</v>
      </c>
      <c r="M19" s="284">
        <f t="shared" ca="1" si="154"/>
        <v>971698.14088670071</v>
      </c>
      <c r="N19" s="284">
        <f t="shared" ca="1" si="154"/>
        <v>1072952.9798394931</v>
      </c>
      <c r="O19" s="284">
        <f t="shared" ca="1" si="154"/>
        <v>1134906.0193782859</v>
      </c>
      <c r="P19" s="284">
        <f t="shared" ca="1" si="154"/>
        <v>1197794.8396627987</v>
      </c>
      <c r="Q19" s="284">
        <f t="shared" ca="1" si="154"/>
        <v>1216381.3032797673</v>
      </c>
      <c r="R19" s="284">
        <f t="shared" ca="1" si="154"/>
        <v>1322947.7527351407</v>
      </c>
      <c r="S19" s="284">
        <f t="shared" ca="1" si="154"/>
        <v>1390252.398692525</v>
      </c>
      <c r="T19" s="284">
        <f t="shared" ca="1" si="154"/>
        <v>1398158.1236235211</v>
      </c>
      <c r="U19" s="284">
        <f t="shared" ca="1" si="154"/>
        <v>1508427.0947204591</v>
      </c>
      <c r="V19" s="284">
        <f t="shared" ca="1" si="154"/>
        <v>1620466.9614060889</v>
      </c>
      <c r="W19" s="284">
        <f t="shared" ca="1" si="154"/>
        <v>1650161.2435896369</v>
      </c>
      <c r="Y19" s="284">
        <f t="shared" ca="1" si="8"/>
        <v>2704473.4087041533</v>
      </c>
      <c r="Z19" s="284">
        <f t="shared" ca="1" si="1"/>
        <v>3473731.3447294971</v>
      </c>
      <c r="AA19" s="284">
        <f t="shared" ca="1" si="1"/>
        <v>4167265.7319962792</v>
      </c>
      <c r="AB19" s="284">
        <f t="shared" ca="1" si="1"/>
        <v>5127376.2943702321</v>
      </c>
      <c r="AC19" s="284">
        <f t="shared" ca="1" si="1"/>
        <v>6177213.4233397059</v>
      </c>
    </row>
    <row r="20" spans="2:29" x14ac:dyDescent="0.25">
      <c r="B20" s="310" t="str">
        <f>B19&amp;" as a % of Revenue"</f>
        <v>EBITDA as a % of Revenue</v>
      </c>
      <c r="D20" s="280">
        <f ca="1">D19/D$5</f>
        <v>0.18801698369289138</v>
      </c>
      <c r="E20" s="280">
        <f t="shared" ref="E20" ca="1" si="155">E19/E$5</f>
        <v>0.1735973943845748</v>
      </c>
      <c r="F20" s="280">
        <f t="shared" ref="F20" ca="1" si="156">F19/F$5</f>
        <v>0.14406736547691101</v>
      </c>
      <c r="G20" s="280">
        <f t="shared" ref="G20" ca="1" si="157">G19/G$5</f>
        <v>0.14259949199933089</v>
      </c>
      <c r="H20" s="280">
        <f t="shared" ref="H20" ca="1" si="158">H19/H$5</f>
        <v>0.1414245157302024</v>
      </c>
      <c r="I20" s="280">
        <f t="shared" ref="I20" ca="1" si="159">I19/I$5</f>
        <v>0.13854418003119218</v>
      </c>
      <c r="J20" s="280">
        <f t="shared" ref="J20" ca="1" si="160">J19/J$5</f>
        <v>0.12175150340278906</v>
      </c>
      <c r="K20" s="280">
        <f t="shared" ref="K20" ca="1" si="161">K19/K$5</f>
        <v>0.12233547012654108</v>
      </c>
      <c r="L20" s="280">
        <f t="shared" ref="L20" ca="1" si="162">L19/L$5</f>
        <v>0.12291932741672305</v>
      </c>
      <c r="M20" s="280">
        <f t="shared" ref="M20" ca="1" si="163">M19/M$5</f>
        <v>0.10977855138443507</v>
      </c>
      <c r="N20" s="280">
        <f t="shared" ref="N20" ca="1" si="164">N19/N$5</f>
        <v>0.11091589617445127</v>
      </c>
      <c r="O20" s="280">
        <f t="shared" ref="O20" ca="1" si="165">O19/O$5</f>
        <v>0.11212224999799232</v>
      </c>
      <c r="P20" s="280">
        <f t="shared" ref="P20" ca="1" si="166">P19/P$5</f>
        <v>0.11327876394458705</v>
      </c>
      <c r="Q20" s="280">
        <f t="shared" ref="Q20" ca="1" si="167">Q19/Q$5</f>
        <v>0.10661678490499468</v>
      </c>
      <c r="R20" s="280">
        <f t="shared" ref="R20" ca="1" si="168">R19/R$5</f>
        <v>0.10799388384270439</v>
      </c>
      <c r="S20" s="280">
        <f t="shared" ref="S20" ca="1" si="169">S19/S$5</f>
        <v>0.10931385695449065</v>
      </c>
      <c r="T20" s="280">
        <f t="shared" ref="T20" ca="1" si="170">T19/T$5</f>
        <v>0.10600722175219611</v>
      </c>
      <c r="U20" s="280">
        <f t="shared" ref="U20" ca="1" si="171">U19/U$5</f>
        <v>0.10740787771531493</v>
      </c>
      <c r="V20" s="280">
        <f t="shared" ref="V20" ca="1" si="172">V19/V$5</f>
        <v>0.10871995123162774</v>
      </c>
      <c r="W20" s="280">
        <f t="shared" ref="W20" ca="1" si="173">W19/W$5</f>
        <v>0.10720456024273742</v>
      </c>
      <c r="Y20" s="280">
        <f t="shared" ref="Y20" ca="1" si="174">Y19/Y$5</f>
        <v>0.15868608637144679</v>
      </c>
      <c r="Z20" s="280">
        <f t="shared" ref="Z20" ca="1" si="175">Z19/Z$5</f>
        <v>0.13002393412891736</v>
      </c>
      <c r="AA20" s="280">
        <f t="shared" ref="AA20" ca="1" si="176">AA19/AA$5</f>
        <v>0.11360372614640538</v>
      </c>
      <c r="AB20" s="280">
        <f t="shared" ref="AB20" ca="1" si="177">AB19/AB$5</f>
        <v>0.10920701803154528</v>
      </c>
      <c r="AC20" s="280">
        <f t="shared" ref="AC20" ca="1" si="178">AC19/AC$5</f>
        <v>0.10737229994632058</v>
      </c>
    </row>
    <row r="21" spans="2:29" x14ac:dyDescent="0.25">
      <c r="B21" s="164" t="s">
        <v>237</v>
      </c>
      <c r="D21" s="282">
        <f>-CapEx!E11</f>
        <v>150000</v>
      </c>
      <c r="E21" s="282">
        <f>-CapEx!F11</f>
        <v>191250</v>
      </c>
      <c r="F21" s="282">
        <f>-CapEx!G11</f>
        <v>277828.125</v>
      </c>
      <c r="G21" s="282">
        <f>-CapEx!H11</f>
        <v>361159.5703125</v>
      </c>
      <c r="H21" s="282">
        <f>-CapEx!I11</f>
        <v>394491.08642578125</v>
      </c>
      <c r="I21" s="282">
        <f>-CapEx!J11</f>
        <v>426572.67068481445</v>
      </c>
      <c r="J21" s="282">
        <f>-CapEx!K11</f>
        <v>504326.19553413388</v>
      </c>
      <c r="K21" s="282">
        <f>-CapEx!L11</f>
        <v>579163.96320160385</v>
      </c>
      <c r="L21" s="282">
        <f>-CapEx!M11</f>
        <v>604320.31458154379</v>
      </c>
      <c r="M21" s="282">
        <f>-CapEx!N11</f>
        <v>628533.30278473592</v>
      </c>
      <c r="N21" s="282">
        <f>-CapEx!O11</f>
        <v>698713.30393030832</v>
      </c>
      <c r="O21" s="282">
        <f>-CapEx!P11</f>
        <v>766261.55503292184</v>
      </c>
      <c r="P21" s="282">
        <f>-CapEx!Q11</f>
        <v>784401.74671918724</v>
      </c>
      <c r="Q21" s="282">
        <f>-CapEx!R11</f>
        <v>801861.6812172177</v>
      </c>
      <c r="R21" s="282">
        <f>-CapEx!S11</f>
        <v>865541.8681715721</v>
      </c>
      <c r="S21" s="282">
        <f>-CapEx!T11</f>
        <v>926834.04811513808</v>
      </c>
      <c r="T21" s="282">
        <f>-CapEx!U11</f>
        <v>938952.77131082048</v>
      </c>
      <c r="U21" s="282">
        <f>-CapEx!V11</f>
        <v>950617.04238666466</v>
      </c>
      <c r="V21" s="282">
        <f>-CapEx!W11</f>
        <v>1008718.9032971647</v>
      </c>
      <c r="W21" s="282">
        <f>-CapEx!X11</f>
        <v>1064641.9444235209</v>
      </c>
      <c r="Y21" s="282">
        <f t="shared" si="8"/>
        <v>980237.6953125</v>
      </c>
      <c r="Z21" s="282">
        <f t="shared" si="8"/>
        <v>1904553.9158463334</v>
      </c>
      <c r="AA21" s="282">
        <f t="shared" si="8"/>
        <v>2697828.4763295101</v>
      </c>
      <c r="AB21" s="282">
        <f t="shared" si="8"/>
        <v>3378639.3442231151</v>
      </c>
      <c r="AC21" s="282">
        <f t="shared" si="8"/>
        <v>3962930.6614181707</v>
      </c>
    </row>
    <row r="22" spans="2:29" x14ac:dyDescent="0.25">
      <c r="B22" s="310" t="str">
        <f>B21&amp;" as a % of Revenue"</f>
        <v>Depreciation as a % of Revenue</v>
      </c>
      <c r="D22" s="280">
        <f ca="1">D21/D$5</f>
        <v>4.71642703717991E-2</v>
      </c>
      <c r="E22" s="280">
        <f t="shared" ref="E22" ca="1" si="179">E21/E$5</f>
        <v>4.8295303552131699E-2</v>
      </c>
      <c r="F22" s="280">
        <f t="shared" ref="F22" ca="1" si="180">F21/F$5</f>
        <v>5.8545670705324286E-2</v>
      </c>
      <c r="G22" s="280">
        <f t="shared" ref="G22" ca="1" si="181">G21/G$5</f>
        <v>7.0032411222137311E-2</v>
      </c>
      <c r="H22" s="280">
        <f t="shared" ref="H22" ca="1" si="182">H21/H$5</f>
        <v>7.0803182966631656E-2</v>
      </c>
      <c r="I22" s="280">
        <f t="shared" ref="I22" ca="1" si="183">I21/I$5</f>
        <v>6.6974154170651404E-2</v>
      </c>
      <c r="J22" s="280">
        <f t="shared" ref="J22" ca="1" si="184">J21/J$5</f>
        <v>7.0311449008966589E-2</v>
      </c>
      <c r="K22" s="280">
        <f t="shared" ref="K22" ca="1" si="185">K21/K$5</f>
        <v>7.6180981030050193E-2</v>
      </c>
      <c r="L22" s="280">
        <f t="shared" ref="L22" ca="1" si="186">L21/L$5</f>
        <v>7.520704712140773E-2</v>
      </c>
      <c r="M22" s="280">
        <f t="shared" ref="M22" ca="1" si="187">M21/M$5</f>
        <v>7.1009166914345376E-2</v>
      </c>
      <c r="N22" s="280">
        <f t="shared" ref="N22" ca="1" si="188">N21/N$5</f>
        <v>7.222908527271639E-2</v>
      </c>
      <c r="O22" s="280">
        <f t="shared" ref="O22" ca="1" si="189">O21/O$5</f>
        <v>7.5702276814354014E-2</v>
      </c>
      <c r="P22" s="280">
        <f t="shared" ref="P22" ca="1" si="190">P21/P$5</f>
        <v>7.4183038164815598E-2</v>
      </c>
      <c r="Q22" s="280">
        <f t="shared" ref="Q22" ca="1" si="191">Q21/Q$5</f>
        <v>7.0283811629937895E-2</v>
      </c>
      <c r="R22" s="280">
        <f t="shared" ref="R22" ca="1" si="192">R21/R$5</f>
        <v>7.0655267964336466E-2</v>
      </c>
      <c r="S22" s="280">
        <f t="shared" ref="S22" ca="1" si="193">S21/S$5</f>
        <v>7.287583510123273E-2</v>
      </c>
      <c r="T22" s="280">
        <f t="shared" ref="T22" ca="1" si="194">T21/T$5</f>
        <v>7.1190642146558097E-2</v>
      </c>
      <c r="U22" s="280">
        <f t="shared" ref="U22" ca="1" si="195">U21/U$5</f>
        <v>6.7688892224309349E-2</v>
      </c>
      <c r="V22" s="280">
        <f t="shared" ref="V22" ca="1" si="196">V21/V$5</f>
        <v>6.7676708371597588E-2</v>
      </c>
      <c r="W22" s="280">
        <f t="shared" ref="W22" ca="1" si="197">W21/W$5</f>
        <v>6.9165647848822884E-2</v>
      </c>
      <c r="Y22" s="280">
        <f t="shared" ref="Y22" ca="1" si="198">Y21/Y$5</f>
        <v>5.7515848771994046E-2</v>
      </c>
      <c r="Z22" s="280">
        <f t="shared" ref="Z22" ca="1" si="199">Z21/Z$5</f>
        <v>7.1288642765855295E-2</v>
      </c>
      <c r="AA22" s="280">
        <f t="shared" ref="AA22" ca="1" si="200">AA21/AA$5</f>
        <v>7.3545434134840854E-2</v>
      </c>
      <c r="AB22" s="280">
        <f t="shared" ref="AB22" ca="1" si="201">AB21/AB$5</f>
        <v>7.1961000442231193E-2</v>
      </c>
      <c r="AC22" s="280">
        <f t="shared" ref="AC22" ca="1" si="202">AC21/AC$5</f>
        <v>6.8883645502118868E-2</v>
      </c>
    </row>
    <row r="23" spans="2:29" x14ac:dyDescent="0.25">
      <c r="B23" s="164" t="s">
        <v>238</v>
      </c>
      <c r="D23" s="283">
        <f ca="1">D19-D21</f>
        <v>447964.24987837486</v>
      </c>
      <c r="E23" s="283">
        <f t="shared" ref="E23:W23" ca="1" si="203">E19-E21</f>
        <v>496197.83103417302</v>
      </c>
      <c r="F23" s="283">
        <f t="shared" ca="1" si="203"/>
        <v>405842.68348046136</v>
      </c>
      <c r="G23" s="283">
        <f t="shared" ca="1" si="203"/>
        <v>374230.94899864378</v>
      </c>
      <c r="H23" s="283">
        <f t="shared" ca="1" si="203"/>
        <v>393477.87937538559</v>
      </c>
      <c r="I23" s="283">
        <f t="shared" ca="1" si="203"/>
        <v>455844.75758397137</v>
      </c>
      <c r="J23" s="283">
        <f t="shared" ca="1" si="203"/>
        <v>368966.46700023249</v>
      </c>
      <c r="K23" s="283">
        <f t="shared" ca="1" si="203"/>
        <v>350888.32492357399</v>
      </c>
      <c r="L23" s="283">
        <f t="shared" ca="1" si="203"/>
        <v>383388.2773102558</v>
      </c>
      <c r="M23" s="283">
        <f t="shared" ca="1" si="203"/>
        <v>343164.83810196479</v>
      </c>
      <c r="N23" s="283">
        <f t="shared" ca="1" si="203"/>
        <v>374239.67590918473</v>
      </c>
      <c r="O23" s="283">
        <f t="shared" ca="1" si="203"/>
        <v>368644.46434536402</v>
      </c>
      <c r="P23" s="283">
        <f t="shared" ca="1" si="203"/>
        <v>413393.09294361144</v>
      </c>
      <c r="Q23" s="283">
        <f t="shared" ca="1" si="203"/>
        <v>414519.62206254958</v>
      </c>
      <c r="R23" s="283">
        <f t="shared" ca="1" si="203"/>
        <v>457405.88456356863</v>
      </c>
      <c r="S23" s="283">
        <f t="shared" ca="1" si="203"/>
        <v>463418.35057738691</v>
      </c>
      <c r="T23" s="283">
        <f t="shared" ca="1" si="203"/>
        <v>459205.35231270059</v>
      </c>
      <c r="U23" s="283">
        <f t="shared" ca="1" si="203"/>
        <v>557810.05233379442</v>
      </c>
      <c r="V23" s="283">
        <f t="shared" ca="1" si="203"/>
        <v>611748.05810892419</v>
      </c>
      <c r="W23" s="283">
        <f t="shared" ca="1" si="203"/>
        <v>585519.29916611593</v>
      </c>
      <c r="Y23" s="283">
        <f t="shared" ca="1" si="8"/>
        <v>1724235.713391653</v>
      </c>
      <c r="Z23" s="283">
        <f t="shared" ca="1" si="8"/>
        <v>1569177.4288831635</v>
      </c>
      <c r="AA23" s="283">
        <f t="shared" ca="1" si="8"/>
        <v>1469437.2556667691</v>
      </c>
      <c r="AB23" s="283">
        <f t="shared" ca="1" si="8"/>
        <v>1748736.9501471166</v>
      </c>
      <c r="AC23" s="283">
        <f t="shared" ca="1" si="8"/>
        <v>2214282.7619215352</v>
      </c>
    </row>
    <row r="24" spans="2:29" x14ac:dyDescent="0.25">
      <c r="B24" s="310" t="str">
        <f>B23&amp;" as a % of Revenue"</f>
        <v>EBIT as a % of Revenue</v>
      </c>
      <c r="D24" s="280">
        <f ca="1">D23/D$5</f>
        <v>0.14085271332109228</v>
      </c>
      <c r="E24" s="280">
        <f t="shared" ref="E24" ca="1" si="204">E23/E$5</f>
        <v>0.12530209083244309</v>
      </c>
      <c r="F24" s="280">
        <f t="shared" ref="F24" ca="1" si="205">F23/F$5</f>
        <v>8.552169477158672E-2</v>
      </c>
      <c r="G24" s="280">
        <f t="shared" ref="G24" ca="1" si="206">G23/G$5</f>
        <v>7.2567080777193593E-2</v>
      </c>
      <c r="H24" s="280">
        <f t="shared" ref="H24" ca="1" si="207">H23/H$5</f>
        <v>7.0621332763570743E-2</v>
      </c>
      <c r="I24" s="280">
        <f t="shared" ref="I24" ca="1" si="208">I23/I$5</f>
        <v>7.1570025860540773E-2</v>
      </c>
      <c r="J24" s="280">
        <f t="shared" ref="J24" ca="1" si="209">J23/J$5</f>
        <v>5.1440054393822481E-2</v>
      </c>
      <c r="K24" s="280">
        <f t="shared" ref="K24" ca="1" si="210">K23/K$5</f>
        <v>4.6154489096490892E-2</v>
      </c>
      <c r="L24" s="280">
        <f t="shared" ref="L24" ca="1" si="211">L23/L$5</f>
        <v>4.7712280295315317E-2</v>
      </c>
      <c r="M24" s="280">
        <f t="shared" ref="M24" ca="1" si="212">M23/M$5</f>
        <v>3.8769384470089693E-2</v>
      </c>
      <c r="N24" s="280">
        <f t="shared" ref="N24" ca="1" si="213">N23/N$5</f>
        <v>3.8686810901734883E-2</v>
      </c>
      <c r="O24" s="280">
        <f t="shared" ref="O24" ca="1" si="214">O23/O$5</f>
        <v>3.6419973183638307E-2</v>
      </c>
      <c r="P24" s="280">
        <f t="shared" ref="P24" ca="1" si="215">P23/P$5</f>
        <v>3.9095725779771454E-2</v>
      </c>
      <c r="Q24" s="280">
        <f t="shared" ref="Q24" ca="1" si="216">Q23/Q$5</f>
        <v>3.6332973275056794E-2</v>
      </c>
      <c r="R24" s="280">
        <f t="shared" ref="R24" ca="1" si="217">R23/R$5</f>
        <v>3.7338615878367919E-2</v>
      </c>
      <c r="S24" s="280">
        <f t="shared" ref="S24" ca="1" si="218">S23/S$5</f>
        <v>3.6438021853257924E-2</v>
      </c>
      <c r="T24" s="280">
        <f t="shared" ref="T24" ca="1" si="219">T23/T$5</f>
        <v>3.4816579605638012E-2</v>
      </c>
      <c r="U24" s="280">
        <f t="shared" ref="U24" ca="1" si="220">U23/U$5</f>
        <v>3.9718985491005582E-2</v>
      </c>
      <c r="V24" s="280">
        <f t="shared" ref="V24" ca="1" si="221">V23/V$5</f>
        <v>4.1043242860030152E-2</v>
      </c>
      <c r="W24" s="280">
        <f t="shared" ref="W24" ca="1" si="222">W23/W$5</f>
        <v>3.8038912393914541E-2</v>
      </c>
      <c r="Y24" s="280">
        <f t="shared" ref="Y24" ca="1" si="223">Y23/Y$5</f>
        <v>0.10117023759945273</v>
      </c>
      <c r="Z24" s="280">
        <f t="shared" ref="Z24" ca="1" si="224">Z23/Z$5</f>
        <v>5.8735291363062048E-2</v>
      </c>
      <c r="AA24" s="280">
        <f t="shared" ref="AA24" ca="1" si="225">AA23/AA$5</f>
        <v>4.0058292011564516E-2</v>
      </c>
      <c r="AB24" s="280">
        <f t="shared" ref="AB24" ca="1" si="226">AB23/AB$5</f>
        <v>3.7246017589314069E-2</v>
      </c>
      <c r="AC24" s="280">
        <f t="shared" ref="AC24" ca="1" si="227">AC23/AC$5</f>
        <v>3.8488654444201714E-2</v>
      </c>
    </row>
    <row r="25" spans="2:29" x14ac:dyDescent="0.25">
      <c r="B25" s="164" t="s">
        <v>165</v>
      </c>
      <c r="D25" s="282">
        <f>'Interest Expense'!E7</f>
        <v>125000</v>
      </c>
      <c r="E25" s="282">
        <f>'Interest Expense'!F7</f>
        <v>125000</v>
      </c>
      <c r="F25" s="282">
        <f>'Interest Expense'!G7</f>
        <v>125000</v>
      </c>
      <c r="G25" s="282">
        <f>'Interest Expense'!H7</f>
        <v>125000</v>
      </c>
      <c r="H25" s="282">
        <f>'Interest Expense'!I7</f>
        <v>125000</v>
      </c>
      <c r="I25" s="282">
        <f>'Interest Expense'!J7</f>
        <v>125000</v>
      </c>
      <c r="J25" s="282">
        <f>'Interest Expense'!K7</f>
        <v>125000</v>
      </c>
      <c r="K25" s="282">
        <f>'Interest Expense'!L7</f>
        <v>125000</v>
      </c>
      <c r="L25" s="282">
        <f>'Interest Expense'!M7</f>
        <v>158125</v>
      </c>
      <c r="M25" s="282">
        <f>'Interest Expense'!N7</f>
        <v>158125</v>
      </c>
      <c r="N25" s="282">
        <f>'Interest Expense'!O7</f>
        <v>158125</v>
      </c>
      <c r="O25" s="282">
        <f>'Interest Expense'!P7</f>
        <v>158125</v>
      </c>
      <c r="P25" s="282">
        <f>'Interest Expense'!Q7</f>
        <v>158125</v>
      </c>
      <c r="Q25" s="282">
        <f>'Interest Expense'!R7</f>
        <v>158125</v>
      </c>
      <c r="R25" s="282">
        <f>'Interest Expense'!S7</f>
        <v>158125</v>
      </c>
      <c r="S25" s="282">
        <f>'Interest Expense'!T7</f>
        <v>158125</v>
      </c>
      <c r="T25" s="282">
        <f>'Interest Expense'!U7</f>
        <v>158125</v>
      </c>
      <c r="U25" s="282">
        <f>'Interest Expense'!V7</f>
        <v>158125</v>
      </c>
      <c r="V25" s="282">
        <f>'Interest Expense'!W7</f>
        <v>158125</v>
      </c>
      <c r="W25" s="282">
        <f>'Interest Expense'!X7</f>
        <v>158125</v>
      </c>
      <c r="Y25" s="282">
        <f t="shared" si="8"/>
        <v>500000</v>
      </c>
      <c r="Z25" s="282">
        <f t="shared" si="8"/>
        <v>500000</v>
      </c>
      <c r="AA25" s="282">
        <f t="shared" si="8"/>
        <v>632500</v>
      </c>
      <c r="AB25" s="282">
        <f t="shared" si="8"/>
        <v>632500</v>
      </c>
      <c r="AC25" s="282">
        <f t="shared" si="8"/>
        <v>632500</v>
      </c>
    </row>
    <row r="26" spans="2:29" x14ac:dyDescent="0.25">
      <c r="B26" s="310" t="str">
        <f>B25&amp;" as a % of Revenue"</f>
        <v>Interest Expense as a % of Revenue</v>
      </c>
      <c r="D26" s="280">
        <f ca="1">D25/D$5</f>
        <v>3.9303558643165919E-2</v>
      </c>
      <c r="E26" s="280">
        <f t="shared" ref="E26" ca="1" si="228">E25/E$5</f>
        <v>3.1565557877210264E-2</v>
      </c>
      <c r="F26" s="280">
        <f t="shared" ref="F26" ca="1" si="229">F25/F$5</f>
        <v>2.6340777551464724E-2</v>
      </c>
      <c r="G26" s="280">
        <f t="shared" ref="G26" ca="1" si="230">G25/G$5</f>
        <v>2.4238735789813236E-2</v>
      </c>
      <c r="H26" s="280">
        <f t="shared" ref="H26" ca="1" si="231">H25/H$5</f>
        <v>2.2434975530160814E-2</v>
      </c>
      <c r="I26" s="280">
        <f t="shared" ref="I26" ca="1" si="232">I25/I$5</f>
        <v>1.9625657822596773E-2</v>
      </c>
      <c r="J26" s="280">
        <f t="shared" ref="J26" ca="1" si="233">J25/J$5</f>
        <v>1.7427076372292006E-2</v>
      </c>
      <c r="K26" s="280">
        <f t="shared" ref="K26" ca="1" si="234">K25/K$5</f>
        <v>1.6442015100724596E-2</v>
      </c>
      <c r="L26" s="280">
        <f t="shared" ref="L26" ca="1" si="235">L25/L$5</f>
        <v>1.967849506152575E-2</v>
      </c>
      <c r="M26" s="280">
        <f t="shared" ref="M26" ca="1" si="236">M25/M$5</f>
        <v>1.7864327106588352E-2</v>
      </c>
      <c r="N26" s="280">
        <f t="shared" ref="N26" ca="1" si="237">N25/N$5</f>
        <v>1.6346080780919932E-2</v>
      </c>
      <c r="O26" s="280">
        <f t="shared" ref="O26" ca="1" si="238">O25/O$5</f>
        <v>1.5621849279330512E-2</v>
      </c>
      <c r="P26" s="280">
        <f t="shared" ref="P26" ca="1" si="239">P25/P$5</f>
        <v>1.4954317680797859E-2</v>
      </c>
      <c r="Q26" s="280">
        <f t="shared" ref="Q26" ca="1" si="240">Q25/Q$5</f>
        <v>1.3859781523807894E-2</v>
      </c>
      <c r="R26" s="280">
        <f t="shared" ref="R26" ca="1" si="241">R25/R$5</f>
        <v>1.2907942016094433E-2</v>
      </c>
      <c r="S26" s="280">
        <f t="shared" ref="S26" ca="1" si="242">S25/S$5</f>
        <v>1.2433176628348135E-2</v>
      </c>
      <c r="T26" s="280">
        <f t="shared" ref="T26" ca="1" si="243">T25/T$5</f>
        <v>1.1988910021224167E-2</v>
      </c>
      <c r="U26" s="280">
        <f t="shared" ref="U26" ca="1" si="244">U25/U$5</f>
        <v>1.1259324844520652E-2</v>
      </c>
      <c r="V26" s="280">
        <f t="shared" ref="V26" ca="1" si="245">V25/V$5</f>
        <v>1.0608881697646034E-2</v>
      </c>
      <c r="W26" s="280">
        <f t="shared" ref="W26" ca="1" si="246">W25/W$5</f>
        <v>1.0272766467055881E-2</v>
      </c>
      <c r="Y26" s="280">
        <f t="shared" ref="Y26" ca="1" si="247">Y25/Y$5</f>
        <v>2.9337705052067998E-2</v>
      </c>
      <c r="Z26" s="280">
        <f t="shared" ref="Z26" ca="1" si="248">Z25/Z$5</f>
        <v>1.8715312329232882E-2</v>
      </c>
      <c r="AA26" s="280">
        <f t="shared" ref="AA26" ca="1" si="249">AA25/AA$5</f>
        <v>1.7242566567306574E-2</v>
      </c>
      <c r="AB26" s="280">
        <f t="shared" ref="AB26" ca="1" si="250">AB25/AB$5</f>
        <v>1.3471497884950202E-2</v>
      </c>
      <c r="AC26" s="280">
        <f t="shared" ref="AC26" ca="1" si="251">AC25/AC$5</f>
        <v>1.0994112565294962E-2</v>
      </c>
    </row>
    <row r="27" spans="2:29" x14ac:dyDescent="0.25">
      <c r="B27" s="164" t="s">
        <v>239</v>
      </c>
      <c r="D27" s="283">
        <f ca="1">D23-D25</f>
        <v>322964.24987837486</v>
      </c>
      <c r="E27" s="283">
        <f t="shared" ref="E27:W27" ca="1" si="252">E23-E25</f>
        <v>371197.83103417302</v>
      </c>
      <c r="F27" s="283">
        <f t="shared" ca="1" si="252"/>
        <v>280842.68348046136</v>
      </c>
      <c r="G27" s="283">
        <f t="shared" ca="1" si="252"/>
        <v>249230.94899864378</v>
      </c>
      <c r="H27" s="283">
        <f t="shared" ca="1" si="252"/>
        <v>268477.87937538559</v>
      </c>
      <c r="I27" s="283">
        <f t="shared" ca="1" si="252"/>
        <v>330844.75758397137</v>
      </c>
      <c r="J27" s="283">
        <f t="shared" ca="1" si="252"/>
        <v>243966.46700023249</v>
      </c>
      <c r="K27" s="283">
        <f t="shared" ca="1" si="252"/>
        <v>225888.32492357399</v>
      </c>
      <c r="L27" s="283">
        <f t="shared" ca="1" si="252"/>
        <v>225263.2773102558</v>
      </c>
      <c r="M27" s="283">
        <f t="shared" ca="1" si="252"/>
        <v>185039.83810196479</v>
      </c>
      <c r="N27" s="283">
        <f t="shared" ca="1" si="252"/>
        <v>216114.67590918473</v>
      </c>
      <c r="O27" s="283">
        <f t="shared" ca="1" si="252"/>
        <v>210519.46434536402</v>
      </c>
      <c r="P27" s="283">
        <f t="shared" ca="1" si="252"/>
        <v>255268.09294361144</v>
      </c>
      <c r="Q27" s="283">
        <f t="shared" ca="1" si="252"/>
        <v>256394.62206254958</v>
      </c>
      <c r="R27" s="283">
        <f t="shared" ca="1" si="252"/>
        <v>299280.88456356863</v>
      </c>
      <c r="S27" s="283">
        <f t="shared" ca="1" si="252"/>
        <v>305293.35057738691</v>
      </c>
      <c r="T27" s="283">
        <f t="shared" ca="1" si="252"/>
        <v>301080.35231270059</v>
      </c>
      <c r="U27" s="283">
        <f t="shared" ca="1" si="252"/>
        <v>399685.05233379442</v>
      </c>
      <c r="V27" s="283">
        <f t="shared" ca="1" si="252"/>
        <v>453623.05810892419</v>
      </c>
      <c r="W27" s="283">
        <f t="shared" ca="1" si="252"/>
        <v>427394.29916611593</v>
      </c>
      <c r="Y27" s="283">
        <f t="shared" ca="1" si="8"/>
        <v>1224235.713391653</v>
      </c>
      <c r="Z27" s="283">
        <f t="shared" ca="1" si="8"/>
        <v>1069177.4288831635</v>
      </c>
      <c r="AA27" s="283">
        <f t="shared" ca="1" si="8"/>
        <v>836937.25566676934</v>
      </c>
      <c r="AB27" s="283">
        <f t="shared" ca="1" si="8"/>
        <v>1116236.9501471166</v>
      </c>
      <c r="AC27" s="283">
        <f t="shared" ca="1" si="8"/>
        <v>1581782.7619215352</v>
      </c>
    </row>
    <row r="28" spans="2:29" x14ac:dyDescent="0.25">
      <c r="B28" s="310" t="str">
        <f>B27&amp;" as a % of Revenue"</f>
        <v>Net Income as a % of Revenue</v>
      </c>
      <c r="D28" s="280">
        <f ca="1">D27/D$5</f>
        <v>0.10154915467792637</v>
      </c>
      <c r="E28" s="280">
        <f t="shared" ref="E28" ca="1" si="253">E27/E$5</f>
        <v>9.3736532955232835E-2</v>
      </c>
      <c r="F28" s="280">
        <f t="shared" ref="F28" ca="1" si="254">F27/F$5</f>
        <v>5.9180917220121997E-2</v>
      </c>
      <c r="G28" s="280">
        <f t="shared" ref="G28" ca="1" si="255">G27/G$5</f>
        <v>4.8328344987380353E-2</v>
      </c>
      <c r="H28" s="280">
        <f t="shared" ref="H28" ca="1" si="256">H27/H$5</f>
        <v>4.8186357233409936E-2</v>
      </c>
      <c r="I28" s="280">
        <f t="shared" ref="I28" ca="1" si="257">I27/I$5</f>
        <v>5.1944368037944007E-2</v>
      </c>
      <c r="J28" s="280">
        <f t="shared" ref="J28" ca="1" si="258">J27/J$5</f>
        <v>3.4012978021530471E-2</v>
      </c>
      <c r="K28" s="280">
        <f t="shared" ref="K28" ca="1" si="259">K27/K$5</f>
        <v>2.9712473995766299E-2</v>
      </c>
      <c r="L28" s="280">
        <f t="shared" ref="L28" ca="1" si="260">L27/L$5</f>
        <v>2.8033785233789563E-2</v>
      </c>
      <c r="M28" s="280">
        <f t="shared" ref="M28" ca="1" si="261">M27/M$5</f>
        <v>2.0905057363501341E-2</v>
      </c>
      <c r="N28" s="280">
        <f t="shared" ref="N28" ca="1" si="262">N27/N$5</f>
        <v>2.2340730120814951E-2</v>
      </c>
      <c r="O28" s="280">
        <f t="shared" ref="O28" ca="1" si="263">O27/O$5</f>
        <v>2.0798123904307797E-2</v>
      </c>
      <c r="P28" s="280">
        <f t="shared" ref="P28" ca="1" si="264">P27/P$5</f>
        <v>2.4141408098973596E-2</v>
      </c>
      <c r="Q28" s="280">
        <f t="shared" ref="Q28" ca="1" si="265">Q27/Q$5</f>
        <v>2.24731917512489E-2</v>
      </c>
      <c r="R28" s="280">
        <f t="shared" ref="R28" ca="1" si="266">R27/R$5</f>
        <v>2.4430673862273489E-2</v>
      </c>
      <c r="S28" s="280">
        <f t="shared" ref="S28" ca="1" si="267">S27/S$5</f>
        <v>2.4004845224909789E-2</v>
      </c>
      <c r="T28" s="280">
        <f t="shared" ref="T28" ca="1" si="268">T27/T$5</f>
        <v>2.2827669584413842E-2</v>
      </c>
      <c r="U28" s="280">
        <f t="shared" ref="U28" ca="1" si="269">U27/U$5</f>
        <v>2.8459660646484926E-2</v>
      </c>
      <c r="V28" s="280">
        <f t="shared" ref="V28" ca="1" si="270">V27/V$5</f>
        <v>3.0434361162384117E-2</v>
      </c>
      <c r="W28" s="280">
        <f t="shared" ref="W28" ca="1" si="271">W27/W$5</f>
        <v>2.7766145926858658E-2</v>
      </c>
      <c r="Y28" s="280">
        <f t="shared" ref="Y28" ca="1" si="272">Y27/Y$5</f>
        <v>7.1832532547384739E-2</v>
      </c>
      <c r="Z28" s="280">
        <f t="shared" ref="Z28" ca="1" si="273">Z27/Z$5</f>
        <v>4.0019979033829166E-2</v>
      </c>
      <c r="AA28" s="280">
        <f t="shared" ref="AA28" ca="1" si="274">AA27/AA$5</f>
        <v>2.2815725444257945E-2</v>
      </c>
      <c r="AB28" s="280">
        <f t="shared" ref="AB28" ca="1" si="275">AB27/AB$5</f>
        <v>2.3774519704363867E-2</v>
      </c>
      <c r="AC28" s="280">
        <f t="shared" ref="AC28" ca="1" si="276">AC27/AC$5</f>
        <v>2.749454187890675E-2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35EB-5D15-4B31-8944-4A2AF846BDA2}">
  <sheetPr>
    <tabColor rgb="FF92D050"/>
  </sheetPr>
  <dimension ref="B3:X24"/>
  <sheetViews>
    <sheetView workbookViewId="0">
      <selection activeCell="F15" sqref="F15"/>
    </sheetView>
  </sheetViews>
  <sheetFormatPr defaultRowHeight="15" x14ac:dyDescent="0.25"/>
  <cols>
    <col min="2" max="2" width="19.42578125" bestFit="1" customWidth="1"/>
    <col min="3" max="3" width="3.5703125" bestFit="1" customWidth="1"/>
    <col min="4" max="4" width="11.5703125" bestFit="1" customWidth="1"/>
    <col min="5" max="10" width="11.85546875" bestFit="1" customWidth="1"/>
    <col min="11" max="11" width="16.5703125" bestFit="1" customWidth="1"/>
    <col min="12" max="12" width="15.5703125" bestFit="1" customWidth="1"/>
    <col min="13" max="24" width="11.85546875" bestFit="1" customWidth="1"/>
  </cols>
  <sheetData>
    <row r="3" spans="2:24" x14ac:dyDescent="0.25">
      <c r="E3" s="199" t="s">
        <v>6</v>
      </c>
      <c r="F3" s="199"/>
      <c r="G3" s="199"/>
      <c r="H3" s="199"/>
      <c r="I3" s="199" t="s">
        <v>7</v>
      </c>
      <c r="J3" s="199"/>
      <c r="K3" s="199"/>
      <c r="L3" s="199"/>
      <c r="M3" s="199" t="s">
        <v>8</v>
      </c>
      <c r="N3" s="199"/>
      <c r="O3" s="199"/>
      <c r="P3" s="199"/>
      <c r="Q3" s="199" t="s">
        <v>9</v>
      </c>
      <c r="R3" s="199"/>
      <c r="S3" s="199"/>
      <c r="T3" s="199"/>
      <c r="U3" s="199" t="s">
        <v>10</v>
      </c>
      <c r="V3" s="199"/>
      <c r="W3" s="199"/>
      <c r="X3" s="199"/>
    </row>
    <row r="4" spans="2:24" x14ac:dyDescent="0.25">
      <c r="E4" s="200" t="s">
        <v>11</v>
      </c>
      <c r="F4" s="200" t="s">
        <v>12</v>
      </c>
      <c r="G4" s="200" t="s">
        <v>13</v>
      </c>
      <c r="H4" s="200" t="s">
        <v>14</v>
      </c>
      <c r="I4" s="200" t="s">
        <v>11</v>
      </c>
      <c r="J4" s="200" t="s">
        <v>12</v>
      </c>
      <c r="K4" s="200" t="s">
        <v>13</v>
      </c>
      <c r="L4" s="200" t="s">
        <v>14</v>
      </c>
      <c r="M4" s="200" t="s">
        <v>11</v>
      </c>
      <c r="N4" s="200" t="s">
        <v>12</v>
      </c>
      <c r="O4" s="200" t="s">
        <v>13</v>
      </c>
      <c r="P4" s="200" t="s">
        <v>14</v>
      </c>
      <c r="Q4" s="200" t="s">
        <v>11</v>
      </c>
      <c r="R4" s="200" t="s">
        <v>12</v>
      </c>
      <c r="S4" s="200" t="s">
        <v>13</v>
      </c>
      <c r="T4" s="200" t="s">
        <v>14</v>
      </c>
      <c r="U4" s="200" t="s">
        <v>11</v>
      </c>
      <c r="V4" s="200" t="s">
        <v>12</v>
      </c>
      <c r="W4" s="200" t="s">
        <v>13</v>
      </c>
      <c r="X4" s="200" t="s">
        <v>14</v>
      </c>
    </row>
    <row r="5" spans="2:24" x14ac:dyDescent="0.25">
      <c r="B5" t="s">
        <v>273</v>
      </c>
      <c r="E5" s="362"/>
      <c r="F5" s="362"/>
      <c r="G5" s="362"/>
      <c r="H5" s="362"/>
      <c r="I5" s="362"/>
      <c r="J5" s="362"/>
      <c r="K5" s="362"/>
      <c r="L5" s="362"/>
      <c r="M5" s="362">
        <v>2650000</v>
      </c>
      <c r="N5" s="200"/>
      <c r="O5" s="200"/>
      <c r="P5" s="200"/>
      <c r="Q5" s="361"/>
      <c r="R5" s="200"/>
      <c r="S5" s="200"/>
      <c r="T5" s="200"/>
      <c r="U5" s="200"/>
      <c r="V5" s="200"/>
      <c r="W5" s="200"/>
      <c r="X5" s="200"/>
    </row>
    <row r="6" spans="2:24" x14ac:dyDescent="0.25">
      <c r="B6" t="s">
        <v>247</v>
      </c>
      <c r="D6" s="277">
        <v>10000000</v>
      </c>
      <c r="E6" s="360">
        <f>D6+E5</f>
        <v>10000000</v>
      </c>
      <c r="F6" s="360">
        <f t="shared" ref="F6:X6" si="0">E6+F5</f>
        <v>10000000</v>
      </c>
      <c r="G6" s="360">
        <f t="shared" si="0"/>
        <v>10000000</v>
      </c>
      <c r="H6" s="360">
        <f t="shared" si="0"/>
        <v>10000000</v>
      </c>
      <c r="I6" s="360">
        <f t="shared" si="0"/>
        <v>10000000</v>
      </c>
      <c r="J6" s="360">
        <f t="shared" si="0"/>
        <v>10000000</v>
      </c>
      <c r="K6" s="360">
        <f>J6+K5</f>
        <v>10000000</v>
      </c>
      <c r="L6" s="360">
        <f t="shared" si="0"/>
        <v>10000000</v>
      </c>
      <c r="M6" s="360">
        <f>L6+M5</f>
        <v>12650000</v>
      </c>
      <c r="N6" s="360">
        <f t="shared" si="0"/>
        <v>12650000</v>
      </c>
      <c r="O6" s="360">
        <f t="shared" si="0"/>
        <v>12650000</v>
      </c>
      <c r="P6" s="360">
        <f t="shared" si="0"/>
        <v>12650000</v>
      </c>
      <c r="Q6" s="360">
        <f>P6+Q5</f>
        <v>12650000</v>
      </c>
      <c r="R6" s="360">
        <f t="shared" si="0"/>
        <v>12650000</v>
      </c>
      <c r="S6" s="360">
        <f t="shared" si="0"/>
        <v>12650000</v>
      </c>
      <c r="T6" s="360">
        <f t="shared" si="0"/>
        <v>12650000</v>
      </c>
      <c r="U6" s="360">
        <f t="shared" si="0"/>
        <v>12650000</v>
      </c>
      <c r="V6" s="360">
        <f t="shared" si="0"/>
        <v>12650000</v>
      </c>
      <c r="W6" s="360">
        <f t="shared" si="0"/>
        <v>12650000</v>
      </c>
      <c r="X6" s="360">
        <f t="shared" si="0"/>
        <v>12650000</v>
      </c>
    </row>
    <row r="7" spans="2:24" x14ac:dyDescent="0.25">
      <c r="B7" t="s">
        <v>166</v>
      </c>
      <c r="C7" s="309">
        <f>Inputs!C156</f>
        <v>0.05</v>
      </c>
      <c r="E7" s="288">
        <f>$C7*E6/4</f>
        <v>125000</v>
      </c>
      <c r="F7" s="288">
        <f t="shared" ref="F7:X7" si="1">$C7*F6/4</f>
        <v>125000</v>
      </c>
      <c r="G7" s="288">
        <f t="shared" si="1"/>
        <v>125000</v>
      </c>
      <c r="H7" s="288">
        <f t="shared" si="1"/>
        <v>125000</v>
      </c>
      <c r="I7" s="288">
        <f t="shared" si="1"/>
        <v>125000</v>
      </c>
      <c r="J7" s="288">
        <f t="shared" si="1"/>
        <v>125000</v>
      </c>
      <c r="K7" s="288">
        <f t="shared" si="1"/>
        <v>125000</v>
      </c>
      <c r="L7" s="288">
        <f t="shared" si="1"/>
        <v>125000</v>
      </c>
      <c r="M7" s="288">
        <f t="shared" si="1"/>
        <v>158125</v>
      </c>
      <c r="N7" s="288">
        <f t="shared" si="1"/>
        <v>158125</v>
      </c>
      <c r="O7" s="288">
        <f t="shared" si="1"/>
        <v>158125</v>
      </c>
      <c r="P7" s="288">
        <f t="shared" si="1"/>
        <v>158125</v>
      </c>
      <c r="Q7" s="288">
        <f t="shared" si="1"/>
        <v>158125</v>
      </c>
      <c r="R7" s="288">
        <f t="shared" si="1"/>
        <v>158125</v>
      </c>
      <c r="S7" s="288">
        <f t="shared" si="1"/>
        <v>158125</v>
      </c>
      <c r="T7" s="288">
        <f t="shared" si="1"/>
        <v>158125</v>
      </c>
      <c r="U7" s="288">
        <f t="shared" si="1"/>
        <v>158125</v>
      </c>
      <c r="V7" s="288">
        <f t="shared" si="1"/>
        <v>158125</v>
      </c>
      <c r="W7" s="288">
        <f t="shared" si="1"/>
        <v>158125</v>
      </c>
      <c r="X7" s="288">
        <f t="shared" si="1"/>
        <v>158125</v>
      </c>
    </row>
    <row r="12" spans="2:24" x14ac:dyDescent="0.25">
      <c r="J12" s="384" t="s">
        <v>351</v>
      </c>
      <c r="K12" s="362">
        <v>15389410</v>
      </c>
      <c r="M12" s="277">
        <v>2650000</v>
      </c>
    </row>
    <row r="13" spans="2:24" x14ac:dyDescent="0.25">
      <c r="J13" s="384" t="s">
        <v>350</v>
      </c>
      <c r="K13" s="277">
        <v>16163317</v>
      </c>
      <c r="M13" s="277">
        <v>3150000</v>
      </c>
    </row>
    <row r="14" spans="2:24" x14ac:dyDescent="0.25">
      <c r="J14" s="384" t="s">
        <v>347</v>
      </c>
      <c r="K14" s="277">
        <v>17081836</v>
      </c>
      <c r="L14" s="277"/>
      <c r="M14" s="277">
        <v>3570000</v>
      </c>
    </row>
    <row r="18" spans="9:13" x14ac:dyDescent="0.25">
      <c r="I18" s="218"/>
      <c r="J18" s="218"/>
      <c r="K18" s="218"/>
      <c r="L18" s="218"/>
      <c r="M18" s="218"/>
    </row>
    <row r="19" spans="9:13" x14ac:dyDescent="0.25">
      <c r="I19" s="218"/>
      <c r="J19" s="218"/>
      <c r="K19" s="499" t="s">
        <v>345</v>
      </c>
      <c r="L19" s="499"/>
      <c r="M19" s="218"/>
    </row>
    <row r="20" spans="9:13" x14ac:dyDescent="0.25">
      <c r="I20" s="218"/>
      <c r="J20" s="218"/>
      <c r="K20" s="501">
        <v>1</v>
      </c>
      <c r="L20" s="501">
        <v>2</v>
      </c>
      <c r="M20" s="218"/>
    </row>
    <row r="21" spans="9:13" x14ac:dyDescent="0.25">
      <c r="I21" s="514" t="s">
        <v>93</v>
      </c>
      <c r="J21" s="502">
        <v>1</v>
      </c>
      <c r="K21" s="500" t="s">
        <v>349</v>
      </c>
      <c r="L21" s="490" t="s">
        <v>352</v>
      </c>
      <c r="M21" s="218"/>
    </row>
    <row r="22" spans="9:13" ht="21.75" customHeight="1" x14ac:dyDescent="0.25">
      <c r="I22" s="514"/>
      <c r="J22" s="502">
        <v>2</v>
      </c>
      <c r="K22" s="490" t="s">
        <v>348</v>
      </c>
      <c r="L22" s="490" t="s">
        <v>353</v>
      </c>
      <c r="M22" s="218"/>
    </row>
    <row r="23" spans="9:13" x14ac:dyDescent="0.25">
      <c r="I23" s="514"/>
      <c r="J23" s="502">
        <v>3</v>
      </c>
      <c r="K23" s="489" t="s">
        <v>346</v>
      </c>
      <c r="L23" s="489" t="s">
        <v>354</v>
      </c>
      <c r="M23" s="218"/>
    </row>
    <row r="24" spans="9:13" x14ac:dyDescent="0.25">
      <c r="I24" s="218"/>
      <c r="J24" s="218"/>
      <c r="K24" s="218"/>
      <c r="L24" s="218"/>
      <c r="M24" s="218"/>
    </row>
  </sheetData>
  <mergeCells count="1">
    <mergeCell ref="I21:I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A68A-50DD-4199-8042-89CE33A204BD}">
  <sheetPr>
    <tabColor rgb="FF92D050"/>
  </sheetPr>
  <dimension ref="B3:AA76"/>
  <sheetViews>
    <sheetView zoomScale="130" zoomScaleNormal="130" workbookViewId="0">
      <pane xSplit="7" ySplit="6" topLeftCell="O37" activePane="bottomRight" state="frozen"/>
      <selection pane="topRight" activeCell="H1" sqref="H1"/>
      <selection pane="bottomLeft" activeCell="A7" sqref="A7"/>
      <selection pane="bottomRight" activeCell="O42" sqref="O42"/>
    </sheetView>
  </sheetViews>
  <sheetFormatPr defaultRowHeight="11.25" x14ac:dyDescent="0.2"/>
  <cols>
    <col min="1" max="1" width="2.7109375" style="1" customWidth="1"/>
    <col min="2" max="2" width="24.42578125" style="1" bestFit="1" customWidth="1"/>
    <col min="3" max="3" width="7.42578125" style="1" bestFit="1" customWidth="1"/>
    <col min="4" max="4" width="8.42578125" style="1" bestFit="1" customWidth="1"/>
    <col min="5" max="5" width="8.5703125" style="1" bestFit="1" customWidth="1"/>
    <col min="6" max="7" width="2.7109375" style="1" customWidth="1"/>
    <col min="8" max="27" width="7.85546875" style="1" bestFit="1" customWidth="1"/>
    <col min="28" max="16384" width="9.140625" style="1"/>
  </cols>
  <sheetData>
    <row r="3" spans="2:27" x14ac:dyDescent="0.2">
      <c r="H3" s="199" t="s">
        <v>6</v>
      </c>
      <c r="I3" s="199"/>
      <c r="J3" s="199"/>
      <c r="K3" s="199"/>
      <c r="L3" s="199" t="s">
        <v>7</v>
      </c>
      <c r="M3" s="199"/>
      <c r="N3" s="199"/>
      <c r="O3" s="199"/>
      <c r="P3" s="199" t="s">
        <v>8</v>
      </c>
      <c r="Q3" s="199"/>
      <c r="R3" s="199"/>
      <c r="S3" s="199"/>
      <c r="T3" s="199" t="s">
        <v>9</v>
      </c>
      <c r="U3" s="199"/>
      <c r="V3" s="199"/>
      <c r="W3" s="199"/>
      <c r="X3" s="199" t="s">
        <v>10</v>
      </c>
      <c r="Y3" s="199"/>
      <c r="Z3" s="199"/>
      <c r="AA3" s="199"/>
    </row>
    <row r="4" spans="2:27" x14ac:dyDescent="0.2">
      <c r="H4" s="200" t="s">
        <v>11</v>
      </c>
      <c r="I4" s="200" t="s">
        <v>12</v>
      </c>
      <c r="J4" s="200" t="s">
        <v>13</v>
      </c>
      <c r="K4" s="200" t="s">
        <v>14</v>
      </c>
      <c r="L4" s="200" t="s">
        <v>11</v>
      </c>
      <c r="M4" s="200" t="s">
        <v>12</v>
      </c>
      <c r="N4" s="200" t="s">
        <v>13</v>
      </c>
      <c r="O4" s="200" t="s">
        <v>14</v>
      </c>
      <c r="P4" s="200" t="s">
        <v>11</v>
      </c>
      <c r="Q4" s="200" t="s">
        <v>12</v>
      </c>
      <c r="R4" s="200" t="s">
        <v>13</v>
      </c>
      <c r="S4" s="200" t="s">
        <v>14</v>
      </c>
      <c r="T4" s="200" t="s">
        <v>11</v>
      </c>
      <c r="U4" s="200" t="s">
        <v>12</v>
      </c>
      <c r="V4" s="200" t="s">
        <v>13</v>
      </c>
      <c r="W4" s="200" t="s">
        <v>14</v>
      </c>
      <c r="X4" s="200" t="s">
        <v>11</v>
      </c>
      <c r="Y4" s="200" t="s">
        <v>12</v>
      </c>
      <c r="Z4" s="200" t="s">
        <v>13</v>
      </c>
      <c r="AA4" s="200" t="s">
        <v>14</v>
      </c>
    </row>
    <row r="5" spans="2:27" x14ac:dyDescent="0.2">
      <c r="B5" s="1" t="s">
        <v>222</v>
      </c>
      <c r="H5" s="238">
        <v>6</v>
      </c>
      <c r="I5" s="238">
        <v>8</v>
      </c>
      <c r="J5" s="238">
        <v>10</v>
      </c>
      <c r="K5" s="238">
        <v>11</v>
      </c>
      <c r="L5" s="238">
        <v>12</v>
      </c>
      <c r="M5" s="238">
        <v>14</v>
      </c>
      <c r="N5" s="238">
        <v>16</v>
      </c>
      <c r="O5" s="238">
        <v>17</v>
      </c>
      <c r="P5" s="238">
        <v>18</v>
      </c>
      <c r="Q5" s="238">
        <v>20</v>
      </c>
      <c r="R5" s="238">
        <v>22</v>
      </c>
      <c r="S5" s="238">
        <v>23</v>
      </c>
      <c r="T5" s="238">
        <v>24</v>
      </c>
      <c r="U5" s="238">
        <v>26</v>
      </c>
      <c r="V5" s="238">
        <v>28</v>
      </c>
      <c r="W5" s="238">
        <v>29</v>
      </c>
      <c r="X5" s="238">
        <v>30</v>
      </c>
      <c r="Y5" s="238">
        <v>32</v>
      </c>
      <c r="Z5" s="238">
        <v>34</v>
      </c>
      <c r="AA5" s="238">
        <v>35</v>
      </c>
    </row>
    <row r="6" spans="2:27" x14ac:dyDescent="0.2">
      <c r="B6" s="1" t="s">
        <v>223</v>
      </c>
      <c r="H6" s="240">
        <v>0.25</v>
      </c>
      <c r="I6" s="240">
        <v>0.25</v>
      </c>
      <c r="J6" s="240">
        <v>0.25</v>
      </c>
      <c r="K6" s="240">
        <v>0.25</v>
      </c>
      <c r="L6" s="240">
        <v>0.25</v>
      </c>
      <c r="M6" s="240">
        <v>0.25</v>
      </c>
      <c r="N6" s="240">
        <v>0.25</v>
      </c>
      <c r="O6" s="240">
        <v>0.25</v>
      </c>
      <c r="P6" s="240">
        <v>0.25</v>
      </c>
      <c r="Q6" s="240">
        <v>0.25</v>
      </c>
      <c r="R6" s="240">
        <v>0.25</v>
      </c>
      <c r="S6" s="240">
        <v>0.25</v>
      </c>
      <c r="T6" s="240">
        <v>0.25</v>
      </c>
      <c r="U6" s="240">
        <v>0.25</v>
      </c>
      <c r="V6" s="240">
        <v>0.25</v>
      </c>
      <c r="W6" s="240">
        <v>0.25</v>
      </c>
      <c r="X6" s="240">
        <v>0.25</v>
      </c>
      <c r="Y6" s="240">
        <v>0.25</v>
      </c>
      <c r="Z6" s="240">
        <v>0.25</v>
      </c>
      <c r="AA6" s="240">
        <v>0.25</v>
      </c>
    </row>
    <row r="8" spans="2:27" x14ac:dyDescent="0.2">
      <c r="B8" s="2" t="s">
        <v>173</v>
      </c>
    </row>
    <row r="9" spans="2:27" ht="13.5" x14ac:dyDescent="0.35">
      <c r="B9" s="127" t="s">
        <v>18</v>
      </c>
      <c r="C9" s="73"/>
      <c r="D9" s="128" t="s">
        <v>37</v>
      </c>
      <c r="E9" s="129" t="s">
        <v>81</v>
      </c>
    </row>
    <row r="10" spans="2:27" x14ac:dyDescent="0.2">
      <c r="B10" s="130" t="s">
        <v>19</v>
      </c>
      <c r="C10" s="241"/>
      <c r="D10" s="242">
        <f>Inputs!D105</f>
        <v>250000</v>
      </c>
      <c r="E10" s="243">
        <f>Inputs!E105</f>
        <v>0</v>
      </c>
      <c r="H10" s="256">
        <f>IF($E10&lt;=H$5,$D10*H$6,0)</f>
        <v>62500</v>
      </c>
      <c r="I10" s="256">
        <f t="shared" ref="I10:AA25" si="0">IF($E10&lt;=I$5,$D10*I$6,0)</f>
        <v>62500</v>
      </c>
      <c r="J10" s="256">
        <f t="shared" si="0"/>
        <v>62500</v>
      </c>
      <c r="K10" s="256">
        <f t="shared" si="0"/>
        <v>62500</v>
      </c>
      <c r="L10" s="256">
        <f t="shared" si="0"/>
        <v>62500</v>
      </c>
      <c r="M10" s="256">
        <f t="shared" si="0"/>
        <v>62500</v>
      </c>
      <c r="N10" s="256">
        <f t="shared" si="0"/>
        <v>62500</v>
      </c>
      <c r="O10" s="256">
        <f t="shared" si="0"/>
        <v>62500</v>
      </c>
      <c r="P10" s="256">
        <f t="shared" si="0"/>
        <v>62500</v>
      </c>
      <c r="Q10" s="256">
        <f t="shared" si="0"/>
        <v>62500</v>
      </c>
      <c r="R10" s="256">
        <f t="shared" si="0"/>
        <v>62500</v>
      </c>
      <c r="S10" s="256">
        <f t="shared" si="0"/>
        <v>62500</v>
      </c>
      <c r="T10" s="256">
        <f t="shared" si="0"/>
        <v>62500</v>
      </c>
      <c r="U10" s="256">
        <f t="shared" si="0"/>
        <v>62500</v>
      </c>
      <c r="V10" s="256">
        <f t="shared" si="0"/>
        <v>62500</v>
      </c>
      <c r="W10" s="256">
        <f t="shared" si="0"/>
        <v>62500</v>
      </c>
      <c r="X10" s="256">
        <f t="shared" si="0"/>
        <v>62500</v>
      </c>
      <c r="Y10" s="256">
        <f t="shared" si="0"/>
        <v>62500</v>
      </c>
      <c r="Z10" s="256">
        <f t="shared" si="0"/>
        <v>62500</v>
      </c>
      <c r="AA10" s="256">
        <f t="shared" si="0"/>
        <v>62500</v>
      </c>
    </row>
    <row r="11" spans="2:27" x14ac:dyDescent="0.2">
      <c r="B11" s="130" t="s">
        <v>20</v>
      </c>
      <c r="C11" s="241"/>
      <c r="D11" s="244">
        <f>Inputs!D106</f>
        <v>150000</v>
      </c>
      <c r="E11" s="245">
        <f>Inputs!E106</f>
        <v>10</v>
      </c>
      <c r="H11" s="256">
        <f>IF($E11&lt;=H$5,$D11*H$6,0)</f>
        <v>0</v>
      </c>
      <c r="I11" s="256">
        <f t="shared" si="0"/>
        <v>0</v>
      </c>
      <c r="J11" s="256">
        <f t="shared" si="0"/>
        <v>37500</v>
      </c>
      <c r="K11" s="256">
        <f t="shared" si="0"/>
        <v>37500</v>
      </c>
      <c r="L11" s="256">
        <f t="shared" si="0"/>
        <v>37500</v>
      </c>
      <c r="M11" s="256">
        <f t="shared" si="0"/>
        <v>37500</v>
      </c>
      <c r="N11" s="256">
        <f t="shared" si="0"/>
        <v>37500</v>
      </c>
      <c r="O11" s="256">
        <f t="shared" si="0"/>
        <v>37500</v>
      </c>
      <c r="P11" s="256">
        <f t="shared" si="0"/>
        <v>37500</v>
      </c>
      <c r="Q11" s="256">
        <f t="shared" si="0"/>
        <v>37500</v>
      </c>
      <c r="R11" s="256">
        <f t="shared" si="0"/>
        <v>37500</v>
      </c>
      <c r="S11" s="256">
        <f t="shared" si="0"/>
        <v>37500</v>
      </c>
      <c r="T11" s="256">
        <f t="shared" si="0"/>
        <v>37500</v>
      </c>
      <c r="U11" s="256">
        <f t="shared" si="0"/>
        <v>37500</v>
      </c>
      <c r="V11" s="256">
        <f t="shared" si="0"/>
        <v>37500</v>
      </c>
      <c r="W11" s="256">
        <f t="shared" si="0"/>
        <v>37500</v>
      </c>
      <c r="X11" s="256">
        <f t="shared" si="0"/>
        <v>37500</v>
      </c>
      <c r="Y11" s="256">
        <f t="shared" si="0"/>
        <v>37500</v>
      </c>
      <c r="Z11" s="256">
        <f t="shared" si="0"/>
        <v>37500</v>
      </c>
      <c r="AA11" s="256">
        <f t="shared" si="0"/>
        <v>37500</v>
      </c>
    </row>
    <row r="12" spans="2:27" x14ac:dyDescent="0.2">
      <c r="B12" s="130" t="s">
        <v>39</v>
      </c>
      <c r="C12" s="241"/>
      <c r="D12" s="246">
        <f>Inputs!D107</f>
        <v>80000</v>
      </c>
      <c r="E12" s="247">
        <f>Inputs!E107</f>
        <v>15</v>
      </c>
      <c r="H12" s="256">
        <f t="shared" ref="H12:H13" si="1">IF($E12&lt;=H$5,$D12*H$6,0)</f>
        <v>0</v>
      </c>
      <c r="I12" s="256">
        <f t="shared" si="0"/>
        <v>0</v>
      </c>
      <c r="J12" s="256">
        <f t="shared" si="0"/>
        <v>0</v>
      </c>
      <c r="K12" s="256">
        <f t="shared" si="0"/>
        <v>0</v>
      </c>
      <c r="L12" s="256">
        <f t="shared" si="0"/>
        <v>0</v>
      </c>
      <c r="M12" s="256">
        <f t="shared" si="0"/>
        <v>0</v>
      </c>
      <c r="N12" s="256">
        <f t="shared" si="0"/>
        <v>20000</v>
      </c>
      <c r="O12" s="256">
        <f t="shared" si="0"/>
        <v>20000</v>
      </c>
      <c r="P12" s="256">
        <f t="shared" si="0"/>
        <v>20000</v>
      </c>
      <c r="Q12" s="256">
        <f t="shared" si="0"/>
        <v>20000</v>
      </c>
      <c r="R12" s="256">
        <f t="shared" si="0"/>
        <v>20000</v>
      </c>
      <c r="S12" s="256">
        <f t="shared" si="0"/>
        <v>20000</v>
      </c>
      <c r="T12" s="256">
        <f t="shared" si="0"/>
        <v>20000</v>
      </c>
      <c r="U12" s="256">
        <f t="shared" si="0"/>
        <v>20000</v>
      </c>
      <c r="V12" s="256">
        <f t="shared" si="0"/>
        <v>20000</v>
      </c>
      <c r="W12" s="256">
        <f t="shared" si="0"/>
        <v>20000</v>
      </c>
      <c r="X12" s="256">
        <f t="shared" si="0"/>
        <v>20000</v>
      </c>
      <c r="Y12" s="256">
        <f t="shared" si="0"/>
        <v>20000</v>
      </c>
      <c r="Z12" s="256">
        <f t="shared" si="0"/>
        <v>20000</v>
      </c>
      <c r="AA12" s="256">
        <f t="shared" si="0"/>
        <v>20000</v>
      </c>
    </row>
    <row r="13" spans="2:27" x14ac:dyDescent="0.2">
      <c r="B13" s="130" t="s">
        <v>21</v>
      </c>
      <c r="C13" s="241"/>
      <c r="D13" s="242">
        <f>Inputs!D108</f>
        <v>150000</v>
      </c>
      <c r="E13" s="243">
        <f>Inputs!E108</f>
        <v>5</v>
      </c>
      <c r="H13" s="256">
        <f t="shared" si="1"/>
        <v>37500</v>
      </c>
      <c r="I13" s="256">
        <f t="shared" si="0"/>
        <v>37500</v>
      </c>
      <c r="J13" s="256">
        <f t="shared" si="0"/>
        <v>37500</v>
      </c>
      <c r="K13" s="256">
        <f t="shared" si="0"/>
        <v>37500</v>
      </c>
      <c r="L13" s="256">
        <f t="shared" si="0"/>
        <v>37500</v>
      </c>
      <c r="M13" s="256">
        <f t="shared" si="0"/>
        <v>37500</v>
      </c>
      <c r="N13" s="256">
        <f t="shared" si="0"/>
        <v>37500</v>
      </c>
      <c r="O13" s="256">
        <f t="shared" si="0"/>
        <v>37500</v>
      </c>
      <c r="P13" s="256">
        <f t="shared" si="0"/>
        <v>37500</v>
      </c>
      <c r="Q13" s="256">
        <f t="shared" si="0"/>
        <v>37500</v>
      </c>
      <c r="R13" s="256">
        <f t="shared" si="0"/>
        <v>37500</v>
      </c>
      <c r="S13" s="256">
        <f t="shared" si="0"/>
        <v>37500</v>
      </c>
      <c r="T13" s="256">
        <f t="shared" si="0"/>
        <v>37500</v>
      </c>
      <c r="U13" s="256">
        <f t="shared" si="0"/>
        <v>37500</v>
      </c>
      <c r="V13" s="256">
        <f t="shared" si="0"/>
        <v>37500</v>
      </c>
      <c r="W13" s="256">
        <f t="shared" si="0"/>
        <v>37500</v>
      </c>
      <c r="X13" s="256">
        <f t="shared" si="0"/>
        <v>37500</v>
      </c>
      <c r="Y13" s="256">
        <f t="shared" si="0"/>
        <v>37500</v>
      </c>
      <c r="Z13" s="256">
        <f t="shared" si="0"/>
        <v>37500</v>
      </c>
      <c r="AA13" s="256">
        <f t="shared" si="0"/>
        <v>37500</v>
      </c>
    </row>
    <row r="14" spans="2:27" x14ac:dyDescent="0.2">
      <c r="B14" s="133" t="s">
        <v>22</v>
      </c>
      <c r="C14" s="241"/>
      <c r="D14" s="203">
        <f>Inputs!D109</f>
        <v>0</v>
      </c>
      <c r="E14" s="248"/>
    </row>
    <row r="15" spans="2:27" x14ac:dyDescent="0.2">
      <c r="B15" s="130" t="s">
        <v>23</v>
      </c>
      <c r="C15" s="241"/>
      <c r="D15" s="249">
        <f>Inputs!D110</f>
        <v>100000</v>
      </c>
      <c r="E15" s="250">
        <f>Inputs!E110</f>
        <v>15</v>
      </c>
      <c r="H15" s="256">
        <f t="shared" ref="H15:H17" si="2">IF($E15&lt;=H$5,$D15*H$6,0)</f>
        <v>0</v>
      </c>
      <c r="I15" s="256">
        <f t="shared" si="0"/>
        <v>0</v>
      </c>
      <c r="J15" s="256">
        <f t="shared" si="0"/>
        <v>0</v>
      </c>
      <c r="K15" s="256">
        <f t="shared" si="0"/>
        <v>0</v>
      </c>
      <c r="L15" s="256">
        <f t="shared" si="0"/>
        <v>0</v>
      </c>
      <c r="M15" s="256">
        <f t="shared" si="0"/>
        <v>0</v>
      </c>
      <c r="N15" s="256">
        <f t="shared" si="0"/>
        <v>25000</v>
      </c>
      <c r="O15" s="256">
        <f t="shared" si="0"/>
        <v>25000</v>
      </c>
      <c r="P15" s="256">
        <f t="shared" si="0"/>
        <v>25000</v>
      </c>
      <c r="Q15" s="256">
        <f t="shared" si="0"/>
        <v>25000</v>
      </c>
      <c r="R15" s="256">
        <f t="shared" si="0"/>
        <v>25000</v>
      </c>
      <c r="S15" s="256">
        <f t="shared" si="0"/>
        <v>25000</v>
      </c>
      <c r="T15" s="256">
        <f t="shared" si="0"/>
        <v>25000</v>
      </c>
      <c r="U15" s="256">
        <f t="shared" si="0"/>
        <v>25000</v>
      </c>
      <c r="V15" s="256">
        <f t="shared" si="0"/>
        <v>25000</v>
      </c>
      <c r="W15" s="256">
        <f t="shared" si="0"/>
        <v>25000</v>
      </c>
      <c r="X15" s="256">
        <f t="shared" si="0"/>
        <v>25000</v>
      </c>
      <c r="Y15" s="256">
        <f t="shared" si="0"/>
        <v>25000</v>
      </c>
      <c r="Z15" s="256">
        <f t="shared" si="0"/>
        <v>25000</v>
      </c>
      <c r="AA15" s="256">
        <f t="shared" si="0"/>
        <v>25000</v>
      </c>
    </row>
    <row r="16" spans="2:27" x14ac:dyDescent="0.2">
      <c r="B16" s="130" t="s">
        <v>24</v>
      </c>
      <c r="C16" s="241"/>
      <c r="D16" s="251">
        <f>Inputs!D111</f>
        <v>40000</v>
      </c>
      <c r="E16" s="245">
        <f>Inputs!E111</f>
        <v>25</v>
      </c>
      <c r="H16" s="256">
        <f t="shared" si="2"/>
        <v>0</v>
      </c>
      <c r="I16" s="256">
        <f t="shared" si="0"/>
        <v>0</v>
      </c>
      <c r="J16" s="256">
        <f t="shared" si="0"/>
        <v>0</v>
      </c>
      <c r="K16" s="256">
        <f t="shared" si="0"/>
        <v>0</v>
      </c>
      <c r="L16" s="256">
        <f t="shared" si="0"/>
        <v>0</v>
      </c>
      <c r="M16" s="256">
        <f t="shared" si="0"/>
        <v>0</v>
      </c>
      <c r="N16" s="256">
        <f t="shared" si="0"/>
        <v>0</v>
      </c>
      <c r="O16" s="256">
        <f t="shared" si="0"/>
        <v>0</v>
      </c>
      <c r="P16" s="256">
        <f t="shared" si="0"/>
        <v>0</v>
      </c>
      <c r="Q16" s="256">
        <f t="shared" si="0"/>
        <v>0</v>
      </c>
      <c r="R16" s="256">
        <f t="shared" si="0"/>
        <v>0</v>
      </c>
      <c r="S16" s="256">
        <f t="shared" si="0"/>
        <v>0</v>
      </c>
      <c r="T16" s="256">
        <f t="shared" si="0"/>
        <v>0</v>
      </c>
      <c r="U16" s="256">
        <f t="shared" si="0"/>
        <v>10000</v>
      </c>
      <c r="V16" s="256">
        <f t="shared" si="0"/>
        <v>10000</v>
      </c>
      <c r="W16" s="256">
        <f t="shared" si="0"/>
        <v>10000</v>
      </c>
      <c r="X16" s="256">
        <f t="shared" si="0"/>
        <v>10000</v>
      </c>
      <c r="Y16" s="256">
        <f t="shared" si="0"/>
        <v>10000</v>
      </c>
      <c r="Z16" s="256">
        <f t="shared" si="0"/>
        <v>10000</v>
      </c>
      <c r="AA16" s="256">
        <f t="shared" si="0"/>
        <v>10000</v>
      </c>
    </row>
    <row r="17" spans="2:27" x14ac:dyDescent="0.2">
      <c r="B17" s="130" t="s">
        <v>25</v>
      </c>
      <c r="C17" s="241"/>
      <c r="D17" s="252">
        <f>Inputs!D112</f>
        <v>85000</v>
      </c>
      <c r="E17" s="253">
        <f>Inputs!E112</f>
        <v>25</v>
      </c>
      <c r="H17" s="256">
        <f t="shared" si="2"/>
        <v>0</v>
      </c>
      <c r="I17" s="256">
        <f t="shared" si="0"/>
        <v>0</v>
      </c>
      <c r="J17" s="256">
        <f t="shared" si="0"/>
        <v>0</v>
      </c>
      <c r="K17" s="256">
        <f t="shared" si="0"/>
        <v>0</v>
      </c>
      <c r="L17" s="256">
        <f t="shared" si="0"/>
        <v>0</v>
      </c>
      <c r="M17" s="256">
        <f t="shared" si="0"/>
        <v>0</v>
      </c>
      <c r="N17" s="256">
        <f t="shared" si="0"/>
        <v>0</v>
      </c>
      <c r="O17" s="256">
        <f t="shared" si="0"/>
        <v>0</v>
      </c>
      <c r="P17" s="256">
        <f t="shared" si="0"/>
        <v>0</v>
      </c>
      <c r="Q17" s="256">
        <f t="shared" si="0"/>
        <v>0</v>
      </c>
      <c r="R17" s="256">
        <f t="shared" si="0"/>
        <v>0</v>
      </c>
      <c r="S17" s="256">
        <f t="shared" si="0"/>
        <v>0</v>
      </c>
      <c r="T17" s="256">
        <f t="shared" si="0"/>
        <v>0</v>
      </c>
      <c r="U17" s="256">
        <f t="shared" si="0"/>
        <v>21250</v>
      </c>
      <c r="V17" s="256">
        <f t="shared" si="0"/>
        <v>21250</v>
      </c>
      <c r="W17" s="256">
        <f t="shared" si="0"/>
        <v>21250</v>
      </c>
      <c r="X17" s="256">
        <f t="shared" si="0"/>
        <v>21250</v>
      </c>
      <c r="Y17" s="256">
        <f t="shared" si="0"/>
        <v>21250</v>
      </c>
      <c r="Z17" s="256">
        <f t="shared" si="0"/>
        <v>21250</v>
      </c>
      <c r="AA17" s="256">
        <f t="shared" si="0"/>
        <v>21250</v>
      </c>
    </row>
    <row r="18" spans="2:27" x14ac:dyDescent="0.2">
      <c r="B18" s="133" t="s">
        <v>26</v>
      </c>
      <c r="C18" s="241"/>
      <c r="D18" s="203">
        <f>Inputs!D113</f>
        <v>0</v>
      </c>
      <c r="E18" s="248"/>
    </row>
    <row r="19" spans="2:27" x14ac:dyDescent="0.2">
      <c r="B19" s="130" t="s">
        <v>40</v>
      </c>
      <c r="C19" s="241"/>
      <c r="D19" s="254">
        <f>Inputs!D114</f>
        <v>125000</v>
      </c>
      <c r="E19" s="243">
        <f>Inputs!E114</f>
        <v>5</v>
      </c>
      <c r="H19" s="256">
        <f t="shared" ref="H19:H25" si="3">IF($E19&lt;=H$5,$D19*H$6,0)</f>
        <v>31250</v>
      </c>
      <c r="I19" s="256">
        <f t="shared" si="0"/>
        <v>31250</v>
      </c>
      <c r="J19" s="256">
        <f t="shared" si="0"/>
        <v>31250</v>
      </c>
      <c r="K19" s="256">
        <f t="shared" si="0"/>
        <v>31250</v>
      </c>
      <c r="L19" s="256">
        <f t="shared" si="0"/>
        <v>31250</v>
      </c>
      <c r="M19" s="256">
        <f t="shared" si="0"/>
        <v>31250</v>
      </c>
      <c r="N19" s="256">
        <f t="shared" si="0"/>
        <v>31250</v>
      </c>
      <c r="O19" s="256">
        <f t="shared" si="0"/>
        <v>31250</v>
      </c>
      <c r="P19" s="256">
        <f t="shared" si="0"/>
        <v>31250</v>
      </c>
      <c r="Q19" s="256">
        <f t="shared" si="0"/>
        <v>31250</v>
      </c>
      <c r="R19" s="256">
        <f t="shared" si="0"/>
        <v>31250</v>
      </c>
      <c r="S19" s="256">
        <f t="shared" si="0"/>
        <v>31250</v>
      </c>
      <c r="T19" s="256">
        <f t="shared" si="0"/>
        <v>31250</v>
      </c>
      <c r="U19" s="256">
        <f t="shared" si="0"/>
        <v>31250</v>
      </c>
      <c r="V19" s="256">
        <f t="shared" si="0"/>
        <v>31250</v>
      </c>
      <c r="W19" s="256">
        <f t="shared" si="0"/>
        <v>31250</v>
      </c>
      <c r="X19" s="256">
        <f t="shared" si="0"/>
        <v>31250</v>
      </c>
      <c r="Y19" s="256">
        <f t="shared" si="0"/>
        <v>31250</v>
      </c>
      <c r="Z19" s="256">
        <f t="shared" si="0"/>
        <v>31250</v>
      </c>
      <c r="AA19" s="256">
        <f t="shared" si="0"/>
        <v>31250</v>
      </c>
    </row>
    <row r="20" spans="2:27" x14ac:dyDescent="0.2">
      <c r="B20" s="130" t="s">
        <v>40</v>
      </c>
      <c r="C20" s="241"/>
      <c r="D20" s="254">
        <f>Inputs!D115</f>
        <v>125000</v>
      </c>
      <c r="E20" s="243">
        <f>Inputs!E115</f>
        <v>10</v>
      </c>
      <c r="H20" s="256">
        <f t="shared" si="3"/>
        <v>0</v>
      </c>
      <c r="I20" s="256">
        <f t="shared" si="0"/>
        <v>0</v>
      </c>
      <c r="J20" s="256">
        <f t="shared" si="0"/>
        <v>31250</v>
      </c>
      <c r="K20" s="256">
        <f t="shared" si="0"/>
        <v>31250</v>
      </c>
      <c r="L20" s="256">
        <f t="shared" si="0"/>
        <v>31250</v>
      </c>
      <c r="M20" s="256">
        <f t="shared" si="0"/>
        <v>31250</v>
      </c>
      <c r="N20" s="256">
        <f t="shared" si="0"/>
        <v>31250</v>
      </c>
      <c r="O20" s="256">
        <f t="shared" si="0"/>
        <v>31250</v>
      </c>
      <c r="P20" s="256">
        <f t="shared" si="0"/>
        <v>31250</v>
      </c>
      <c r="Q20" s="256">
        <f t="shared" si="0"/>
        <v>31250</v>
      </c>
      <c r="R20" s="256">
        <f t="shared" si="0"/>
        <v>31250</v>
      </c>
      <c r="S20" s="256">
        <f t="shared" si="0"/>
        <v>31250</v>
      </c>
      <c r="T20" s="256">
        <f t="shared" si="0"/>
        <v>31250</v>
      </c>
      <c r="U20" s="256">
        <f t="shared" si="0"/>
        <v>31250</v>
      </c>
      <c r="V20" s="256">
        <f t="shared" si="0"/>
        <v>31250</v>
      </c>
      <c r="W20" s="256">
        <f t="shared" si="0"/>
        <v>31250</v>
      </c>
      <c r="X20" s="256">
        <f t="shared" si="0"/>
        <v>31250</v>
      </c>
      <c r="Y20" s="256">
        <f t="shared" si="0"/>
        <v>31250</v>
      </c>
      <c r="Z20" s="256">
        <f t="shared" si="0"/>
        <v>31250</v>
      </c>
      <c r="AA20" s="256">
        <f t="shared" si="0"/>
        <v>31250</v>
      </c>
    </row>
    <row r="21" spans="2:27" x14ac:dyDescent="0.2">
      <c r="B21" s="130" t="s">
        <v>40</v>
      </c>
      <c r="C21" s="241"/>
      <c r="D21" s="254">
        <f>Inputs!D116</f>
        <v>125000</v>
      </c>
      <c r="E21" s="243">
        <f>Inputs!E116</f>
        <v>15</v>
      </c>
      <c r="H21" s="256">
        <f t="shared" si="3"/>
        <v>0</v>
      </c>
      <c r="I21" s="256">
        <f t="shared" si="0"/>
        <v>0</v>
      </c>
      <c r="J21" s="256">
        <f t="shared" si="0"/>
        <v>0</v>
      </c>
      <c r="K21" s="256">
        <f t="shared" si="0"/>
        <v>0</v>
      </c>
      <c r="L21" s="256">
        <f t="shared" si="0"/>
        <v>0</v>
      </c>
      <c r="M21" s="256">
        <f t="shared" si="0"/>
        <v>0</v>
      </c>
      <c r="N21" s="256">
        <f t="shared" si="0"/>
        <v>31250</v>
      </c>
      <c r="O21" s="256">
        <f t="shared" si="0"/>
        <v>31250</v>
      </c>
      <c r="P21" s="256">
        <f t="shared" si="0"/>
        <v>31250</v>
      </c>
      <c r="Q21" s="256">
        <f t="shared" si="0"/>
        <v>31250</v>
      </c>
      <c r="R21" s="256">
        <f t="shared" si="0"/>
        <v>31250</v>
      </c>
      <c r="S21" s="256">
        <f t="shared" si="0"/>
        <v>31250</v>
      </c>
      <c r="T21" s="256">
        <f t="shared" si="0"/>
        <v>31250</v>
      </c>
      <c r="U21" s="256">
        <f t="shared" si="0"/>
        <v>31250</v>
      </c>
      <c r="V21" s="256">
        <f t="shared" si="0"/>
        <v>31250</v>
      </c>
      <c r="W21" s="256">
        <f t="shared" si="0"/>
        <v>31250</v>
      </c>
      <c r="X21" s="256">
        <f t="shared" si="0"/>
        <v>31250</v>
      </c>
      <c r="Y21" s="256">
        <f t="shared" si="0"/>
        <v>31250</v>
      </c>
      <c r="Z21" s="256">
        <f t="shared" si="0"/>
        <v>31250</v>
      </c>
      <c r="AA21" s="256">
        <f t="shared" si="0"/>
        <v>31250</v>
      </c>
    </row>
    <row r="22" spans="2:27" x14ac:dyDescent="0.2">
      <c r="B22" s="130" t="s">
        <v>40</v>
      </c>
      <c r="C22" s="241"/>
      <c r="D22" s="254">
        <f>Inputs!D117</f>
        <v>125000</v>
      </c>
      <c r="E22" s="243">
        <f>Inputs!E117</f>
        <v>20</v>
      </c>
      <c r="H22" s="256">
        <f t="shared" si="3"/>
        <v>0</v>
      </c>
      <c r="I22" s="256">
        <f t="shared" si="0"/>
        <v>0</v>
      </c>
      <c r="J22" s="256">
        <f t="shared" si="0"/>
        <v>0</v>
      </c>
      <c r="K22" s="256">
        <f t="shared" si="0"/>
        <v>0</v>
      </c>
      <c r="L22" s="256">
        <f t="shared" si="0"/>
        <v>0</v>
      </c>
      <c r="M22" s="256">
        <f t="shared" si="0"/>
        <v>0</v>
      </c>
      <c r="N22" s="256">
        <f t="shared" si="0"/>
        <v>0</v>
      </c>
      <c r="O22" s="256">
        <f t="shared" si="0"/>
        <v>0</v>
      </c>
      <c r="P22" s="256">
        <f t="shared" si="0"/>
        <v>0</v>
      </c>
      <c r="Q22" s="256">
        <f t="shared" si="0"/>
        <v>31250</v>
      </c>
      <c r="R22" s="256">
        <f t="shared" si="0"/>
        <v>31250</v>
      </c>
      <c r="S22" s="256">
        <f t="shared" si="0"/>
        <v>31250</v>
      </c>
      <c r="T22" s="256">
        <f t="shared" si="0"/>
        <v>31250</v>
      </c>
      <c r="U22" s="256">
        <f t="shared" si="0"/>
        <v>31250</v>
      </c>
      <c r="V22" s="256">
        <f t="shared" si="0"/>
        <v>31250</v>
      </c>
      <c r="W22" s="256">
        <f t="shared" si="0"/>
        <v>31250</v>
      </c>
      <c r="X22" s="256">
        <f t="shared" si="0"/>
        <v>31250</v>
      </c>
      <c r="Y22" s="256">
        <f t="shared" si="0"/>
        <v>31250</v>
      </c>
      <c r="Z22" s="256">
        <f t="shared" si="0"/>
        <v>31250</v>
      </c>
      <c r="AA22" s="256">
        <f t="shared" si="0"/>
        <v>31250</v>
      </c>
    </row>
    <row r="23" spans="2:27" x14ac:dyDescent="0.2">
      <c r="B23" s="130" t="s">
        <v>40</v>
      </c>
      <c r="C23" s="241"/>
      <c r="D23" s="254">
        <f>Inputs!D118</f>
        <v>125000</v>
      </c>
      <c r="E23" s="243">
        <f>Inputs!E118</f>
        <v>25</v>
      </c>
      <c r="H23" s="256">
        <f t="shared" si="3"/>
        <v>0</v>
      </c>
      <c r="I23" s="256">
        <f t="shared" si="0"/>
        <v>0</v>
      </c>
      <c r="J23" s="256">
        <f t="shared" si="0"/>
        <v>0</v>
      </c>
      <c r="K23" s="256">
        <f t="shared" si="0"/>
        <v>0</v>
      </c>
      <c r="L23" s="256">
        <f t="shared" si="0"/>
        <v>0</v>
      </c>
      <c r="M23" s="256">
        <f t="shared" si="0"/>
        <v>0</v>
      </c>
      <c r="N23" s="256">
        <f t="shared" si="0"/>
        <v>0</v>
      </c>
      <c r="O23" s="256">
        <f t="shared" si="0"/>
        <v>0</v>
      </c>
      <c r="P23" s="256">
        <f t="shared" si="0"/>
        <v>0</v>
      </c>
      <c r="Q23" s="256">
        <f t="shared" si="0"/>
        <v>0</v>
      </c>
      <c r="R23" s="256">
        <f t="shared" si="0"/>
        <v>0</v>
      </c>
      <c r="S23" s="256">
        <f t="shared" si="0"/>
        <v>0</v>
      </c>
      <c r="T23" s="256">
        <f t="shared" si="0"/>
        <v>0</v>
      </c>
      <c r="U23" s="256">
        <f t="shared" si="0"/>
        <v>31250</v>
      </c>
      <c r="V23" s="256">
        <f t="shared" si="0"/>
        <v>31250</v>
      </c>
      <c r="W23" s="256">
        <f t="shared" si="0"/>
        <v>31250</v>
      </c>
      <c r="X23" s="256">
        <f t="shared" si="0"/>
        <v>31250</v>
      </c>
      <c r="Y23" s="256">
        <f t="shared" si="0"/>
        <v>31250</v>
      </c>
      <c r="Z23" s="256">
        <f t="shared" si="0"/>
        <v>31250</v>
      </c>
      <c r="AA23" s="256">
        <f t="shared" si="0"/>
        <v>31250</v>
      </c>
    </row>
    <row r="24" spans="2:27" x14ac:dyDescent="0.2">
      <c r="B24" s="130" t="s">
        <v>40</v>
      </c>
      <c r="C24" s="241"/>
      <c r="D24" s="254">
        <f>Inputs!D119</f>
        <v>125000</v>
      </c>
      <c r="E24" s="243">
        <f>Inputs!E119</f>
        <v>30</v>
      </c>
      <c r="H24" s="256">
        <f t="shared" si="3"/>
        <v>0</v>
      </c>
      <c r="I24" s="256">
        <f t="shared" si="0"/>
        <v>0</v>
      </c>
      <c r="J24" s="256">
        <f t="shared" si="0"/>
        <v>0</v>
      </c>
      <c r="K24" s="256">
        <f t="shared" si="0"/>
        <v>0</v>
      </c>
      <c r="L24" s="256">
        <f t="shared" si="0"/>
        <v>0</v>
      </c>
      <c r="M24" s="256">
        <f t="shared" si="0"/>
        <v>0</v>
      </c>
      <c r="N24" s="256">
        <f t="shared" si="0"/>
        <v>0</v>
      </c>
      <c r="O24" s="256">
        <f t="shared" si="0"/>
        <v>0</v>
      </c>
      <c r="P24" s="256">
        <f t="shared" si="0"/>
        <v>0</v>
      </c>
      <c r="Q24" s="256">
        <f t="shared" si="0"/>
        <v>0</v>
      </c>
      <c r="R24" s="256">
        <f t="shared" si="0"/>
        <v>0</v>
      </c>
      <c r="S24" s="256">
        <f t="shared" si="0"/>
        <v>0</v>
      </c>
      <c r="T24" s="256">
        <f t="shared" si="0"/>
        <v>0</v>
      </c>
      <c r="U24" s="256">
        <f t="shared" si="0"/>
        <v>0</v>
      </c>
      <c r="V24" s="256">
        <f t="shared" si="0"/>
        <v>0</v>
      </c>
      <c r="W24" s="256">
        <f t="shared" si="0"/>
        <v>0</v>
      </c>
      <c r="X24" s="256">
        <f t="shared" si="0"/>
        <v>31250</v>
      </c>
      <c r="Y24" s="256">
        <f t="shared" si="0"/>
        <v>31250</v>
      </c>
      <c r="Z24" s="256">
        <f t="shared" si="0"/>
        <v>31250</v>
      </c>
      <c r="AA24" s="256">
        <f t="shared" si="0"/>
        <v>31250</v>
      </c>
    </row>
    <row r="25" spans="2:27" x14ac:dyDescent="0.2">
      <c r="B25" s="130" t="s">
        <v>40</v>
      </c>
      <c r="C25" s="241"/>
      <c r="D25" s="254">
        <f>Inputs!D120</f>
        <v>125000</v>
      </c>
      <c r="E25" s="243">
        <f>Inputs!E120</f>
        <v>35</v>
      </c>
      <c r="H25" s="256">
        <f t="shared" si="3"/>
        <v>0</v>
      </c>
      <c r="I25" s="256">
        <f t="shared" si="0"/>
        <v>0</v>
      </c>
      <c r="J25" s="256">
        <f t="shared" si="0"/>
        <v>0</v>
      </c>
      <c r="K25" s="256">
        <f t="shared" si="0"/>
        <v>0</v>
      </c>
      <c r="L25" s="256">
        <f t="shared" si="0"/>
        <v>0</v>
      </c>
      <c r="M25" s="256">
        <f t="shared" si="0"/>
        <v>0</v>
      </c>
      <c r="N25" s="256">
        <f t="shared" si="0"/>
        <v>0</v>
      </c>
      <c r="O25" s="256">
        <f t="shared" si="0"/>
        <v>0</v>
      </c>
      <c r="P25" s="256">
        <f t="shared" si="0"/>
        <v>0</v>
      </c>
      <c r="Q25" s="256">
        <f t="shared" ref="Q25:AA25" si="4">IF($E25&lt;=Q$5,$D25*Q$6,0)</f>
        <v>0</v>
      </c>
      <c r="R25" s="256">
        <f t="shared" si="4"/>
        <v>0</v>
      </c>
      <c r="S25" s="256">
        <f t="shared" si="4"/>
        <v>0</v>
      </c>
      <c r="T25" s="256">
        <f t="shared" si="4"/>
        <v>0</v>
      </c>
      <c r="U25" s="256">
        <f t="shared" si="4"/>
        <v>0</v>
      </c>
      <c r="V25" s="256">
        <f t="shared" si="4"/>
        <v>0</v>
      </c>
      <c r="W25" s="256">
        <f t="shared" si="4"/>
        <v>0</v>
      </c>
      <c r="X25" s="256">
        <f t="shared" si="4"/>
        <v>0</v>
      </c>
      <c r="Y25" s="256">
        <f t="shared" si="4"/>
        <v>0</v>
      </c>
      <c r="Z25" s="256">
        <f t="shared" si="4"/>
        <v>0</v>
      </c>
      <c r="AA25" s="256">
        <f t="shared" si="4"/>
        <v>31250</v>
      </c>
    </row>
    <row r="26" spans="2:27" x14ac:dyDescent="0.2">
      <c r="B26" s="133" t="s">
        <v>27</v>
      </c>
      <c r="C26" s="241"/>
      <c r="D26" s="203">
        <f>Inputs!D121</f>
        <v>0</v>
      </c>
      <c r="E26" s="248"/>
    </row>
    <row r="27" spans="2:27" x14ac:dyDescent="0.2">
      <c r="B27" s="130" t="s">
        <v>28</v>
      </c>
      <c r="C27" s="241"/>
      <c r="D27" s="254">
        <f>Inputs!D122</f>
        <v>90000</v>
      </c>
      <c r="E27" s="243">
        <f>Inputs!E122</f>
        <v>20</v>
      </c>
      <c r="H27" s="256">
        <f t="shared" ref="H27:W28" si="5">IF($E27&lt;=H$5,$D27*H$6,0)</f>
        <v>0</v>
      </c>
      <c r="I27" s="256">
        <f t="shared" si="5"/>
        <v>0</v>
      </c>
      <c r="J27" s="256">
        <f t="shared" si="5"/>
        <v>0</v>
      </c>
      <c r="K27" s="256">
        <f t="shared" si="5"/>
        <v>0</v>
      </c>
      <c r="L27" s="256">
        <f t="shared" si="5"/>
        <v>0</v>
      </c>
      <c r="M27" s="256">
        <f t="shared" si="5"/>
        <v>0</v>
      </c>
      <c r="N27" s="256">
        <f t="shared" si="5"/>
        <v>0</v>
      </c>
      <c r="O27" s="256">
        <f t="shared" si="5"/>
        <v>0</v>
      </c>
      <c r="P27" s="256">
        <f t="shared" si="5"/>
        <v>0</v>
      </c>
      <c r="Q27" s="256">
        <f t="shared" si="5"/>
        <v>22500</v>
      </c>
      <c r="R27" s="256">
        <f t="shared" si="5"/>
        <v>22500</v>
      </c>
      <c r="S27" s="256">
        <f t="shared" si="5"/>
        <v>22500</v>
      </c>
      <c r="T27" s="256">
        <f t="shared" si="5"/>
        <v>22500</v>
      </c>
      <c r="U27" s="256">
        <f t="shared" si="5"/>
        <v>22500</v>
      </c>
      <c r="V27" s="256">
        <f t="shared" si="5"/>
        <v>22500</v>
      </c>
      <c r="W27" s="256">
        <f t="shared" si="5"/>
        <v>22500</v>
      </c>
      <c r="X27" s="256">
        <f t="shared" ref="X27:AA28" si="6">IF($E27&lt;=X$5,$D27*X$6,0)</f>
        <v>22500</v>
      </c>
      <c r="Y27" s="256">
        <f t="shared" si="6"/>
        <v>22500</v>
      </c>
      <c r="Z27" s="256">
        <f t="shared" si="6"/>
        <v>22500</v>
      </c>
      <c r="AA27" s="256">
        <f t="shared" si="6"/>
        <v>22500</v>
      </c>
    </row>
    <row r="28" spans="2:27" x14ac:dyDescent="0.2">
      <c r="B28" s="130" t="s">
        <v>29</v>
      </c>
      <c r="C28" s="241"/>
      <c r="D28" s="254">
        <f>Inputs!D123</f>
        <v>80000</v>
      </c>
      <c r="E28" s="243">
        <f>Inputs!E123</f>
        <v>40</v>
      </c>
      <c r="H28" s="256">
        <f t="shared" si="5"/>
        <v>0</v>
      </c>
      <c r="I28" s="256">
        <f t="shared" si="5"/>
        <v>0</v>
      </c>
      <c r="J28" s="256">
        <f t="shared" si="5"/>
        <v>0</v>
      </c>
      <c r="K28" s="256">
        <f t="shared" si="5"/>
        <v>0</v>
      </c>
      <c r="L28" s="256">
        <f t="shared" si="5"/>
        <v>0</v>
      </c>
      <c r="M28" s="256">
        <f t="shared" si="5"/>
        <v>0</v>
      </c>
      <c r="N28" s="256">
        <f t="shared" si="5"/>
        <v>0</v>
      </c>
      <c r="O28" s="256">
        <f t="shared" si="5"/>
        <v>0</v>
      </c>
      <c r="P28" s="256">
        <f t="shared" si="5"/>
        <v>0</v>
      </c>
      <c r="Q28" s="256">
        <f t="shared" si="5"/>
        <v>0</v>
      </c>
      <c r="R28" s="256">
        <f t="shared" si="5"/>
        <v>0</v>
      </c>
      <c r="S28" s="256">
        <f t="shared" si="5"/>
        <v>0</v>
      </c>
      <c r="T28" s="256">
        <f t="shared" si="5"/>
        <v>0</v>
      </c>
      <c r="U28" s="256">
        <f t="shared" si="5"/>
        <v>0</v>
      </c>
      <c r="V28" s="256">
        <f t="shared" si="5"/>
        <v>0</v>
      </c>
      <c r="W28" s="256">
        <f t="shared" si="5"/>
        <v>0</v>
      </c>
      <c r="X28" s="256">
        <f t="shared" si="6"/>
        <v>0</v>
      </c>
      <c r="Y28" s="256">
        <f t="shared" si="6"/>
        <v>0</v>
      </c>
      <c r="Z28" s="256">
        <f t="shared" si="6"/>
        <v>0</v>
      </c>
      <c r="AA28" s="256">
        <f t="shared" si="6"/>
        <v>0</v>
      </c>
    </row>
    <row r="29" spans="2:27" x14ac:dyDescent="0.2">
      <c r="B29" s="133" t="s">
        <v>30</v>
      </c>
      <c r="C29" s="241"/>
      <c r="D29" s="203">
        <f>Inputs!D124</f>
        <v>0</v>
      </c>
      <c r="E29" s="248"/>
    </row>
    <row r="30" spans="2:27" x14ac:dyDescent="0.2">
      <c r="B30" s="130" t="s">
        <v>31</v>
      </c>
      <c r="C30" s="241"/>
      <c r="D30" s="254">
        <f>Inputs!D125</f>
        <v>120000</v>
      </c>
      <c r="E30" s="243">
        <f>Inputs!E125</f>
        <v>20</v>
      </c>
      <c r="H30" s="256">
        <f t="shared" ref="H30:W31" si="7">IF($E30&lt;=H$5,$D30*H$6,0)</f>
        <v>0</v>
      </c>
      <c r="I30" s="256">
        <f t="shared" si="7"/>
        <v>0</v>
      </c>
      <c r="J30" s="256">
        <f t="shared" si="7"/>
        <v>0</v>
      </c>
      <c r="K30" s="256">
        <f t="shared" si="7"/>
        <v>0</v>
      </c>
      <c r="L30" s="256">
        <f t="shared" si="7"/>
        <v>0</v>
      </c>
      <c r="M30" s="256">
        <f t="shared" si="7"/>
        <v>0</v>
      </c>
      <c r="N30" s="256">
        <f t="shared" si="7"/>
        <v>0</v>
      </c>
      <c r="O30" s="256">
        <f t="shared" si="7"/>
        <v>0</v>
      </c>
      <c r="P30" s="256">
        <f t="shared" si="7"/>
        <v>0</v>
      </c>
      <c r="Q30" s="256">
        <f t="shared" si="7"/>
        <v>30000</v>
      </c>
      <c r="R30" s="256">
        <f t="shared" si="7"/>
        <v>30000</v>
      </c>
      <c r="S30" s="256">
        <f t="shared" si="7"/>
        <v>30000</v>
      </c>
      <c r="T30" s="256">
        <f t="shared" si="7"/>
        <v>30000</v>
      </c>
      <c r="U30" s="256">
        <f t="shared" si="7"/>
        <v>30000</v>
      </c>
      <c r="V30" s="256">
        <f t="shared" si="7"/>
        <v>30000</v>
      </c>
      <c r="W30" s="256">
        <f t="shared" si="7"/>
        <v>30000</v>
      </c>
      <c r="X30" s="256">
        <f t="shared" ref="X30:AA31" si="8">IF($E30&lt;=X$5,$D30*X$6,0)</f>
        <v>30000</v>
      </c>
      <c r="Y30" s="256">
        <f t="shared" si="8"/>
        <v>30000</v>
      </c>
      <c r="Z30" s="256">
        <f t="shared" si="8"/>
        <v>30000</v>
      </c>
      <c r="AA30" s="256">
        <f t="shared" si="8"/>
        <v>30000</v>
      </c>
    </row>
    <row r="31" spans="2:27" x14ac:dyDescent="0.2">
      <c r="B31" s="130" t="s">
        <v>32</v>
      </c>
      <c r="C31" s="241"/>
      <c r="D31" s="254">
        <f>Inputs!D126</f>
        <v>75000</v>
      </c>
      <c r="E31" s="243">
        <f>Inputs!E126</f>
        <v>4</v>
      </c>
      <c r="H31" s="256">
        <f t="shared" si="7"/>
        <v>18750</v>
      </c>
      <c r="I31" s="256">
        <f t="shared" si="7"/>
        <v>18750</v>
      </c>
      <c r="J31" s="256">
        <f t="shared" si="7"/>
        <v>18750</v>
      </c>
      <c r="K31" s="256">
        <f t="shared" si="7"/>
        <v>18750</v>
      </c>
      <c r="L31" s="256">
        <f t="shared" si="7"/>
        <v>18750</v>
      </c>
      <c r="M31" s="256">
        <f t="shared" si="7"/>
        <v>18750</v>
      </c>
      <c r="N31" s="256">
        <f t="shared" si="7"/>
        <v>18750</v>
      </c>
      <c r="O31" s="256">
        <f t="shared" si="7"/>
        <v>18750</v>
      </c>
      <c r="P31" s="256">
        <f t="shared" si="7"/>
        <v>18750</v>
      </c>
      <c r="Q31" s="256">
        <f t="shared" si="7"/>
        <v>18750</v>
      </c>
      <c r="R31" s="256">
        <f t="shared" si="7"/>
        <v>18750</v>
      </c>
      <c r="S31" s="256">
        <f t="shared" si="7"/>
        <v>18750</v>
      </c>
      <c r="T31" s="256">
        <f t="shared" si="7"/>
        <v>18750</v>
      </c>
      <c r="U31" s="256">
        <f t="shared" si="7"/>
        <v>18750</v>
      </c>
      <c r="V31" s="256">
        <f t="shared" si="7"/>
        <v>18750</v>
      </c>
      <c r="W31" s="256">
        <f t="shared" si="7"/>
        <v>18750</v>
      </c>
      <c r="X31" s="256">
        <f t="shared" si="8"/>
        <v>18750</v>
      </c>
      <c r="Y31" s="256">
        <f t="shared" si="8"/>
        <v>18750</v>
      </c>
      <c r="Z31" s="256">
        <f t="shared" si="8"/>
        <v>18750</v>
      </c>
      <c r="AA31" s="256">
        <f t="shared" si="8"/>
        <v>18750</v>
      </c>
    </row>
    <row r="32" spans="2:27" x14ac:dyDescent="0.2">
      <c r="B32" s="133" t="s">
        <v>5</v>
      </c>
      <c r="C32" s="241"/>
      <c r="D32" s="203">
        <f>Inputs!D127</f>
        <v>0</v>
      </c>
      <c r="E32" s="248"/>
    </row>
    <row r="33" spans="2:27" x14ac:dyDescent="0.2">
      <c r="B33" s="130" t="s">
        <v>33</v>
      </c>
      <c r="C33" s="241"/>
      <c r="D33" s="254">
        <f>Inputs!D128</f>
        <v>50000</v>
      </c>
      <c r="E33" s="243">
        <f>Inputs!E128</f>
        <v>1</v>
      </c>
      <c r="H33" s="256">
        <f t="shared" ref="H33:W34" si="9">IF($E33&lt;=H$5,$D33*H$6,0)</f>
        <v>12500</v>
      </c>
      <c r="I33" s="256">
        <f t="shared" si="9"/>
        <v>12500</v>
      </c>
      <c r="J33" s="256">
        <f t="shared" si="9"/>
        <v>12500</v>
      </c>
      <c r="K33" s="256">
        <f t="shared" si="9"/>
        <v>12500</v>
      </c>
      <c r="L33" s="256">
        <f t="shared" si="9"/>
        <v>12500</v>
      </c>
      <c r="M33" s="256">
        <f t="shared" si="9"/>
        <v>12500</v>
      </c>
      <c r="N33" s="256">
        <f t="shared" si="9"/>
        <v>12500</v>
      </c>
      <c r="O33" s="256">
        <f t="shared" si="9"/>
        <v>12500</v>
      </c>
      <c r="P33" s="256">
        <f t="shared" si="9"/>
        <v>12500</v>
      </c>
      <c r="Q33" s="256">
        <f t="shared" si="9"/>
        <v>12500</v>
      </c>
      <c r="R33" s="256">
        <f t="shared" si="9"/>
        <v>12500</v>
      </c>
      <c r="S33" s="256">
        <f t="shared" si="9"/>
        <v>12500</v>
      </c>
      <c r="T33" s="256">
        <f t="shared" si="9"/>
        <v>12500</v>
      </c>
      <c r="U33" s="256">
        <f t="shared" si="9"/>
        <v>12500</v>
      </c>
      <c r="V33" s="256">
        <f t="shared" si="9"/>
        <v>12500</v>
      </c>
      <c r="W33" s="256">
        <f t="shared" si="9"/>
        <v>12500</v>
      </c>
      <c r="X33" s="256">
        <f t="shared" ref="X33:AA34" si="10">IF($E33&lt;=X$5,$D33*X$6,0)</f>
        <v>12500</v>
      </c>
      <c r="Y33" s="256">
        <f t="shared" si="10"/>
        <v>12500</v>
      </c>
      <c r="Z33" s="256">
        <f t="shared" si="10"/>
        <v>12500</v>
      </c>
      <c r="AA33" s="256">
        <f t="shared" si="10"/>
        <v>12500</v>
      </c>
    </row>
    <row r="34" spans="2:27" ht="13.5" x14ac:dyDescent="0.35">
      <c r="B34" s="130" t="s">
        <v>34</v>
      </c>
      <c r="C34" s="258" t="s">
        <v>38</v>
      </c>
      <c r="D34" s="264">
        <f>Inputs!D129</f>
        <v>50000</v>
      </c>
      <c r="E34" s="253">
        <f>Inputs!E129</f>
        <v>30</v>
      </c>
      <c r="H34" s="256">
        <f t="shared" si="9"/>
        <v>0</v>
      </c>
      <c r="I34" s="256">
        <f t="shared" si="9"/>
        <v>0</v>
      </c>
      <c r="J34" s="256">
        <f t="shared" si="9"/>
        <v>0</v>
      </c>
      <c r="K34" s="256">
        <f t="shared" si="9"/>
        <v>0</v>
      </c>
      <c r="L34" s="256">
        <f t="shared" si="9"/>
        <v>0</v>
      </c>
      <c r="M34" s="256">
        <f t="shared" si="9"/>
        <v>0</v>
      </c>
      <c r="N34" s="256">
        <f t="shared" si="9"/>
        <v>0</v>
      </c>
      <c r="O34" s="256">
        <f t="shared" si="9"/>
        <v>0</v>
      </c>
      <c r="P34" s="256">
        <f t="shared" si="9"/>
        <v>0</v>
      </c>
      <c r="Q34" s="256">
        <f t="shared" si="9"/>
        <v>0</v>
      </c>
      <c r="R34" s="256">
        <f t="shared" si="9"/>
        <v>0</v>
      </c>
      <c r="S34" s="256">
        <f t="shared" si="9"/>
        <v>0</v>
      </c>
      <c r="T34" s="256">
        <f t="shared" si="9"/>
        <v>0</v>
      </c>
      <c r="U34" s="256">
        <f t="shared" si="9"/>
        <v>0</v>
      </c>
      <c r="V34" s="256">
        <f t="shared" si="9"/>
        <v>0</v>
      </c>
      <c r="W34" s="256">
        <f t="shared" si="9"/>
        <v>0</v>
      </c>
      <c r="X34" s="256">
        <f t="shared" si="10"/>
        <v>12500</v>
      </c>
      <c r="Y34" s="256">
        <f t="shared" si="10"/>
        <v>12500</v>
      </c>
      <c r="Z34" s="256">
        <f t="shared" si="10"/>
        <v>12500</v>
      </c>
      <c r="AA34" s="256">
        <f t="shared" si="10"/>
        <v>12500</v>
      </c>
    </row>
    <row r="35" spans="2:27" x14ac:dyDescent="0.2">
      <c r="B35" s="136" t="s">
        <v>35</v>
      </c>
      <c r="C35" s="263">
        <f>Inputs!C130</f>
        <v>0.15</v>
      </c>
      <c r="D35" s="241"/>
      <c r="E35" s="248"/>
      <c r="H35" s="257">
        <f>SUM(H10:H34)*$C$35</f>
        <v>24375</v>
      </c>
      <c r="I35" s="257">
        <f t="shared" ref="I35:AA35" si="11">SUM(I10:I34)*$C$35</f>
        <v>24375</v>
      </c>
      <c r="J35" s="257">
        <f t="shared" si="11"/>
        <v>34687.5</v>
      </c>
      <c r="K35" s="257">
        <f t="shared" si="11"/>
        <v>34687.5</v>
      </c>
      <c r="L35" s="257">
        <f t="shared" si="11"/>
        <v>34687.5</v>
      </c>
      <c r="M35" s="257">
        <f t="shared" si="11"/>
        <v>34687.5</v>
      </c>
      <c r="N35" s="257">
        <f t="shared" si="11"/>
        <v>46125</v>
      </c>
      <c r="O35" s="257">
        <f t="shared" si="11"/>
        <v>46125</v>
      </c>
      <c r="P35" s="257">
        <f t="shared" si="11"/>
        <v>46125</v>
      </c>
      <c r="Q35" s="257">
        <f t="shared" si="11"/>
        <v>58687.5</v>
      </c>
      <c r="R35" s="257">
        <f t="shared" si="11"/>
        <v>58687.5</v>
      </c>
      <c r="S35" s="257">
        <f t="shared" si="11"/>
        <v>58687.5</v>
      </c>
      <c r="T35" s="257">
        <f t="shared" si="11"/>
        <v>58687.5</v>
      </c>
      <c r="U35" s="257">
        <f t="shared" si="11"/>
        <v>68062.5</v>
      </c>
      <c r="V35" s="257">
        <f t="shared" si="11"/>
        <v>68062.5</v>
      </c>
      <c r="W35" s="257">
        <f t="shared" si="11"/>
        <v>68062.5</v>
      </c>
      <c r="X35" s="257">
        <f t="shared" si="11"/>
        <v>74625</v>
      </c>
      <c r="Y35" s="257">
        <f t="shared" si="11"/>
        <v>74625</v>
      </c>
      <c r="Z35" s="257">
        <f t="shared" si="11"/>
        <v>74625</v>
      </c>
      <c r="AA35" s="257">
        <f t="shared" si="11"/>
        <v>79312.5</v>
      </c>
    </row>
    <row r="36" spans="2:27" x14ac:dyDescent="0.2">
      <c r="B36" s="73" t="s">
        <v>36</v>
      </c>
      <c r="C36" s="73"/>
      <c r="D36" s="73"/>
      <c r="E36" s="73"/>
      <c r="F36" s="73"/>
      <c r="G36" s="73"/>
      <c r="H36" s="260">
        <f>SUM(H10:H35)</f>
        <v>186875</v>
      </c>
      <c r="I36" s="260">
        <f t="shared" ref="I36:AA36" si="12">SUM(I10:I35)</f>
        <v>186875</v>
      </c>
      <c r="J36" s="260">
        <f t="shared" si="12"/>
        <v>265937.5</v>
      </c>
      <c r="K36" s="260">
        <f t="shared" si="12"/>
        <v>265937.5</v>
      </c>
      <c r="L36" s="260">
        <f t="shared" si="12"/>
        <v>265937.5</v>
      </c>
      <c r="M36" s="260">
        <f t="shared" si="12"/>
        <v>265937.5</v>
      </c>
      <c r="N36" s="260">
        <f t="shared" si="12"/>
        <v>353625</v>
      </c>
      <c r="O36" s="260">
        <f t="shared" si="12"/>
        <v>353625</v>
      </c>
      <c r="P36" s="260">
        <f t="shared" si="12"/>
        <v>353625</v>
      </c>
      <c r="Q36" s="260">
        <f t="shared" si="12"/>
        <v>449937.5</v>
      </c>
      <c r="R36" s="260">
        <f t="shared" si="12"/>
        <v>449937.5</v>
      </c>
      <c r="S36" s="260">
        <f t="shared" si="12"/>
        <v>449937.5</v>
      </c>
      <c r="T36" s="260">
        <f t="shared" si="12"/>
        <v>449937.5</v>
      </c>
      <c r="U36" s="260">
        <f t="shared" si="12"/>
        <v>521812.5</v>
      </c>
      <c r="V36" s="260">
        <f t="shared" si="12"/>
        <v>521812.5</v>
      </c>
      <c r="W36" s="260">
        <f t="shared" si="12"/>
        <v>521812.5</v>
      </c>
      <c r="X36" s="260">
        <f t="shared" si="12"/>
        <v>572125</v>
      </c>
      <c r="Y36" s="260">
        <f t="shared" si="12"/>
        <v>572125</v>
      </c>
      <c r="Z36" s="260">
        <f t="shared" si="12"/>
        <v>572125</v>
      </c>
      <c r="AA36" s="260">
        <f t="shared" si="12"/>
        <v>608062.5</v>
      </c>
    </row>
    <row r="38" spans="2:27" x14ac:dyDescent="0.2">
      <c r="B38" s="261" t="s">
        <v>224</v>
      </c>
      <c r="C38" s="262"/>
      <c r="D38" s="262"/>
      <c r="E38" s="262"/>
      <c r="F38" s="262"/>
      <c r="G38" s="262"/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2"/>
      <c r="AA38" s="262"/>
    </row>
    <row r="39" spans="2:27" x14ac:dyDescent="0.2">
      <c r="B39" s="1" t="s">
        <v>41</v>
      </c>
      <c r="H39" s="273">
        <f>H36*$E$58</f>
        <v>37375</v>
      </c>
      <c r="I39" s="273">
        <f t="shared" ref="I39:AA39" si="13">I36*$E$58</f>
        <v>37375</v>
      </c>
      <c r="J39" s="273">
        <f t="shared" si="13"/>
        <v>53187.5</v>
      </c>
      <c r="K39" s="273">
        <f t="shared" si="13"/>
        <v>53187.5</v>
      </c>
      <c r="L39" s="273">
        <f t="shared" si="13"/>
        <v>53187.5</v>
      </c>
      <c r="M39" s="273">
        <f t="shared" si="13"/>
        <v>53187.5</v>
      </c>
      <c r="N39" s="273">
        <f t="shared" si="13"/>
        <v>70725</v>
      </c>
      <c r="O39" s="273">
        <f t="shared" si="13"/>
        <v>70725</v>
      </c>
      <c r="P39" s="273">
        <f t="shared" si="13"/>
        <v>70725</v>
      </c>
      <c r="Q39" s="273">
        <f t="shared" si="13"/>
        <v>89987.5</v>
      </c>
      <c r="R39" s="273">
        <f t="shared" si="13"/>
        <v>89987.5</v>
      </c>
      <c r="S39" s="273">
        <f t="shared" si="13"/>
        <v>89987.5</v>
      </c>
      <c r="T39" s="273">
        <f t="shared" si="13"/>
        <v>89987.5</v>
      </c>
      <c r="U39" s="273">
        <f t="shared" si="13"/>
        <v>104362.5</v>
      </c>
      <c r="V39" s="273">
        <f t="shared" si="13"/>
        <v>104362.5</v>
      </c>
      <c r="W39" s="273">
        <f t="shared" si="13"/>
        <v>104362.5</v>
      </c>
      <c r="X39" s="273">
        <f t="shared" si="13"/>
        <v>114425</v>
      </c>
      <c r="Y39" s="273">
        <f t="shared" si="13"/>
        <v>114425</v>
      </c>
      <c r="Z39" s="273">
        <f t="shared" si="13"/>
        <v>114425</v>
      </c>
      <c r="AA39" s="273">
        <f t="shared" si="13"/>
        <v>121612.5</v>
      </c>
    </row>
    <row r="40" spans="2:27" x14ac:dyDescent="0.2">
      <c r="B40" s="1" t="s">
        <v>46</v>
      </c>
      <c r="H40" s="256">
        <f>$E$62*H$6</f>
        <v>12000</v>
      </c>
      <c r="I40" s="256">
        <f t="shared" ref="I40:AA40" si="14">$E$62*I$6</f>
        <v>12000</v>
      </c>
      <c r="J40" s="256">
        <f t="shared" si="14"/>
        <v>12000</v>
      </c>
      <c r="K40" s="256">
        <f t="shared" si="14"/>
        <v>12000</v>
      </c>
      <c r="L40" s="256">
        <f t="shared" si="14"/>
        <v>12000</v>
      </c>
      <c r="M40" s="256">
        <f t="shared" si="14"/>
        <v>12000</v>
      </c>
      <c r="N40" s="256">
        <f t="shared" si="14"/>
        <v>12000</v>
      </c>
      <c r="O40" s="256">
        <f t="shared" si="14"/>
        <v>12000</v>
      </c>
      <c r="P40" s="256">
        <f t="shared" si="14"/>
        <v>12000</v>
      </c>
      <c r="Q40" s="256">
        <f t="shared" si="14"/>
        <v>12000</v>
      </c>
      <c r="R40" s="256">
        <f t="shared" si="14"/>
        <v>12000</v>
      </c>
      <c r="S40" s="256">
        <f t="shared" si="14"/>
        <v>12000</v>
      </c>
      <c r="T40" s="256">
        <f t="shared" si="14"/>
        <v>12000</v>
      </c>
      <c r="U40" s="256">
        <f t="shared" si="14"/>
        <v>12000</v>
      </c>
      <c r="V40" s="256">
        <f t="shared" si="14"/>
        <v>12000</v>
      </c>
      <c r="W40" s="256">
        <f t="shared" si="14"/>
        <v>12000</v>
      </c>
      <c r="X40" s="256">
        <f t="shared" si="14"/>
        <v>12000</v>
      </c>
      <c r="Y40" s="256">
        <f t="shared" si="14"/>
        <v>12000</v>
      </c>
      <c r="Z40" s="256">
        <f t="shared" si="14"/>
        <v>12000</v>
      </c>
      <c r="AA40" s="256">
        <f t="shared" si="14"/>
        <v>12000</v>
      </c>
    </row>
    <row r="41" spans="2:27" x14ac:dyDescent="0.2">
      <c r="B41" s="1" t="s">
        <v>225</v>
      </c>
      <c r="H41" s="256">
        <f>$E$64*H$40</f>
        <v>1800</v>
      </c>
      <c r="I41" s="256">
        <f t="shared" ref="I41:AA41" si="15">$E$64*I$40</f>
        <v>1800</v>
      </c>
      <c r="J41" s="256">
        <f t="shared" si="15"/>
        <v>1800</v>
      </c>
      <c r="K41" s="256">
        <f t="shared" si="15"/>
        <v>1800</v>
      </c>
      <c r="L41" s="256">
        <f t="shared" si="15"/>
        <v>1800</v>
      </c>
      <c r="M41" s="256">
        <f t="shared" si="15"/>
        <v>1800</v>
      </c>
      <c r="N41" s="256">
        <f t="shared" si="15"/>
        <v>1800</v>
      </c>
      <c r="O41" s="256">
        <f t="shared" si="15"/>
        <v>1800</v>
      </c>
      <c r="P41" s="256">
        <f t="shared" si="15"/>
        <v>1800</v>
      </c>
      <c r="Q41" s="256">
        <f t="shared" si="15"/>
        <v>1800</v>
      </c>
      <c r="R41" s="256">
        <f t="shared" si="15"/>
        <v>1800</v>
      </c>
      <c r="S41" s="256">
        <f t="shared" si="15"/>
        <v>1800</v>
      </c>
      <c r="T41" s="256">
        <f t="shared" si="15"/>
        <v>1800</v>
      </c>
      <c r="U41" s="256">
        <f t="shared" si="15"/>
        <v>1800</v>
      </c>
      <c r="V41" s="256">
        <f t="shared" si="15"/>
        <v>1800</v>
      </c>
      <c r="W41" s="256">
        <f t="shared" si="15"/>
        <v>1800</v>
      </c>
      <c r="X41" s="256">
        <f t="shared" si="15"/>
        <v>1800</v>
      </c>
      <c r="Y41" s="256">
        <f t="shared" si="15"/>
        <v>1800</v>
      </c>
      <c r="Z41" s="256">
        <f t="shared" si="15"/>
        <v>1800</v>
      </c>
      <c r="AA41" s="256">
        <f t="shared" si="15"/>
        <v>1800</v>
      </c>
    </row>
    <row r="42" spans="2:27" x14ac:dyDescent="0.2">
      <c r="B42" s="1" t="s">
        <v>226</v>
      </c>
      <c r="H42" s="256">
        <f>$E$65*H$40</f>
        <v>300</v>
      </c>
      <c r="I42" s="256">
        <f t="shared" ref="I42:AA42" si="16">$E$65*I$40</f>
        <v>300</v>
      </c>
      <c r="J42" s="256">
        <f t="shared" si="16"/>
        <v>300</v>
      </c>
      <c r="K42" s="256">
        <f t="shared" si="16"/>
        <v>300</v>
      </c>
      <c r="L42" s="256">
        <f t="shared" si="16"/>
        <v>300</v>
      </c>
      <c r="M42" s="256">
        <f t="shared" si="16"/>
        <v>300</v>
      </c>
      <c r="N42" s="256">
        <f t="shared" si="16"/>
        <v>300</v>
      </c>
      <c r="O42" s="256">
        <f t="shared" si="16"/>
        <v>300</v>
      </c>
      <c r="P42" s="256">
        <f t="shared" si="16"/>
        <v>300</v>
      </c>
      <c r="Q42" s="256">
        <f t="shared" si="16"/>
        <v>300</v>
      </c>
      <c r="R42" s="256">
        <f t="shared" si="16"/>
        <v>300</v>
      </c>
      <c r="S42" s="256">
        <f t="shared" si="16"/>
        <v>300</v>
      </c>
      <c r="T42" s="256">
        <f t="shared" si="16"/>
        <v>300</v>
      </c>
      <c r="U42" s="256">
        <f t="shared" si="16"/>
        <v>300</v>
      </c>
      <c r="V42" s="256">
        <f t="shared" si="16"/>
        <v>300</v>
      </c>
      <c r="W42" s="256">
        <f t="shared" si="16"/>
        <v>300</v>
      </c>
      <c r="X42" s="256">
        <f t="shared" si="16"/>
        <v>300</v>
      </c>
      <c r="Y42" s="256">
        <f t="shared" si="16"/>
        <v>300</v>
      </c>
      <c r="Z42" s="256">
        <f t="shared" si="16"/>
        <v>300</v>
      </c>
      <c r="AA42" s="256">
        <f t="shared" si="16"/>
        <v>300</v>
      </c>
    </row>
    <row r="43" spans="2:27" x14ac:dyDescent="0.2">
      <c r="B43" s="1" t="s">
        <v>44</v>
      </c>
      <c r="H43" s="256">
        <f>$E$76*3</f>
        <v>5700</v>
      </c>
      <c r="I43" s="256">
        <f t="shared" ref="I43:AA43" si="17">$E$76*3</f>
        <v>5700</v>
      </c>
      <c r="J43" s="256">
        <f t="shared" si="17"/>
        <v>5700</v>
      </c>
      <c r="K43" s="256">
        <f t="shared" si="17"/>
        <v>5700</v>
      </c>
      <c r="L43" s="256">
        <f t="shared" si="17"/>
        <v>5700</v>
      </c>
      <c r="M43" s="256">
        <f t="shared" si="17"/>
        <v>5700</v>
      </c>
      <c r="N43" s="256">
        <f t="shared" si="17"/>
        <v>5700</v>
      </c>
      <c r="O43" s="256">
        <f t="shared" si="17"/>
        <v>5700</v>
      </c>
      <c r="P43" s="256">
        <f t="shared" si="17"/>
        <v>5700</v>
      </c>
      <c r="Q43" s="256">
        <f t="shared" si="17"/>
        <v>5700</v>
      </c>
      <c r="R43" s="256">
        <f t="shared" si="17"/>
        <v>5700</v>
      </c>
      <c r="S43" s="256">
        <f t="shared" si="17"/>
        <v>5700</v>
      </c>
      <c r="T43" s="256">
        <f t="shared" si="17"/>
        <v>5700</v>
      </c>
      <c r="U43" s="256">
        <f t="shared" si="17"/>
        <v>5700</v>
      </c>
      <c r="V43" s="256">
        <f t="shared" si="17"/>
        <v>5700</v>
      </c>
      <c r="W43" s="256">
        <f t="shared" si="17"/>
        <v>5700</v>
      </c>
      <c r="X43" s="256">
        <f t="shared" si="17"/>
        <v>5700</v>
      </c>
      <c r="Y43" s="256">
        <f t="shared" si="17"/>
        <v>5700</v>
      </c>
      <c r="Z43" s="256">
        <f t="shared" si="17"/>
        <v>5700</v>
      </c>
      <c r="AA43" s="256">
        <f t="shared" si="17"/>
        <v>5700</v>
      </c>
    </row>
    <row r="44" spans="2:27" x14ac:dyDescent="0.2">
      <c r="B44" s="1" t="s">
        <v>227</v>
      </c>
      <c r="H44" s="256">
        <f>$E66*3</f>
        <v>750</v>
      </c>
      <c r="I44" s="256">
        <f t="shared" ref="I44:T44" si="18">$E66*3</f>
        <v>750</v>
      </c>
      <c r="J44" s="256">
        <f t="shared" si="18"/>
        <v>750</v>
      </c>
      <c r="K44" s="256">
        <f t="shared" si="18"/>
        <v>750</v>
      </c>
      <c r="L44" s="256">
        <f t="shared" si="18"/>
        <v>750</v>
      </c>
      <c r="M44" s="256">
        <f t="shared" si="18"/>
        <v>750</v>
      </c>
      <c r="N44" s="256">
        <f t="shared" si="18"/>
        <v>750</v>
      </c>
      <c r="O44" s="256">
        <f t="shared" si="18"/>
        <v>750</v>
      </c>
      <c r="P44" s="256">
        <f t="shared" si="18"/>
        <v>750</v>
      </c>
      <c r="Q44" s="256">
        <f t="shared" si="18"/>
        <v>750</v>
      </c>
      <c r="R44" s="256">
        <f t="shared" si="18"/>
        <v>750</v>
      </c>
      <c r="S44" s="256">
        <f t="shared" si="18"/>
        <v>750</v>
      </c>
      <c r="T44" s="256">
        <f t="shared" si="18"/>
        <v>750</v>
      </c>
      <c r="U44" s="256">
        <f>$E66*3</f>
        <v>750</v>
      </c>
      <c r="V44" s="256">
        <f t="shared" ref="V44:AA44" si="19">$E66*3</f>
        <v>750</v>
      </c>
      <c r="W44" s="256">
        <f t="shared" si="19"/>
        <v>750</v>
      </c>
      <c r="X44" s="256">
        <f t="shared" si="19"/>
        <v>750</v>
      </c>
      <c r="Y44" s="256">
        <f t="shared" si="19"/>
        <v>750</v>
      </c>
      <c r="Z44" s="256">
        <f t="shared" si="19"/>
        <v>750</v>
      </c>
      <c r="AA44" s="256">
        <f t="shared" si="19"/>
        <v>750</v>
      </c>
    </row>
    <row r="45" spans="2:27" x14ac:dyDescent="0.2">
      <c r="B45" s="1" t="s">
        <v>228</v>
      </c>
      <c r="H45" s="256">
        <f t="shared" ref="H45:T47" si="20">$E67*3</f>
        <v>60</v>
      </c>
      <c r="I45" s="256">
        <f t="shared" si="20"/>
        <v>60</v>
      </c>
      <c r="J45" s="256">
        <f t="shared" si="20"/>
        <v>60</v>
      </c>
      <c r="K45" s="256">
        <f t="shared" si="20"/>
        <v>60</v>
      </c>
      <c r="L45" s="256">
        <f t="shared" si="20"/>
        <v>60</v>
      </c>
      <c r="M45" s="256">
        <f t="shared" si="20"/>
        <v>60</v>
      </c>
      <c r="N45" s="256">
        <f t="shared" si="20"/>
        <v>60</v>
      </c>
      <c r="O45" s="256">
        <f t="shared" si="20"/>
        <v>60</v>
      </c>
      <c r="P45" s="256">
        <f t="shared" si="20"/>
        <v>60</v>
      </c>
      <c r="Q45" s="256">
        <f t="shared" si="20"/>
        <v>60</v>
      </c>
      <c r="R45" s="256">
        <f t="shared" si="20"/>
        <v>60</v>
      </c>
      <c r="S45" s="256">
        <f t="shared" si="20"/>
        <v>60</v>
      </c>
      <c r="T45" s="256">
        <f t="shared" si="20"/>
        <v>60</v>
      </c>
      <c r="U45" s="256">
        <f t="shared" ref="U45:AA45" si="21">$E67*3</f>
        <v>60</v>
      </c>
      <c r="V45" s="256">
        <f t="shared" si="21"/>
        <v>60</v>
      </c>
      <c r="W45" s="256">
        <f t="shared" si="21"/>
        <v>60</v>
      </c>
      <c r="X45" s="256">
        <f t="shared" si="21"/>
        <v>60</v>
      </c>
      <c r="Y45" s="256">
        <f t="shared" si="21"/>
        <v>60</v>
      </c>
      <c r="Z45" s="256">
        <f t="shared" si="21"/>
        <v>60</v>
      </c>
      <c r="AA45" s="256">
        <f t="shared" si="21"/>
        <v>60</v>
      </c>
    </row>
    <row r="46" spans="2:27" x14ac:dyDescent="0.2">
      <c r="B46" s="1" t="s">
        <v>229</v>
      </c>
      <c r="H46" s="256">
        <f t="shared" si="20"/>
        <v>750</v>
      </c>
      <c r="I46" s="256">
        <f t="shared" si="20"/>
        <v>750</v>
      </c>
      <c r="J46" s="256">
        <f t="shared" si="20"/>
        <v>750</v>
      </c>
      <c r="K46" s="256">
        <f t="shared" si="20"/>
        <v>750</v>
      </c>
      <c r="L46" s="256">
        <f t="shared" si="20"/>
        <v>750</v>
      </c>
      <c r="M46" s="256">
        <f t="shared" si="20"/>
        <v>750</v>
      </c>
      <c r="N46" s="256">
        <f t="shared" si="20"/>
        <v>750</v>
      </c>
      <c r="O46" s="256">
        <f t="shared" si="20"/>
        <v>750</v>
      </c>
      <c r="P46" s="256">
        <f t="shared" si="20"/>
        <v>750</v>
      </c>
      <c r="Q46" s="256">
        <f t="shared" si="20"/>
        <v>750</v>
      </c>
      <c r="R46" s="256">
        <f t="shared" si="20"/>
        <v>750</v>
      </c>
      <c r="S46" s="256">
        <f t="shared" si="20"/>
        <v>750</v>
      </c>
      <c r="T46" s="256">
        <f t="shared" si="20"/>
        <v>750</v>
      </c>
      <c r="U46" s="256">
        <f t="shared" ref="U46:AA46" si="22">$E68*3</f>
        <v>750</v>
      </c>
      <c r="V46" s="256">
        <f t="shared" si="22"/>
        <v>750</v>
      </c>
      <c r="W46" s="256">
        <f t="shared" si="22"/>
        <v>750</v>
      </c>
      <c r="X46" s="256">
        <f t="shared" si="22"/>
        <v>750</v>
      </c>
      <c r="Y46" s="256">
        <f t="shared" si="22"/>
        <v>750</v>
      </c>
      <c r="Z46" s="256">
        <f t="shared" si="22"/>
        <v>750</v>
      </c>
      <c r="AA46" s="256">
        <f t="shared" si="22"/>
        <v>750</v>
      </c>
    </row>
    <row r="47" spans="2:27" x14ac:dyDescent="0.2">
      <c r="B47" s="1" t="s">
        <v>230</v>
      </c>
      <c r="H47" s="256">
        <f t="shared" si="20"/>
        <v>450</v>
      </c>
      <c r="I47" s="256">
        <f t="shared" si="20"/>
        <v>450</v>
      </c>
      <c r="J47" s="256">
        <f t="shared" si="20"/>
        <v>450</v>
      </c>
      <c r="K47" s="256">
        <f t="shared" si="20"/>
        <v>450</v>
      </c>
      <c r="L47" s="256">
        <f t="shared" si="20"/>
        <v>450</v>
      </c>
      <c r="M47" s="256">
        <f t="shared" si="20"/>
        <v>450</v>
      </c>
      <c r="N47" s="256">
        <f t="shared" si="20"/>
        <v>450</v>
      </c>
      <c r="O47" s="256">
        <f t="shared" si="20"/>
        <v>450</v>
      </c>
      <c r="P47" s="256">
        <f t="shared" si="20"/>
        <v>450</v>
      </c>
      <c r="Q47" s="256">
        <f t="shared" si="20"/>
        <v>450</v>
      </c>
      <c r="R47" s="256">
        <f t="shared" si="20"/>
        <v>450</v>
      </c>
      <c r="S47" s="256">
        <f t="shared" si="20"/>
        <v>450</v>
      </c>
      <c r="T47" s="256">
        <f t="shared" si="20"/>
        <v>450</v>
      </c>
      <c r="U47" s="256">
        <f t="shared" ref="U47:AA47" si="23">$E69*3</f>
        <v>450</v>
      </c>
      <c r="V47" s="256">
        <f t="shared" si="23"/>
        <v>450</v>
      </c>
      <c r="W47" s="256">
        <f t="shared" si="23"/>
        <v>450</v>
      </c>
      <c r="X47" s="256">
        <f t="shared" si="23"/>
        <v>450</v>
      </c>
      <c r="Y47" s="256">
        <f t="shared" si="23"/>
        <v>450</v>
      </c>
      <c r="Z47" s="256">
        <f t="shared" si="23"/>
        <v>450</v>
      </c>
      <c r="AA47" s="256">
        <f t="shared" si="23"/>
        <v>450</v>
      </c>
    </row>
    <row r="48" spans="2:27" x14ac:dyDescent="0.2">
      <c r="B48" s="1" t="s">
        <v>17</v>
      </c>
      <c r="H48" s="256">
        <f>$E$70*H$6</f>
        <v>5000</v>
      </c>
      <c r="I48" s="256">
        <f t="shared" ref="I48:AA48" si="24">$E$70*I$6</f>
        <v>5000</v>
      </c>
      <c r="J48" s="256">
        <f t="shared" si="24"/>
        <v>5000</v>
      </c>
      <c r="K48" s="256">
        <f t="shared" si="24"/>
        <v>5000</v>
      </c>
      <c r="L48" s="256">
        <f t="shared" si="24"/>
        <v>5000</v>
      </c>
      <c r="M48" s="256">
        <f t="shared" si="24"/>
        <v>5000</v>
      </c>
      <c r="N48" s="256">
        <f t="shared" si="24"/>
        <v>5000</v>
      </c>
      <c r="O48" s="256">
        <f t="shared" si="24"/>
        <v>5000</v>
      </c>
      <c r="P48" s="256">
        <f t="shared" si="24"/>
        <v>5000</v>
      </c>
      <c r="Q48" s="256">
        <f t="shared" si="24"/>
        <v>5000</v>
      </c>
      <c r="R48" s="256">
        <f t="shared" si="24"/>
        <v>5000</v>
      </c>
      <c r="S48" s="256">
        <f t="shared" si="24"/>
        <v>5000</v>
      </c>
      <c r="T48" s="256">
        <f t="shared" si="24"/>
        <v>5000</v>
      </c>
      <c r="U48" s="256">
        <f t="shared" si="24"/>
        <v>5000</v>
      </c>
      <c r="V48" s="256">
        <f t="shared" si="24"/>
        <v>5000</v>
      </c>
      <c r="W48" s="256">
        <f t="shared" si="24"/>
        <v>5000</v>
      </c>
      <c r="X48" s="256">
        <f t="shared" si="24"/>
        <v>5000</v>
      </c>
      <c r="Y48" s="256">
        <f t="shared" si="24"/>
        <v>5000</v>
      </c>
      <c r="Z48" s="256">
        <f t="shared" si="24"/>
        <v>5000</v>
      </c>
      <c r="AA48" s="256">
        <f t="shared" si="24"/>
        <v>5000</v>
      </c>
    </row>
    <row r="49" spans="2:27" s="195" customFormat="1" x14ac:dyDescent="0.2">
      <c r="B49" s="67" t="s">
        <v>36</v>
      </c>
      <c r="C49" s="67"/>
      <c r="D49" s="67"/>
      <c r="E49" s="67"/>
      <c r="F49" s="67"/>
      <c r="G49" s="67"/>
      <c r="H49" s="274">
        <f>SUM(H39:H48)</f>
        <v>64185</v>
      </c>
      <c r="I49" s="274">
        <f t="shared" ref="I49:AA49" si="25">SUM(I39:I48)</f>
        <v>64185</v>
      </c>
      <c r="J49" s="274">
        <f t="shared" si="25"/>
        <v>79997.5</v>
      </c>
      <c r="K49" s="274">
        <f t="shared" si="25"/>
        <v>79997.5</v>
      </c>
      <c r="L49" s="274">
        <f t="shared" si="25"/>
        <v>79997.5</v>
      </c>
      <c r="M49" s="274">
        <f t="shared" si="25"/>
        <v>79997.5</v>
      </c>
      <c r="N49" s="274">
        <f t="shared" si="25"/>
        <v>97535</v>
      </c>
      <c r="O49" s="274">
        <f t="shared" si="25"/>
        <v>97535</v>
      </c>
      <c r="P49" s="274">
        <f t="shared" si="25"/>
        <v>97535</v>
      </c>
      <c r="Q49" s="274">
        <f t="shared" si="25"/>
        <v>116797.5</v>
      </c>
      <c r="R49" s="274">
        <f t="shared" si="25"/>
        <v>116797.5</v>
      </c>
      <c r="S49" s="274">
        <f t="shared" si="25"/>
        <v>116797.5</v>
      </c>
      <c r="T49" s="274">
        <f t="shared" si="25"/>
        <v>116797.5</v>
      </c>
      <c r="U49" s="274">
        <f t="shared" si="25"/>
        <v>131172.5</v>
      </c>
      <c r="V49" s="274">
        <f t="shared" si="25"/>
        <v>131172.5</v>
      </c>
      <c r="W49" s="274">
        <f t="shared" si="25"/>
        <v>131172.5</v>
      </c>
      <c r="X49" s="274">
        <f t="shared" si="25"/>
        <v>141235</v>
      </c>
      <c r="Y49" s="274">
        <f t="shared" si="25"/>
        <v>141235</v>
      </c>
      <c r="Z49" s="274">
        <f t="shared" si="25"/>
        <v>141235</v>
      </c>
      <c r="AA49" s="274">
        <f t="shared" si="25"/>
        <v>148422.5</v>
      </c>
    </row>
    <row r="51" spans="2:27" x14ac:dyDescent="0.2">
      <c r="B51" s="67" t="s">
        <v>231</v>
      </c>
      <c r="C51" s="67"/>
      <c r="D51" s="67"/>
      <c r="E51" s="67"/>
      <c r="F51" s="67"/>
      <c r="G51" s="67"/>
      <c r="H51" s="274">
        <f>H49+H36</f>
        <v>251060</v>
      </c>
      <c r="I51" s="275">
        <f t="shared" ref="I51:AA51" si="26">I49+I36</f>
        <v>251060</v>
      </c>
      <c r="J51" s="275">
        <f t="shared" si="26"/>
        <v>345935</v>
      </c>
      <c r="K51" s="275">
        <f t="shared" si="26"/>
        <v>345935</v>
      </c>
      <c r="L51" s="275">
        <f t="shared" si="26"/>
        <v>345935</v>
      </c>
      <c r="M51" s="275">
        <f t="shared" si="26"/>
        <v>345935</v>
      </c>
      <c r="N51" s="275">
        <f t="shared" si="26"/>
        <v>451160</v>
      </c>
      <c r="O51" s="275">
        <f t="shared" si="26"/>
        <v>451160</v>
      </c>
      <c r="P51" s="275">
        <f t="shared" si="26"/>
        <v>451160</v>
      </c>
      <c r="Q51" s="275">
        <f t="shared" si="26"/>
        <v>566735</v>
      </c>
      <c r="R51" s="275">
        <f t="shared" si="26"/>
        <v>566735</v>
      </c>
      <c r="S51" s="275">
        <f t="shared" si="26"/>
        <v>566735</v>
      </c>
      <c r="T51" s="275">
        <f t="shared" si="26"/>
        <v>566735</v>
      </c>
      <c r="U51" s="275">
        <f t="shared" si="26"/>
        <v>652985</v>
      </c>
      <c r="V51" s="275">
        <f t="shared" si="26"/>
        <v>652985</v>
      </c>
      <c r="W51" s="275">
        <f t="shared" si="26"/>
        <v>652985</v>
      </c>
      <c r="X51" s="275">
        <f t="shared" si="26"/>
        <v>713360</v>
      </c>
      <c r="Y51" s="275">
        <f t="shared" si="26"/>
        <v>713360</v>
      </c>
      <c r="Z51" s="275">
        <f t="shared" si="26"/>
        <v>713360</v>
      </c>
      <c r="AA51" s="275">
        <f t="shared" si="26"/>
        <v>756485</v>
      </c>
    </row>
    <row r="56" spans="2:27" x14ac:dyDescent="0.2">
      <c r="B56" s="68" t="s">
        <v>45</v>
      </c>
      <c r="C56" s="69"/>
      <c r="D56" s="69"/>
      <c r="E56" s="70"/>
    </row>
    <row r="57" spans="2:27" x14ac:dyDescent="0.2">
      <c r="B57" s="139"/>
      <c r="C57" s="140"/>
      <c r="D57" s="140"/>
      <c r="E57" s="141"/>
    </row>
    <row r="58" spans="2:27" x14ac:dyDescent="0.2">
      <c r="B58" s="136" t="s">
        <v>41</v>
      </c>
      <c r="C58" s="140"/>
      <c r="D58" s="140"/>
      <c r="E58" s="265">
        <f>Inputs!E135</f>
        <v>0.2</v>
      </c>
    </row>
    <row r="59" spans="2:27" x14ac:dyDescent="0.2">
      <c r="B59" s="143" t="s">
        <v>46</v>
      </c>
      <c r="C59" s="140"/>
      <c r="D59" s="140"/>
      <c r="E59" s="248"/>
    </row>
    <row r="60" spans="2:27" x14ac:dyDescent="0.2">
      <c r="B60" s="130" t="s">
        <v>47</v>
      </c>
      <c r="C60" s="140"/>
      <c r="D60" s="140"/>
      <c r="E60" s="266">
        <f>Inputs!E137</f>
        <v>4000</v>
      </c>
    </row>
    <row r="61" spans="2:27" x14ac:dyDescent="0.2">
      <c r="B61" s="130" t="s">
        <v>48</v>
      </c>
      <c r="C61" s="140"/>
      <c r="D61" s="140"/>
      <c r="E61" s="267">
        <f>Inputs!E138</f>
        <v>12</v>
      </c>
    </row>
    <row r="62" spans="2:27" x14ac:dyDescent="0.2">
      <c r="B62" s="146" t="s">
        <v>49</v>
      </c>
      <c r="C62" s="71"/>
      <c r="D62" s="71"/>
      <c r="E62" s="268">
        <f>Inputs!E139</f>
        <v>48000</v>
      </c>
    </row>
    <row r="63" spans="2:27" x14ac:dyDescent="0.2">
      <c r="B63" s="148"/>
      <c r="C63" s="140"/>
      <c r="D63" s="140"/>
      <c r="E63" s="269"/>
    </row>
    <row r="64" spans="2:27" x14ac:dyDescent="0.2">
      <c r="B64" s="136" t="s">
        <v>50</v>
      </c>
      <c r="C64" s="140"/>
      <c r="D64" s="140"/>
      <c r="E64" s="270">
        <f>Inputs!E141</f>
        <v>0.15</v>
      </c>
    </row>
    <row r="65" spans="2:5" x14ac:dyDescent="0.2">
      <c r="B65" s="136" t="s">
        <v>51</v>
      </c>
      <c r="C65" s="140"/>
      <c r="D65" s="140"/>
      <c r="E65" s="270">
        <f>Inputs!E142</f>
        <v>2.5000000000000001E-2</v>
      </c>
    </row>
    <row r="66" spans="2:5" x14ac:dyDescent="0.2">
      <c r="B66" s="136" t="s">
        <v>52</v>
      </c>
      <c r="C66" s="140"/>
      <c r="D66" s="140"/>
      <c r="E66" s="271">
        <f>Inputs!E143</f>
        <v>250</v>
      </c>
    </row>
    <row r="67" spans="2:5" x14ac:dyDescent="0.2">
      <c r="B67" s="136" t="s">
        <v>53</v>
      </c>
      <c r="C67" s="140"/>
      <c r="D67" s="140"/>
      <c r="E67" s="267">
        <f>Inputs!E144</f>
        <v>20</v>
      </c>
    </row>
    <row r="68" spans="2:5" x14ac:dyDescent="0.2">
      <c r="B68" s="136" t="s">
        <v>54</v>
      </c>
      <c r="C68" s="140"/>
      <c r="D68" s="140"/>
      <c r="E68" s="267">
        <f>Inputs!E145</f>
        <v>250</v>
      </c>
    </row>
    <row r="69" spans="2:5" x14ac:dyDescent="0.2">
      <c r="B69" s="136" t="s">
        <v>55</v>
      </c>
      <c r="C69" s="140"/>
      <c r="D69" s="140"/>
      <c r="E69" s="267">
        <f>Inputs!E146</f>
        <v>150</v>
      </c>
    </row>
    <row r="70" spans="2:5" x14ac:dyDescent="0.2">
      <c r="B70" s="136" t="s">
        <v>17</v>
      </c>
      <c r="C70" s="140"/>
      <c r="D70" s="140"/>
      <c r="E70" s="271">
        <f>Inputs!E147</f>
        <v>20000</v>
      </c>
    </row>
    <row r="71" spans="2:5" x14ac:dyDescent="0.2">
      <c r="B71" s="139"/>
      <c r="C71" s="140"/>
      <c r="D71" s="140"/>
      <c r="E71" s="248"/>
    </row>
    <row r="72" spans="2:5" x14ac:dyDescent="0.2">
      <c r="B72" s="143" t="s">
        <v>44</v>
      </c>
      <c r="C72" s="140"/>
      <c r="D72" s="140"/>
      <c r="E72" s="248"/>
    </row>
    <row r="73" spans="2:5" x14ac:dyDescent="0.2">
      <c r="B73" s="130" t="s">
        <v>56</v>
      </c>
      <c r="C73" s="140"/>
      <c r="D73" s="140"/>
      <c r="E73" s="267">
        <f>Inputs!E150</f>
        <v>500</v>
      </c>
    </row>
    <row r="74" spans="2:5" x14ac:dyDescent="0.2">
      <c r="B74" s="130" t="s">
        <v>57</v>
      </c>
      <c r="C74" s="140"/>
      <c r="D74" s="140"/>
      <c r="E74" s="267">
        <f>Inputs!E151</f>
        <v>400</v>
      </c>
    </row>
    <row r="75" spans="2:5" x14ac:dyDescent="0.2">
      <c r="B75" s="130" t="s">
        <v>58</v>
      </c>
      <c r="C75" s="140"/>
      <c r="D75" s="140"/>
      <c r="E75" s="271">
        <f>Inputs!E152</f>
        <v>1000</v>
      </c>
    </row>
    <row r="76" spans="2:5" x14ac:dyDescent="0.2">
      <c r="B76" s="152" t="s">
        <v>59</v>
      </c>
      <c r="C76" s="153"/>
      <c r="D76" s="153"/>
      <c r="E76" s="272">
        <f>Inputs!E153</f>
        <v>1900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CC24-B027-42A5-8E20-62F0F3A18CC9}">
  <sheetPr>
    <tabColor rgb="FFFF0000"/>
  </sheetPr>
  <dimension ref="A1:D5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79</v>
      </c>
      <c r="B1" t="s">
        <v>82</v>
      </c>
      <c r="C1">
        <v>1</v>
      </c>
      <c r="D1">
        <v>1</v>
      </c>
    </row>
    <row r="2" spans="1:4" x14ac:dyDescent="0.25">
      <c r="A2" t="s">
        <v>80</v>
      </c>
      <c r="B2" t="s">
        <v>83</v>
      </c>
      <c r="C2">
        <v>2</v>
      </c>
      <c r="D2">
        <v>2</v>
      </c>
    </row>
    <row r="3" spans="1:4" x14ac:dyDescent="0.25">
      <c r="B3" t="s">
        <v>84</v>
      </c>
      <c r="D3">
        <v>3</v>
      </c>
    </row>
    <row r="4" spans="1:4" x14ac:dyDescent="0.25">
      <c r="B4" t="s">
        <v>85</v>
      </c>
    </row>
    <row r="5" spans="1:4" x14ac:dyDescent="0.25">
      <c r="B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64F3-A920-4579-A14D-34560E5BEDDF}">
  <dimension ref="B2:Z40"/>
  <sheetViews>
    <sheetView workbookViewId="0">
      <selection activeCell="G10" sqref="G10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6" width="2.140625" style="1" customWidth="1"/>
    <col min="7" max="16" width="9.85546875" style="1" bestFit="1" customWidth="1"/>
    <col min="17" max="26" width="10.710937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8" spans="2:26" x14ac:dyDescent="0.2">
      <c r="B8" s="197"/>
      <c r="C8" s="198"/>
      <c r="G8" s="199" t="s">
        <v>6</v>
      </c>
      <c r="H8" s="199"/>
      <c r="I8" s="199"/>
      <c r="J8" s="199"/>
      <c r="K8" s="199" t="s">
        <v>7</v>
      </c>
      <c r="L8" s="199"/>
      <c r="M8" s="199"/>
      <c r="N8" s="199"/>
      <c r="O8" s="199" t="s">
        <v>8</v>
      </c>
      <c r="P8" s="199"/>
      <c r="Q8" s="199"/>
      <c r="R8" s="199"/>
      <c r="S8" s="199" t="s">
        <v>9</v>
      </c>
      <c r="T8" s="199"/>
      <c r="U8" s="199"/>
      <c r="V8" s="199"/>
      <c r="W8" s="199" t="s">
        <v>10</v>
      </c>
      <c r="X8" s="199"/>
      <c r="Y8" s="199"/>
      <c r="Z8" s="199"/>
    </row>
    <row r="9" spans="2:26" x14ac:dyDescent="0.2">
      <c r="C9" s="200"/>
      <c r="D9" s="200"/>
      <c r="E9" s="200"/>
      <c r="G9" s="200" t="s">
        <v>11</v>
      </c>
      <c r="H9" s="200" t="s">
        <v>12</v>
      </c>
      <c r="I9" s="200" t="s">
        <v>13</v>
      </c>
      <c r="J9" s="200" t="s">
        <v>14</v>
      </c>
      <c r="K9" s="200" t="s">
        <v>11</v>
      </c>
      <c r="L9" s="200" t="s">
        <v>12</v>
      </c>
      <c r="M9" s="200" t="s">
        <v>13</v>
      </c>
      <c r="N9" s="200" t="s">
        <v>14</v>
      </c>
      <c r="O9" s="200" t="s">
        <v>11</v>
      </c>
      <c r="P9" s="200" t="s">
        <v>12</v>
      </c>
      <c r="Q9" s="200" t="s">
        <v>13</v>
      </c>
      <c r="R9" s="200" t="s">
        <v>14</v>
      </c>
      <c r="S9" s="200" t="s">
        <v>11</v>
      </c>
      <c r="T9" s="200" t="s">
        <v>12</v>
      </c>
      <c r="U9" s="200" t="s">
        <v>13</v>
      </c>
      <c r="V9" s="200" t="s">
        <v>14</v>
      </c>
      <c r="W9" s="200" t="s">
        <v>11</v>
      </c>
      <c r="X9" s="200" t="s">
        <v>12</v>
      </c>
      <c r="Y9" s="200" t="s">
        <v>13</v>
      </c>
      <c r="Z9" s="200" t="s">
        <v>14</v>
      </c>
    </row>
    <row r="10" spans="2:26" x14ac:dyDescent="0.2">
      <c r="B10" s="33" t="s">
        <v>15</v>
      </c>
      <c r="C10" s="201"/>
      <c r="D10" s="202"/>
      <c r="G10" s="201">
        <f ca="1">'Existing Stores--&gt;&gt;'!G10+'Inc_Stm_New_Stores---&gt;&gt;'!G36</f>
        <v>3180373.5924999998</v>
      </c>
      <c r="H10" s="201">
        <f ca="1">'Existing Stores--&gt;&gt;'!H10+'Inc_Stm_New_Stores---&gt;&gt;'!H36</f>
        <v>3960012.3807806242</v>
      </c>
      <c r="I10" s="201">
        <f ca="1">'Existing Stores--&gt;&gt;'!I10+'Inc_Stm_New_Stores---&gt;&gt;'!I36</f>
        <v>4745493.9306850173</v>
      </c>
      <c r="J10" s="201">
        <f ca="1">'Existing Stores--&gt;&gt;'!J10+'Inc_Stm_New_Stores---&gt;&gt;'!J36</f>
        <v>5157034.6359620579</v>
      </c>
      <c r="K10" s="201">
        <f ca="1">'Existing Stores--&gt;&gt;'!K10+'Inc_Stm_New_Stores---&gt;&gt;'!K36</f>
        <v>5571657.5144891189</v>
      </c>
      <c r="L10" s="201">
        <f ca="1">'Existing Stores--&gt;&gt;'!L10+'Inc_Stm_New_Stores---&gt;&gt;'!L36</f>
        <v>6369213.2579666367</v>
      </c>
      <c r="M10" s="201">
        <f ca="1">'Existing Stores--&gt;&gt;'!M10+'Inc_Stm_New_Stores---&gt;&gt;'!M36</f>
        <v>7172746.439485536</v>
      </c>
      <c r="N10" s="201">
        <f ca="1">'Existing Stores--&gt;&gt;'!N10+'Inc_Stm_New_Stores---&gt;&gt;'!N36</f>
        <v>7602474.4676515525</v>
      </c>
      <c r="O10" s="201">
        <f ca="1">'Existing Stores--&gt;&gt;'!O10+'Inc_Stm_New_Stores---&gt;&gt;'!O36</f>
        <v>8035421.3828656441</v>
      </c>
      <c r="P10" s="201">
        <f ca="1">'Existing Stores--&gt;&gt;'!P10+'Inc_Stm_New_Stores---&gt;&gt;'!P36</f>
        <v>8851438.9070766401</v>
      </c>
      <c r="Q10" s="201">
        <f ca="1">'Existing Stores--&gt;&gt;'!Q10+'Inc_Stm_New_Stores---&gt;&gt;'!Q36</f>
        <v>9673572.6514072064</v>
      </c>
      <c r="R10" s="201">
        <f ca="1">'Existing Stores--&gt;&gt;'!R10+'Inc_Stm_New_Stores---&gt;&gt;'!R36</f>
        <v>10122041.070337133</v>
      </c>
      <c r="S10" s="201">
        <f ca="1">'Existing Stores--&gt;&gt;'!S10+'Inc_Stm_New_Stores---&gt;&gt;'!S36</f>
        <v>10573869.258043176</v>
      </c>
      <c r="T10" s="201">
        <f ca="1">'Existing Stores--&gt;&gt;'!T10+'Inc_Stm_New_Stores---&gt;&gt;'!T36</f>
        <v>11408909.998211579</v>
      </c>
      <c r="U10" s="201">
        <f ca="1">'Existing Stores--&gt;&gt;'!U10+'Inc_Stm_New_Stores---&gt;&gt;'!U36</f>
        <v>12250209.97172437</v>
      </c>
      <c r="V10" s="201">
        <f ca="1">'Existing Stores--&gt;&gt;'!V10+'Inc_Stm_New_Stores---&gt;&gt;'!V36</f>
        <v>12717988.710903434</v>
      </c>
      <c r="W10" s="201">
        <f ca="1">'Existing Stores--&gt;&gt;'!W10+'Inc_Stm_New_Stores---&gt;&gt;'!W36</f>
        <v>13189272.395911612</v>
      </c>
      <c r="X10" s="201">
        <f ca="1">'Existing Stores--&gt;&gt;'!X10+'Inc_Stm_New_Stores---&gt;&gt;'!X36</f>
        <v>14043914.904626939</v>
      </c>
      <c r="Y10" s="201">
        <f ca="1">'Existing Stores--&gt;&gt;'!Y10+'Inc_Stm_New_Stores---&gt;&gt;'!Y36</f>
        <v>14904964.020391122</v>
      </c>
      <c r="Z10" s="201">
        <f ca="1">'Existing Stores--&gt;&gt;'!Z10+'Inc_Stm_New_Stores---&gt;&gt;'!Z36</f>
        <v>15392640.386316283</v>
      </c>
    </row>
    <row r="11" spans="2:26" x14ac:dyDescent="0.2">
      <c r="B11" s="33"/>
      <c r="C11" s="201"/>
      <c r="D11" s="202"/>
      <c r="G11" s="201">
        <f>'Existing Stores--&gt;&gt;'!G11+'Inc_Stm_New_Stores---&gt;&gt;'!G37</f>
        <v>0</v>
      </c>
      <c r="H11" s="201">
        <f>'Existing Stores--&gt;&gt;'!H11+'Inc_Stm_New_Stores---&gt;&gt;'!H37</f>
        <v>0</v>
      </c>
      <c r="I11" s="201">
        <f>'Existing Stores--&gt;&gt;'!I11+'Inc_Stm_New_Stores---&gt;&gt;'!I37</f>
        <v>0</v>
      </c>
      <c r="J11" s="201">
        <f>'Existing Stores--&gt;&gt;'!J11+'Inc_Stm_New_Stores---&gt;&gt;'!J37</f>
        <v>0</v>
      </c>
      <c r="K11" s="201">
        <f>'Existing Stores--&gt;&gt;'!K11+'Inc_Stm_New_Stores---&gt;&gt;'!K37</f>
        <v>0</v>
      </c>
      <c r="L11" s="201">
        <f>'Existing Stores--&gt;&gt;'!L11+'Inc_Stm_New_Stores---&gt;&gt;'!L37</f>
        <v>0</v>
      </c>
      <c r="M11" s="201">
        <f>'Existing Stores--&gt;&gt;'!M11+'Inc_Stm_New_Stores---&gt;&gt;'!M37</f>
        <v>0</v>
      </c>
      <c r="N11" s="201">
        <f>'Existing Stores--&gt;&gt;'!N11+'Inc_Stm_New_Stores---&gt;&gt;'!N37</f>
        <v>0</v>
      </c>
      <c r="O11" s="201">
        <f>'Existing Stores--&gt;&gt;'!O11+'Inc_Stm_New_Stores---&gt;&gt;'!O37</f>
        <v>0</v>
      </c>
      <c r="P11" s="201">
        <f>'Existing Stores--&gt;&gt;'!P11+'Inc_Stm_New_Stores---&gt;&gt;'!P37</f>
        <v>0</v>
      </c>
      <c r="Q11" s="201">
        <f>'Existing Stores--&gt;&gt;'!Q11+'Inc_Stm_New_Stores---&gt;&gt;'!Q37</f>
        <v>0</v>
      </c>
      <c r="R11" s="201">
        <f>'Existing Stores--&gt;&gt;'!R11+'Inc_Stm_New_Stores---&gt;&gt;'!R37</f>
        <v>0</v>
      </c>
      <c r="S11" s="201">
        <f>'Existing Stores--&gt;&gt;'!S11+'Inc_Stm_New_Stores---&gt;&gt;'!S37</f>
        <v>0</v>
      </c>
      <c r="T11" s="201">
        <f>'Existing Stores--&gt;&gt;'!T11+'Inc_Stm_New_Stores---&gt;&gt;'!T37</f>
        <v>0</v>
      </c>
      <c r="U11" s="201">
        <f>'Existing Stores--&gt;&gt;'!U11+'Inc_Stm_New_Stores---&gt;&gt;'!U37</f>
        <v>0</v>
      </c>
      <c r="V11" s="201">
        <f>'Existing Stores--&gt;&gt;'!V11+'Inc_Stm_New_Stores---&gt;&gt;'!V37</f>
        <v>0</v>
      </c>
      <c r="W11" s="201">
        <f>'Existing Stores--&gt;&gt;'!W11+'Inc_Stm_New_Stores---&gt;&gt;'!W37</f>
        <v>0</v>
      </c>
      <c r="X11" s="201">
        <f>'Existing Stores--&gt;&gt;'!X11+'Inc_Stm_New_Stores---&gt;&gt;'!X37</f>
        <v>0</v>
      </c>
      <c r="Y11" s="201">
        <f>'Existing Stores--&gt;&gt;'!Y11+'Inc_Stm_New_Stores---&gt;&gt;'!Y37</f>
        <v>0</v>
      </c>
      <c r="Z11" s="201">
        <f>'Existing Stores--&gt;&gt;'!Z11+'Inc_Stm_New_Stores---&gt;&gt;'!Z37</f>
        <v>0</v>
      </c>
    </row>
    <row r="12" spans="2:26" x14ac:dyDescent="0.2">
      <c r="B12" s="1" t="s">
        <v>66</v>
      </c>
      <c r="C12" s="201"/>
      <c r="D12" s="233"/>
      <c r="E12" s="208"/>
      <c r="G12" s="201">
        <f ca="1">'Existing Stores--&gt;&gt;'!G12+'Inc_Stm_New_Stores---&gt;&gt;'!G38</f>
        <v>141167.46875</v>
      </c>
      <c r="H12" s="201">
        <f ca="1">'Existing Stores--&gt;&gt;'!H12+'Inc_Stm_New_Stores---&gt;&gt;'!H38</f>
        <v>189192.23752343748</v>
      </c>
      <c r="I12" s="201">
        <f ca="1">'Existing Stores--&gt;&gt;'!I12+'Inc_Stm_New_Stores---&gt;&gt;'!I38</f>
        <v>237576.98836525588</v>
      </c>
      <c r="J12" s="201">
        <f ca="1">'Existing Stores--&gt;&gt;'!J12+'Inc_Stm_New_Stores---&gt;&gt;'!J38</f>
        <v>262774.11097689479</v>
      </c>
      <c r="K12" s="201">
        <f ca="1">'Existing Stores--&gt;&gt;'!K12+'Inc_Stm_New_Stores---&gt;&gt;'!K38</f>
        <v>288160.01302420878</v>
      </c>
      <c r="L12" s="201">
        <f ca="1">'Existing Stores--&gt;&gt;'!L12+'Inc_Stm_New_Stores---&gt;&gt;'!L38</f>
        <v>337286.42527270038</v>
      </c>
      <c r="M12" s="201">
        <f ca="1">'Existing Stores--&gt;&gt;'!M12+'Inc_Stm_New_Stores---&gt;&gt;'!M38</f>
        <v>386781.09151127306</v>
      </c>
      <c r="N12" s="201">
        <f ca="1">'Existing Stores--&gt;&gt;'!N12+'Inc_Stm_New_Stores---&gt;&gt;'!N38</f>
        <v>413096.46365041757</v>
      </c>
      <c r="O12" s="201">
        <f ca="1">'Existing Stores--&gt;&gt;'!O12+'Inc_Stm_New_Stores---&gt;&gt;'!O38</f>
        <v>439609.01203364064</v>
      </c>
      <c r="P12" s="201">
        <f ca="1">'Existing Stores--&gt;&gt;'!P12+'Inc_Stm_New_Stores---&gt;&gt;'!P38</f>
        <v>489870.53057623445</v>
      </c>
      <c r="Q12" s="201">
        <f ca="1">'Existing Stores--&gt;&gt;'!Q12+'Inc_Stm_New_Stores---&gt;&gt;'!Q38</f>
        <v>540508.82669259282</v>
      </c>
      <c r="R12" s="201">
        <f ca="1">'Existing Stores--&gt;&gt;'!R12+'Inc_Stm_New_Stores---&gt;&gt;'!R38</f>
        <v>567976.41639798786</v>
      </c>
      <c r="S12" s="201">
        <f ca="1">'Existing Stores--&gt;&gt;'!S12+'Inc_Stm_New_Stores---&gt;&gt;'!S38</f>
        <v>595649.83462361596</v>
      </c>
      <c r="T12" s="201">
        <f ca="1">'Existing Stores--&gt;&gt;'!T12+'Inc_Stm_New_Stores---&gt;&gt;'!T38</f>
        <v>647080.94035901176</v>
      </c>
      <c r="U12" s="201">
        <f ca="1">'Existing Stores--&gt;&gt;'!U12+'Inc_Stm_New_Stores---&gt;&gt;'!U38</f>
        <v>698897.60658303753</v>
      </c>
      <c r="V12" s="201">
        <f ca="1">'Existing Stores--&gt;&gt;'!V12+'Inc_Stm_New_Stores---&gt;&gt;'!V38</f>
        <v>727552.41536935885</v>
      </c>
      <c r="W12" s="201">
        <f ca="1">'Existing Stores--&gt;&gt;'!W12+'Inc_Stm_New_Stores---&gt;&gt;'!W38</f>
        <v>756421.9682052189</v>
      </c>
      <c r="X12" s="201">
        <f ca="1">'Existing Stores--&gt;&gt;'!X12+'Inc_Stm_New_Stores---&gt;&gt;'!X38</f>
        <v>809058.1911376093</v>
      </c>
      <c r="Y12" s="201">
        <f ca="1">'Existing Stores--&gt;&gt;'!Y12+'Inc_Stm_New_Stores---&gt;&gt;'!Y38</f>
        <v>862089.02470804367</v>
      </c>
      <c r="Z12" s="201">
        <f ca="1">'Existing Stores--&gt;&gt;'!Z12+'Inc_Stm_New_Stores---&gt;&gt;'!Z38</f>
        <v>891967.11906184698</v>
      </c>
    </row>
    <row r="13" spans="2:26" x14ac:dyDescent="0.2">
      <c r="B13" s="1" t="s">
        <v>69</v>
      </c>
      <c r="C13" s="201"/>
      <c r="D13" s="233"/>
      <c r="E13" s="208"/>
      <c r="G13" s="201">
        <f ca="1">'Existing Stores--&gt;&gt;'!G13+'Inc_Stm_New_Stores---&gt;&gt;'!G39</f>
        <v>613322.07300000009</v>
      </c>
      <c r="H13" s="201">
        <f ca="1">'Existing Stores--&gt;&gt;'!H13+'Inc_Stm_New_Stores---&gt;&gt;'!H39</f>
        <v>821972.48658525001</v>
      </c>
      <c r="I13" s="201">
        <f ca="1">'Existing Stores--&gt;&gt;'!I13+'Inc_Stm_New_Stores---&gt;&gt;'!I39</f>
        <v>1032186.8932800824</v>
      </c>
      <c r="J13" s="201">
        <f ca="1">'Existing Stores--&gt;&gt;'!J13+'Inc_Stm_New_Stores---&gt;&gt;'!J39</f>
        <v>1141659.363181584</v>
      </c>
      <c r="K13" s="201">
        <f ca="1">'Existing Stores--&gt;&gt;'!K13+'Inc_Stm_New_Stores---&gt;&gt;'!K39</f>
        <v>1251952.0120935421</v>
      </c>
      <c r="L13" s="201">
        <f ca="1">'Existing Stores--&gt;&gt;'!L13+'Inc_Stm_New_Stores---&gt;&gt;'!L39</f>
        <v>1465388.6718714167</v>
      </c>
      <c r="M13" s="201">
        <f ca="1">'Existing Stores--&gt;&gt;'!M13+'Inc_Stm_New_Stores---&gt;&gt;'!M39</f>
        <v>1680425.2632949241</v>
      </c>
      <c r="N13" s="201">
        <f ca="1">'Existing Stores--&gt;&gt;'!N13+'Inc_Stm_New_Stores---&gt;&gt;'!N39</f>
        <v>1794756.1267371897</v>
      </c>
      <c r="O13" s="201">
        <f ca="1">'Existing Stores--&gt;&gt;'!O13+'Inc_Stm_New_Stores---&gt;&gt;'!O39</f>
        <v>1909943.6503139429</v>
      </c>
      <c r="P13" s="201">
        <f ca="1">'Existing Stores--&gt;&gt;'!P13+'Inc_Stm_New_Stores---&gt;&gt;'!P39</f>
        <v>2128311.9402438533</v>
      </c>
      <c r="Q13" s="201">
        <f ca="1">'Existing Stores--&gt;&gt;'!Q13+'Inc_Stm_New_Stores---&gt;&gt;'!Q39</f>
        <v>2348317.193736597</v>
      </c>
      <c r="R13" s="201">
        <f ca="1">'Existing Stores--&gt;&gt;'!R13+'Inc_Stm_New_Stores---&gt;&gt;'!R39</f>
        <v>2467654.0296776067</v>
      </c>
      <c r="S13" s="201">
        <f ca="1">'Existing Stores--&gt;&gt;'!S13+'Inc_Stm_New_Stores---&gt;&gt;'!S39</f>
        <v>2587885.1167929815</v>
      </c>
      <c r="T13" s="201">
        <f ca="1">'Existing Stores--&gt;&gt;'!T13+'Inc_Stm_New_Stores---&gt;&gt;'!T39</f>
        <v>2811334.8440256603</v>
      </c>
      <c r="U13" s="201">
        <f ca="1">'Existing Stores--&gt;&gt;'!U13+'Inc_Stm_New_Stores---&gt;&gt;'!U39</f>
        <v>3036459.6934394427</v>
      </c>
      <c r="V13" s="201">
        <f ca="1">'Existing Stores--&gt;&gt;'!V13+'Inc_Stm_New_Stores---&gt;&gt;'!V39</f>
        <v>3160954.5709198127</v>
      </c>
      <c r="W13" s="201">
        <f ca="1">'Existing Stores--&gt;&gt;'!W13+'Inc_Stm_New_Stores---&gt;&gt;'!W39</f>
        <v>3286382.4343550466</v>
      </c>
      <c r="X13" s="201">
        <f ca="1">'Existing Stores--&gt;&gt;'!X13+'Inc_Stm_New_Stores---&gt;&gt;'!X39</f>
        <v>3515067.9640287086</v>
      </c>
      <c r="Y13" s="201">
        <f ca="1">'Existing Stores--&gt;&gt;'!Y13+'Inc_Stm_New_Stores---&gt;&gt;'!Y39</f>
        <v>3745467.9355401117</v>
      </c>
      <c r="Z13" s="201">
        <f ca="1">'Existing Stores--&gt;&gt;'!Z13+'Inc_Stm_New_Stores---&gt;&gt;'!Z39</f>
        <v>3875277.550521709</v>
      </c>
    </row>
    <row r="14" spans="2:26" x14ac:dyDescent="0.2">
      <c r="B14" s="67" t="s">
        <v>199</v>
      </c>
      <c r="C14" s="236"/>
      <c r="D14" s="237"/>
      <c r="E14" s="208"/>
      <c r="G14" s="211">
        <f ca="1">'Existing Stores--&gt;&gt;'!G14+'Inc_Stm_New_Stores---&gt;&gt;'!G40</f>
        <v>754489.54175000009</v>
      </c>
      <c r="H14" s="211">
        <f ca="1">'Existing Stores--&gt;&gt;'!H14+'Inc_Stm_New_Stores---&gt;&gt;'!H40</f>
        <v>1011164.7241086875</v>
      </c>
      <c r="I14" s="211">
        <f ca="1">'Existing Stores--&gt;&gt;'!I14+'Inc_Stm_New_Stores---&gt;&gt;'!I40</f>
        <v>1269763.8816453381</v>
      </c>
      <c r="J14" s="211">
        <f ca="1">'Existing Stores--&gt;&gt;'!J14+'Inc_Stm_New_Stores---&gt;&gt;'!J40</f>
        <v>1404433.4741584789</v>
      </c>
      <c r="K14" s="211">
        <f ca="1">'Existing Stores--&gt;&gt;'!K14+'Inc_Stm_New_Stores---&gt;&gt;'!K40</f>
        <v>1540112.025117751</v>
      </c>
      <c r="L14" s="211">
        <f ca="1">'Existing Stores--&gt;&gt;'!L14+'Inc_Stm_New_Stores---&gt;&gt;'!L40</f>
        <v>1802675.0971441171</v>
      </c>
      <c r="M14" s="211">
        <f ca="1">'Existing Stores--&gt;&gt;'!M14+'Inc_Stm_New_Stores---&gt;&gt;'!M40</f>
        <v>2067206.3548061969</v>
      </c>
      <c r="N14" s="211">
        <f ca="1">'Existing Stores--&gt;&gt;'!N14+'Inc_Stm_New_Stores---&gt;&gt;'!N40</f>
        <v>2207852.5903876075</v>
      </c>
      <c r="O14" s="211">
        <f ca="1">'Existing Stores--&gt;&gt;'!O14+'Inc_Stm_New_Stores---&gt;&gt;'!O40</f>
        <v>2349552.6623475836</v>
      </c>
      <c r="P14" s="211">
        <f ca="1">'Existing Stores--&gt;&gt;'!P14+'Inc_Stm_New_Stores---&gt;&gt;'!P40</f>
        <v>2618182.4708200875</v>
      </c>
      <c r="Q14" s="211">
        <f ca="1">'Existing Stores--&gt;&gt;'!Q14+'Inc_Stm_New_Stores---&gt;&gt;'!Q40</f>
        <v>2888826.0204291898</v>
      </c>
      <c r="R14" s="211">
        <f ca="1">'Existing Stores--&gt;&gt;'!R14+'Inc_Stm_New_Stores---&gt;&gt;'!R40</f>
        <v>3035630.4460755945</v>
      </c>
      <c r="S14" s="211">
        <f ca="1">'Existing Stores--&gt;&gt;'!S14+'Inc_Stm_New_Stores---&gt;&gt;'!S40</f>
        <v>3183534.9514165968</v>
      </c>
      <c r="T14" s="211">
        <f ca="1">'Existing Stores--&gt;&gt;'!T14+'Inc_Stm_New_Stores---&gt;&gt;'!T40</f>
        <v>3458415.7843846721</v>
      </c>
      <c r="U14" s="211">
        <f ca="1">'Existing Stores--&gt;&gt;'!U14+'Inc_Stm_New_Stores---&gt;&gt;'!U40</f>
        <v>3735357.3000224801</v>
      </c>
      <c r="V14" s="211">
        <f ca="1">'Existing Stores--&gt;&gt;'!V14+'Inc_Stm_New_Stores---&gt;&gt;'!V40</f>
        <v>3888506.9862891706</v>
      </c>
      <c r="W14" s="211">
        <f ca="1">'Existing Stores--&gt;&gt;'!W14+'Inc_Stm_New_Stores---&gt;&gt;'!W40</f>
        <v>4042804.4025602657</v>
      </c>
      <c r="X14" s="211">
        <f ca="1">'Existing Stores--&gt;&gt;'!X14+'Inc_Stm_New_Stores---&gt;&gt;'!X40</f>
        <v>4324126.1551663186</v>
      </c>
      <c r="Y14" s="211">
        <f ca="1">'Existing Stores--&gt;&gt;'!Y14+'Inc_Stm_New_Stores---&gt;&gt;'!Y40</f>
        <v>4607556.9602481555</v>
      </c>
      <c r="Z14" s="211">
        <f ca="1">'Existing Stores--&gt;&gt;'!Z14+'Inc_Stm_New_Stores---&gt;&gt;'!Z40</f>
        <v>4767244.6695835553</v>
      </c>
    </row>
    <row r="15" spans="2:26" x14ac:dyDescent="0.2">
      <c r="C15" s="234"/>
      <c r="D15" s="233"/>
      <c r="E15" s="208"/>
      <c r="G15" s="203">
        <f>'Existing Stores--&gt;&gt;'!G15+'Inc_Stm_New_Stores---&gt;&gt;'!G41</f>
        <v>0</v>
      </c>
      <c r="H15" s="203">
        <f>'Existing Stores--&gt;&gt;'!H15+'Inc_Stm_New_Stores---&gt;&gt;'!H41</f>
        <v>0</v>
      </c>
      <c r="I15" s="203">
        <f>'Existing Stores--&gt;&gt;'!I15+'Inc_Stm_New_Stores---&gt;&gt;'!I41</f>
        <v>0</v>
      </c>
      <c r="J15" s="203">
        <f>'Existing Stores--&gt;&gt;'!J15+'Inc_Stm_New_Stores---&gt;&gt;'!J41</f>
        <v>0</v>
      </c>
      <c r="K15" s="203">
        <f>'Existing Stores--&gt;&gt;'!K15+'Inc_Stm_New_Stores---&gt;&gt;'!K41</f>
        <v>0</v>
      </c>
      <c r="L15" s="203">
        <f>'Existing Stores--&gt;&gt;'!L15+'Inc_Stm_New_Stores---&gt;&gt;'!L41</f>
        <v>0</v>
      </c>
      <c r="M15" s="203">
        <f>'Existing Stores--&gt;&gt;'!M15+'Inc_Stm_New_Stores---&gt;&gt;'!M41</f>
        <v>0</v>
      </c>
      <c r="N15" s="203">
        <f>'Existing Stores--&gt;&gt;'!N15+'Inc_Stm_New_Stores---&gt;&gt;'!N41</f>
        <v>0</v>
      </c>
      <c r="O15" s="203">
        <f>'Existing Stores--&gt;&gt;'!O15+'Inc_Stm_New_Stores---&gt;&gt;'!O41</f>
        <v>0</v>
      </c>
      <c r="P15" s="203">
        <f>'Existing Stores--&gt;&gt;'!P15+'Inc_Stm_New_Stores---&gt;&gt;'!P41</f>
        <v>0</v>
      </c>
      <c r="Q15" s="203">
        <f>'Existing Stores--&gt;&gt;'!Q15+'Inc_Stm_New_Stores---&gt;&gt;'!Q41</f>
        <v>0</v>
      </c>
      <c r="R15" s="203">
        <f>'Existing Stores--&gt;&gt;'!R15+'Inc_Stm_New_Stores---&gt;&gt;'!R41</f>
        <v>0</v>
      </c>
      <c r="S15" s="203">
        <f>'Existing Stores--&gt;&gt;'!S15+'Inc_Stm_New_Stores---&gt;&gt;'!S41</f>
        <v>0</v>
      </c>
      <c r="T15" s="203">
        <f>'Existing Stores--&gt;&gt;'!T15+'Inc_Stm_New_Stores---&gt;&gt;'!T41</f>
        <v>0</v>
      </c>
      <c r="U15" s="203">
        <f>'Existing Stores--&gt;&gt;'!U15+'Inc_Stm_New_Stores---&gt;&gt;'!U41</f>
        <v>0</v>
      </c>
      <c r="V15" s="203">
        <f>'Existing Stores--&gt;&gt;'!V15+'Inc_Stm_New_Stores---&gt;&gt;'!V41</f>
        <v>0</v>
      </c>
      <c r="W15" s="203">
        <f>'Existing Stores--&gt;&gt;'!W15+'Inc_Stm_New_Stores---&gt;&gt;'!W41</f>
        <v>0</v>
      </c>
      <c r="X15" s="203">
        <f>'Existing Stores--&gt;&gt;'!X15+'Inc_Stm_New_Stores---&gt;&gt;'!X41</f>
        <v>0</v>
      </c>
      <c r="Y15" s="203">
        <f>'Existing Stores--&gt;&gt;'!Y15+'Inc_Stm_New_Stores---&gt;&gt;'!Y41</f>
        <v>0</v>
      </c>
      <c r="Z15" s="203">
        <f>'Existing Stores--&gt;&gt;'!Z15+'Inc_Stm_New_Stores---&gt;&gt;'!Z41</f>
        <v>0</v>
      </c>
    </row>
    <row r="16" spans="2:26" x14ac:dyDescent="0.2">
      <c r="B16" s="1" t="s">
        <v>1</v>
      </c>
      <c r="C16" s="201"/>
      <c r="D16" s="233"/>
      <c r="E16" s="208"/>
      <c r="G16" s="201">
        <f ca="1">'Existing Stores--&gt;&gt;'!G16+'Inc_Stm_New_Stores---&gt;&gt;'!G42</f>
        <v>58095.694714749996</v>
      </c>
      <c r="H16" s="201">
        <f ca="1">'Existing Stores--&gt;&gt;'!H16+'Inc_Stm_New_Stores---&gt;&gt;'!H42</f>
        <v>77859.683756368933</v>
      </c>
      <c r="I16" s="201">
        <f ca="1">'Existing Stores--&gt;&gt;'!I16+'Inc_Stm_New_Stores---&gt;&gt;'!I42</f>
        <v>97771.818886691035</v>
      </c>
      <c r="J16" s="201">
        <f ca="1">'Existing Stores--&gt;&gt;'!J16+'Inc_Stm_New_Stores---&gt;&gt;'!J42</f>
        <v>108141.37751020286</v>
      </c>
      <c r="K16" s="201">
        <f ca="1">'Existing Stores--&gt;&gt;'!K16+'Inc_Stm_New_Stores---&gt;&gt;'!K42</f>
        <v>118588.6259340668</v>
      </c>
      <c r="L16" s="201">
        <f ca="1">'Existing Stores--&gt;&gt;'!L16+'Inc_Stm_New_Stores---&gt;&gt;'!L42</f>
        <v>138805.98248009701</v>
      </c>
      <c r="M16" s="201">
        <f ca="1">'Existing Stores--&gt;&gt;'!M16+'Inc_Stm_New_Stores---&gt;&gt;'!M42</f>
        <v>159174.88932007717</v>
      </c>
      <c r="N16" s="201">
        <f ca="1">'Existing Stores--&gt;&gt;'!N16+'Inc_Stm_New_Stores---&gt;&gt;'!N42</f>
        <v>170004.64945984576</v>
      </c>
      <c r="O16" s="201">
        <f ca="1">'Existing Stores--&gt;&gt;'!O16+'Inc_Stm_New_Stores---&gt;&gt;'!O42</f>
        <v>180915.55500076391</v>
      </c>
      <c r="P16" s="201">
        <f ca="1">'Existing Stores--&gt;&gt;'!P16+'Inc_Stm_New_Stores---&gt;&gt;'!P42</f>
        <v>201600.05025314679</v>
      </c>
      <c r="Q16" s="201">
        <f ca="1">'Existing Stores--&gt;&gt;'!Q16+'Inc_Stm_New_Stores---&gt;&gt;'!Q42</f>
        <v>222439.60357304761</v>
      </c>
      <c r="R16" s="201">
        <f ca="1">'Existing Stores--&gt;&gt;'!R16+'Inc_Stm_New_Stores---&gt;&gt;'!R42</f>
        <v>233743.54434782075</v>
      </c>
      <c r="S16" s="201">
        <f ca="1">'Existing Stores--&gt;&gt;'!S16+'Inc_Stm_New_Stores---&gt;&gt;'!S42</f>
        <v>245132.19125907798</v>
      </c>
      <c r="T16" s="201">
        <f ca="1">'Existing Stores--&gt;&gt;'!T16+'Inc_Stm_New_Stores---&gt;&gt;'!T42</f>
        <v>266298.01539761981</v>
      </c>
      <c r="U16" s="201">
        <f ca="1">'Existing Stores--&gt;&gt;'!U16+'Inc_Stm_New_Stores---&gt;&gt;'!U42</f>
        <v>287622.51210173097</v>
      </c>
      <c r="V16" s="201">
        <f ca="1">'Existing Stores--&gt;&gt;'!V16+'Inc_Stm_New_Stores---&gt;&gt;'!V42</f>
        <v>299415.03794426617</v>
      </c>
      <c r="W16" s="201">
        <f ca="1">'Existing Stores--&gt;&gt;'!W16+'Inc_Stm_New_Stores---&gt;&gt;'!W42</f>
        <v>311295.93899714045</v>
      </c>
      <c r="X16" s="201">
        <f ca="1">'Existing Stores--&gt;&gt;'!X16+'Inc_Stm_New_Stores---&gt;&gt;'!X42</f>
        <v>332957.71394780662</v>
      </c>
      <c r="Y16" s="201">
        <f ca="1">'Existing Stores--&gt;&gt;'!Y16+'Inc_Stm_New_Stores---&gt;&gt;'!Y42</f>
        <v>354781.88593910797</v>
      </c>
      <c r="Z16" s="201">
        <f ca="1">'Existing Stores--&gt;&gt;'!Z16+'Inc_Stm_New_Stores---&gt;&gt;'!Z42</f>
        <v>367077.8395579338</v>
      </c>
    </row>
    <row r="17" spans="2:26" x14ac:dyDescent="0.2">
      <c r="B17" s="1" t="s">
        <v>0</v>
      </c>
      <c r="C17" s="201"/>
      <c r="D17" s="233"/>
      <c r="E17" s="208"/>
      <c r="G17" s="201">
        <f>'Existing Stores--&gt;&gt;'!G17+'Inc_Stm_New_Stores---&gt;&gt;'!G43</f>
        <v>34500</v>
      </c>
      <c r="H17" s="201">
        <f ca="1">'Existing Stores--&gt;&gt;'!H17+'Inc_Stm_New_Stores---&gt;&gt;'!H43</f>
        <v>46000</v>
      </c>
      <c r="I17" s="201">
        <f ca="1">'Existing Stores--&gt;&gt;'!I17+'Inc_Stm_New_Stores---&gt;&gt;'!I43</f>
        <v>57500</v>
      </c>
      <c r="J17" s="201">
        <f ca="1">'Existing Stores--&gt;&gt;'!J17+'Inc_Stm_New_Stores---&gt;&gt;'!J43</f>
        <v>63250</v>
      </c>
      <c r="K17" s="201">
        <f ca="1">'Existing Stores--&gt;&gt;'!K17+'Inc_Stm_New_Stores---&gt;&gt;'!K43</f>
        <v>69000</v>
      </c>
      <c r="L17" s="201">
        <f ca="1">'Existing Stores--&gt;&gt;'!L17+'Inc_Stm_New_Stores---&gt;&gt;'!L43</f>
        <v>80500</v>
      </c>
      <c r="M17" s="201">
        <f ca="1">'Existing Stores--&gt;&gt;'!M17+'Inc_Stm_New_Stores---&gt;&gt;'!M43</f>
        <v>92000</v>
      </c>
      <c r="N17" s="201">
        <f ca="1">'Existing Stores--&gt;&gt;'!N17+'Inc_Stm_New_Stores---&gt;&gt;'!N43</f>
        <v>97750</v>
      </c>
      <c r="O17" s="201">
        <f ca="1">'Existing Stores--&gt;&gt;'!O17+'Inc_Stm_New_Stores---&gt;&gt;'!O43</f>
        <v>103500</v>
      </c>
      <c r="P17" s="201">
        <f ca="1">'Existing Stores--&gt;&gt;'!P17+'Inc_Stm_New_Stores---&gt;&gt;'!P43</f>
        <v>115000</v>
      </c>
      <c r="Q17" s="201">
        <f ca="1">'Existing Stores--&gt;&gt;'!Q17+'Inc_Stm_New_Stores---&gt;&gt;'!Q43</f>
        <v>126500</v>
      </c>
      <c r="R17" s="201">
        <f ca="1">'Existing Stores--&gt;&gt;'!R17+'Inc_Stm_New_Stores---&gt;&gt;'!R43</f>
        <v>132250</v>
      </c>
      <c r="S17" s="201">
        <f ca="1">'Existing Stores--&gt;&gt;'!S17+'Inc_Stm_New_Stores---&gt;&gt;'!S43</f>
        <v>138000</v>
      </c>
      <c r="T17" s="201">
        <f ca="1">'Existing Stores--&gt;&gt;'!T17+'Inc_Stm_New_Stores---&gt;&gt;'!T43</f>
        <v>149500</v>
      </c>
      <c r="U17" s="201">
        <f ca="1">'Existing Stores--&gt;&gt;'!U17+'Inc_Stm_New_Stores---&gt;&gt;'!U43</f>
        <v>161000</v>
      </c>
      <c r="V17" s="201">
        <f ca="1">'Existing Stores--&gt;&gt;'!V17+'Inc_Stm_New_Stores---&gt;&gt;'!V43</f>
        <v>166750</v>
      </c>
      <c r="W17" s="201">
        <f ca="1">'Existing Stores--&gt;&gt;'!W17+'Inc_Stm_New_Stores---&gt;&gt;'!W43</f>
        <v>172500</v>
      </c>
      <c r="X17" s="201">
        <f ca="1">'Existing Stores--&gt;&gt;'!X17+'Inc_Stm_New_Stores---&gt;&gt;'!X43</f>
        <v>184000</v>
      </c>
      <c r="Y17" s="201">
        <f ca="1">'Existing Stores--&gt;&gt;'!Y17+'Inc_Stm_New_Stores---&gt;&gt;'!Y43</f>
        <v>195500</v>
      </c>
      <c r="Z17" s="201">
        <f ca="1">'Existing Stores--&gt;&gt;'!Z17+'Inc_Stm_New_Stores---&gt;&gt;'!Z43</f>
        <v>201250</v>
      </c>
    </row>
    <row r="18" spans="2:26" x14ac:dyDescent="0.2">
      <c r="B18" s="1" t="s">
        <v>2</v>
      </c>
      <c r="C18" s="201"/>
      <c r="D18" s="233"/>
      <c r="E18" s="208"/>
      <c r="G18" s="201">
        <f ca="1">'Existing Stores--&gt;&gt;'!G18+'Inc_Stm_New_Stores---&gt;&gt;'!G44</f>
        <v>16976.014689374999</v>
      </c>
      <c r="H18" s="201">
        <f ca="1">'Existing Stores--&gt;&gt;'!H18+'Inc_Stm_New_Stores---&gt;&gt;'!H44</f>
        <v>22751.206292445466</v>
      </c>
      <c r="I18" s="201">
        <f ca="1">'Existing Stores--&gt;&gt;'!I18+'Inc_Stm_New_Stores---&gt;&gt;'!I44</f>
        <v>28569.687337020103</v>
      </c>
      <c r="J18" s="201">
        <f ca="1">'Existing Stores--&gt;&gt;'!J18+'Inc_Stm_New_Stores---&gt;&gt;'!J44</f>
        <v>31599.753168565767</v>
      </c>
      <c r="K18" s="201">
        <f ca="1">'Existing Stores--&gt;&gt;'!K18+'Inc_Stm_New_Stores---&gt;&gt;'!K44</f>
        <v>34652.520565149389</v>
      </c>
      <c r="L18" s="201">
        <f ca="1">'Existing Stores--&gt;&gt;'!L18+'Inc_Stm_New_Stores---&gt;&gt;'!L44</f>
        <v>40560.189685742625</v>
      </c>
      <c r="M18" s="201">
        <f ca="1">'Existing Stores--&gt;&gt;'!M18+'Inc_Stm_New_Stores---&gt;&gt;'!M44</f>
        <v>46512.142983139427</v>
      </c>
      <c r="N18" s="201">
        <f ca="1">'Existing Stores--&gt;&gt;'!N18+'Inc_Stm_New_Stores---&gt;&gt;'!N44</f>
        <v>49676.683283721162</v>
      </c>
      <c r="O18" s="201">
        <f ca="1">'Existing Stores--&gt;&gt;'!O18+'Inc_Stm_New_Stores---&gt;&gt;'!O44</f>
        <v>52864.93490282062</v>
      </c>
      <c r="P18" s="201">
        <f ca="1">'Existing Stores--&gt;&gt;'!P18+'Inc_Stm_New_Stores---&gt;&gt;'!P44</f>
        <v>58909.105593451968</v>
      </c>
      <c r="Q18" s="201">
        <f ca="1">'Existing Stores--&gt;&gt;'!Q18+'Inc_Stm_New_Stores---&gt;&gt;'!Q44</f>
        <v>64998.585459656773</v>
      </c>
      <c r="R18" s="201">
        <f ca="1">'Existing Stores--&gt;&gt;'!R18+'Inc_Stm_New_Stores---&gt;&gt;'!R44</f>
        <v>68301.685036700874</v>
      </c>
      <c r="S18" s="201">
        <f ca="1">'Existing Stores--&gt;&gt;'!S18+'Inc_Stm_New_Stores---&gt;&gt;'!S44</f>
        <v>71629.536406873434</v>
      </c>
      <c r="T18" s="201">
        <f ca="1">'Existing Stores--&gt;&gt;'!T18+'Inc_Stm_New_Stores---&gt;&gt;'!T44</f>
        <v>77814.35514865513</v>
      </c>
      <c r="U18" s="201">
        <f ca="1">'Existing Stores--&gt;&gt;'!U18+'Inc_Stm_New_Stores---&gt;&gt;'!U44</f>
        <v>84045.539250505797</v>
      </c>
      <c r="V18" s="201">
        <f ca="1">'Existing Stores--&gt;&gt;'!V18+'Inc_Stm_New_Stores---&gt;&gt;'!V44</f>
        <v>87491.40719150634</v>
      </c>
      <c r="W18" s="201">
        <f ca="1">'Existing Stores--&gt;&gt;'!W18+'Inc_Stm_New_Stores---&gt;&gt;'!W44</f>
        <v>90963.09905760597</v>
      </c>
      <c r="X18" s="201">
        <f ca="1">'Existing Stores--&gt;&gt;'!X18+'Inc_Stm_New_Stores---&gt;&gt;'!X44</f>
        <v>97292.838491242161</v>
      </c>
      <c r="Y18" s="201">
        <f ca="1">'Existing Stores--&gt;&gt;'!Y18+'Inc_Stm_New_Stores---&gt;&gt;'!Y44</f>
        <v>103670.0316055835</v>
      </c>
      <c r="Z18" s="201">
        <f ca="1">'Existing Stores--&gt;&gt;'!Z18+'Inc_Stm_New_Stores---&gt;&gt;'!Z44</f>
        <v>107263.00506562999</v>
      </c>
    </row>
    <row r="19" spans="2:26" x14ac:dyDescent="0.2">
      <c r="B19" s="1" t="s">
        <v>3</v>
      </c>
      <c r="C19" s="201"/>
      <c r="D19" s="233"/>
      <c r="E19" s="208"/>
      <c r="G19" s="201">
        <f ca="1">'Existing Stores--&gt;&gt;'!G19+'Inc_Stm_New_Stores---&gt;&gt;'!G45</f>
        <v>16976.014689374999</v>
      </c>
      <c r="H19" s="201">
        <f ca="1">'Existing Stores--&gt;&gt;'!H19+'Inc_Stm_New_Stores---&gt;&gt;'!H45</f>
        <v>22751.206292445466</v>
      </c>
      <c r="I19" s="201">
        <f ca="1">'Existing Stores--&gt;&gt;'!I19+'Inc_Stm_New_Stores---&gt;&gt;'!I45</f>
        <v>28569.687337020103</v>
      </c>
      <c r="J19" s="201">
        <f ca="1">'Existing Stores--&gt;&gt;'!J19+'Inc_Stm_New_Stores---&gt;&gt;'!J45</f>
        <v>31599.753168565767</v>
      </c>
      <c r="K19" s="201">
        <f ca="1">'Existing Stores--&gt;&gt;'!K19+'Inc_Stm_New_Stores---&gt;&gt;'!K45</f>
        <v>34652.520565149389</v>
      </c>
      <c r="L19" s="201">
        <f ca="1">'Existing Stores--&gt;&gt;'!L19+'Inc_Stm_New_Stores---&gt;&gt;'!L45</f>
        <v>40560.189685742625</v>
      </c>
      <c r="M19" s="201">
        <f ca="1">'Existing Stores--&gt;&gt;'!M19+'Inc_Stm_New_Stores---&gt;&gt;'!M45</f>
        <v>46512.142983139427</v>
      </c>
      <c r="N19" s="201">
        <f ca="1">'Existing Stores--&gt;&gt;'!N19+'Inc_Stm_New_Stores---&gt;&gt;'!N45</f>
        <v>49676.683283721162</v>
      </c>
      <c r="O19" s="201">
        <f ca="1">'Existing Stores--&gt;&gt;'!O19+'Inc_Stm_New_Stores---&gt;&gt;'!O45</f>
        <v>52864.93490282062</v>
      </c>
      <c r="P19" s="201">
        <f ca="1">'Existing Stores--&gt;&gt;'!P19+'Inc_Stm_New_Stores---&gt;&gt;'!P45</f>
        <v>58909.105593451968</v>
      </c>
      <c r="Q19" s="201">
        <f ca="1">'Existing Stores--&gt;&gt;'!Q19+'Inc_Stm_New_Stores---&gt;&gt;'!Q45</f>
        <v>64998.585459656773</v>
      </c>
      <c r="R19" s="201">
        <f ca="1">'Existing Stores--&gt;&gt;'!R19+'Inc_Stm_New_Stores---&gt;&gt;'!R45</f>
        <v>68301.685036700874</v>
      </c>
      <c r="S19" s="201">
        <f ca="1">'Existing Stores--&gt;&gt;'!S19+'Inc_Stm_New_Stores---&gt;&gt;'!S45</f>
        <v>71629.536406873434</v>
      </c>
      <c r="T19" s="201">
        <f ca="1">'Existing Stores--&gt;&gt;'!T19+'Inc_Stm_New_Stores---&gt;&gt;'!T45</f>
        <v>77814.35514865513</v>
      </c>
      <c r="U19" s="201">
        <f ca="1">'Existing Stores--&gt;&gt;'!U19+'Inc_Stm_New_Stores---&gt;&gt;'!U45</f>
        <v>84045.539250505797</v>
      </c>
      <c r="V19" s="201">
        <f ca="1">'Existing Stores--&gt;&gt;'!V19+'Inc_Stm_New_Stores---&gt;&gt;'!V45</f>
        <v>87491.40719150634</v>
      </c>
      <c r="W19" s="201">
        <f ca="1">'Existing Stores--&gt;&gt;'!W19+'Inc_Stm_New_Stores---&gt;&gt;'!W45</f>
        <v>90963.09905760597</v>
      </c>
      <c r="X19" s="201">
        <f ca="1">'Existing Stores--&gt;&gt;'!X19+'Inc_Stm_New_Stores---&gt;&gt;'!X45</f>
        <v>97292.838491242161</v>
      </c>
      <c r="Y19" s="201">
        <f ca="1">'Existing Stores--&gt;&gt;'!Y19+'Inc_Stm_New_Stores---&gt;&gt;'!Y45</f>
        <v>103670.0316055835</v>
      </c>
      <c r="Z19" s="201">
        <f ca="1">'Existing Stores--&gt;&gt;'!Z19+'Inc_Stm_New_Stores---&gt;&gt;'!Z45</f>
        <v>107263.00506562999</v>
      </c>
    </row>
    <row r="20" spans="2:26" x14ac:dyDescent="0.2">
      <c r="B20" s="1" t="s">
        <v>16</v>
      </c>
      <c r="C20" s="201"/>
      <c r="D20" s="233"/>
      <c r="E20" s="208"/>
      <c r="G20" s="201">
        <f ca="1">'Existing Stores--&gt;&gt;'!G20+'Inc_Stm_New_Stores---&gt;&gt;'!G46</f>
        <v>16976.014689374999</v>
      </c>
      <c r="H20" s="201">
        <f ca="1">'Existing Stores--&gt;&gt;'!H20+'Inc_Stm_New_Stores---&gt;&gt;'!H46</f>
        <v>22751.206292445466</v>
      </c>
      <c r="I20" s="201">
        <f ca="1">'Existing Stores--&gt;&gt;'!I20+'Inc_Stm_New_Stores---&gt;&gt;'!I46</f>
        <v>28569.687337020103</v>
      </c>
      <c r="J20" s="201">
        <f ca="1">'Existing Stores--&gt;&gt;'!J20+'Inc_Stm_New_Stores---&gt;&gt;'!J46</f>
        <v>31599.753168565767</v>
      </c>
      <c r="K20" s="201">
        <f ca="1">'Existing Stores--&gt;&gt;'!K20+'Inc_Stm_New_Stores---&gt;&gt;'!K46</f>
        <v>34652.520565149389</v>
      </c>
      <c r="L20" s="201">
        <f ca="1">'Existing Stores--&gt;&gt;'!L20+'Inc_Stm_New_Stores---&gt;&gt;'!L46</f>
        <v>40560.189685742625</v>
      </c>
      <c r="M20" s="201">
        <f ca="1">'Existing Stores--&gt;&gt;'!M20+'Inc_Stm_New_Stores---&gt;&gt;'!M46</f>
        <v>46512.142983139427</v>
      </c>
      <c r="N20" s="201">
        <f ca="1">'Existing Stores--&gt;&gt;'!N20+'Inc_Stm_New_Stores---&gt;&gt;'!N46</f>
        <v>49676.683283721162</v>
      </c>
      <c r="O20" s="201">
        <f ca="1">'Existing Stores--&gt;&gt;'!O20+'Inc_Stm_New_Stores---&gt;&gt;'!O46</f>
        <v>52864.93490282062</v>
      </c>
      <c r="P20" s="201">
        <f ca="1">'Existing Stores--&gt;&gt;'!P20+'Inc_Stm_New_Stores---&gt;&gt;'!P46</f>
        <v>58909.105593451968</v>
      </c>
      <c r="Q20" s="201">
        <f ca="1">'Existing Stores--&gt;&gt;'!Q20+'Inc_Stm_New_Stores---&gt;&gt;'!Q46</f>
        <v>64998.585459656773</v>
      </c>
      <c r="R20" s="201">
        <f ca="1">'Existing Stores--&gt;&gt;'!R20+'Inc_Stm_New_Stores---&gt;&gt;'!R46</f>
        <v>68301.685036700874</v>
      </c>
      <c r="S20" s="201">
        <f ca="1">'Existing Stores--&gt;&gt;'!S20+'Inc_Stm_New_Stores---&gt;&gt;'!S46</f>
        <v>71629.536406873434</v>
      </c>
      <c r="T20" s="201">
        <f ca="1">'Existing Stores--&gt;&gt;'!T20+'Inc_Stm_New_Stores---&gt;&gt;'!T46</f>
        <v>77814.35514865513</v>
      </c>
      <c r="U20" s="201">
        <f ca="1">'Existing Stores--&gt;&gt;'!U20+'Inc_Stm_New_Stores---&gt;&gt;'!U46</f>
        <v>84045.539250505797</v>
      </c>
      <c r="V20" s="201">
        <f ca="1">'Existing Stores--&gt;&gt;'!V20+'Inc_Stm_New_Stores---&gt;&gt;'!V46</f>
        <v>87491.40719150634</v>
      </c>
      <c r="W20" s="201">
        <f ca="1">'Existing Stores--&gt;&gt;'!W20+'Inc_Stm_New_Stores---&gt;&gt;'!W46</f>
        <v>90963.09905760597</v>
      </c>
      <c r="X20" s="201">
        <f ca="1">'Existing Stores--&gt;&gt;'!X20+'Inc_Stm_New_Stores---&gt;&gt;'!X46</f>
        <v>97292.838491242161</v>
      </c>
      <c r="Y20" s="201">
        <f ca="1">'Existing Stores--&gt;&gt;'!Y20+'Inc_Stm_New_Stores---&gt;&gt;'!Y46</f>
        <v>103670.0316055835</v>
      </c>
      <c r="Z20" s="201">
        <f ca="1">'Existing Stores--&gt;&gt;'!Z20+'Inc_Stm_New_Stores---&gt;&gt;'!Z46</f>
        <v>107263.00506562999</v>
      </c>
    </row>
    <row r="21" spans="2:26" x14ac:dyDescent="0.2">
      <c r="B21" s="1" t="s">
        <v>4</v>
      </c>
      <c r="C21" s="201"/>
      <c r="D21" s="233"/>
      <c r="E21" s="208"/>
      <c r="G21" s="201">
        <f ca="1">'Existing Stores--&gt;&gt;'!G21+'Inc_Stm_New_Stores---&gt;&gt;'!G47</f>
        <v>33952.029378749998</v>
      </c>
      <c r="H21" s="201">
        <f ca="1">'Existing Stores--&gt;&gt;'!H21+'Inc_Stm_New_Stores---&gt;&gt;'!H47</f>
        <v>45502.412584890932</v>
      </c>
      <c r="I21" s="201">
        <f ca="1">'Existing Stores--&gt;&gt;'!I21+'Inc_Stm_New_Stores---&gt;&gt;'!I47</f>
        <v>57139.374674040206</v>
      </c>
      <c r="J21" s="201">
        <f ca="1">'Existing Stores--&gt;&gt;'!J21+'Inc_Stm_New_Stores---&gt;&gt;'!J47</f>
        <v>63199.506337131534</v>
      </c>
      <c r="K21" s="201">
        <f ca="1">'Existing Stores--&gt;&gt;'!K21+'Inc_Stm_New_Stores---&gt;&gt;'!K47</f>
        <v>69305.041130298778</v>
      </c>
      <c r="L21" s="201">
        <f ca="1">'Existing Stores--&gt;&gt;'!L21+'Inc_Stm_New_Stores---&gt;&gt;'!L47</f>
        <v>81120.379371485251</v>
      </c>
      <c r="M21" s="201">
        <f ca="1">'Existing Stores--&gt;&gt;'!M21+'Inc_Stm_New_Stores---&gt;&gt;'!M47</f>
        <v>93024.285966278854</v>
      </c>
      <c r="N21" s="201">
        <f ca="1">'Existing Stores--&gt;&gt;'!N21+'Inc_Stm_New_Stores---&gt;&gt;'!N47</f>
        <v>99353.366567442325</v>
      </c>
      <c r="O21" s="201">
        <f ca="1">'Existing Stores--&gt;&gt;'!O21+'Inc_Stm_New_Stores---&gt;&gt;'!O47</f>
        <v>105729.86980564124</v>
      </c>
      <c r="P21" s="201">
        <f ca="1">'Existing Stores--&gt;&gt;'!P21+'Inc_Stm_New_Stores---&gt;&gt;'!P47</f>
        <v>117818.21118690394</v>
      </c>
      <c r="Q21" s="201">
        <f ca="1">'Existing Stores--&gt;&gt;'!Q21+'Inc_Stm_New_Stores---&gt;&gt;'!Q47</f>
        <v>129997.17091931355</v>
      </c>
      <c r="R21" s="201">
        <f ca="1">'Existing Stores--&gt;&gt;'!R21+'Inc_Stm_New_Stores---&gt;&gt;'!R47</f>
        <v>136603.37007340175</v>
      </c>
      <c r="S21" s="201">
        <f ca="1">'Existing Stores--&gt;&gt;'!S21+'Inc_Stm_New_Stores---&gt;&gt;'!S47</f>
        <v>143259.07281374687</v>
      </c>
      <c r="T21" s="201">
        <f ca="1">'Existing Stores--&gt;&gt;'!T21+'Inc_Stm_New_Stores---&gt;&gt;'!T47</f>
        <v>155628.71029731026</v>
      </c>
      <c r="U21" s="201">
        <f ca="1">'Existing Stores--&gt;&gt;'!U21+'Inc_Stm_New_Stores---&gt;&gt;'!U47</f>
        <v>168091.07850101159</v>
      </c>
      <c r="V21" s="201">
        <f ca="1">'Existing Stores--&gt;&gt;'!V21+'Inc_Stm_New_Stores---&gt;&gt;'!V47</f>
        <v>174982.81438301268</v>
      </c>
      <c r="W21" s="201">
        <f ca="1">'Existing Stores--&gt;&gt;'!W21+'Inc_Stm_New_Stores---&gt;&gt;'!W47</f>
        <v>181926.19811521194</v>
      </c>
      <c r="X21" s="201">
        <f ca="1">'Existing Stores--&gt;&gt;'!X21+'Inc_Stm_New_Stores---&gt;&gt;'!X47</f>
        <v>194585.67698248432</v>
      </c>
      <c r="Y21" s="201">
        <f ca="1">'Existing Stores--&gt;&gt;'!Y21+'Inc_Stm_New_Stores---&gt;&gt;'!Y47</f>
        <v>207340.063211167</v>
      </c>
      <c r="Z21" s="201">
        <f ca="1">'Existing Stores--&gt;&gt;'!Z21+'Inc_Stm_New_Stores---&gt;&gt;'!Z47</f>
        <v>214526.01013125997</v>
      </c>
    </row>
    <row r="22" spans="2:26" x14ac:dyDescent="0.2">
      <c r="B22" s="67" t="s">
        <v>200</v>
      </c>
      <c r="C22" s="236"/>
      <c r="D22" s="237"/>
      <c r="E22" s="208"/>
      <c r="G22" s="201">
        <f ca="1">'Existing Stores--&gt;&gt;'!G22+'Inc_Stm_New_Stores---&gt;&gt;'!G48</f>
        <v>177475.76816162496</v>
      </c>
      <c r="H22" s="201">
        <f ca="1">'Existing Stores--&gt;&gt;'!H22+'Inc_Stm_New_Stores---&gt;&gt;'!H48</f>
        <v>237615.71521859625</v>
      </c>
      <c r="I22" s="201">
        <f ca="1">'Existing Stores--&gt;&gt;'!I22+'Inc_Stm_New_Stores---&gt;&gt;'!I48</f>
        <v>298120.25557179155</v>
      </c>
      <c r="J22" s="201">
        <f ca="1">'Existing Stores--&gt;&gt;'!J22+'Inc_Stm_New_Stores---&gt;&gt;'!J48</f>
        <v>329390.14335303172</v>
      </c>
      <c r="K22" s="201">
        <f ca="1">'Existing Stores--&gt;&gt;'!K22+'Inc_Stm_New_Stores---&gt;&gt;'!K48</f>
        <v>360851.2287598137</v>
      </c>
      <c r="L22" s="201">
        <f ca="1">'Existing Stores--&gt;&gt;'!L22+'Inc_Stm_New_Stores---&gt;&gt;'!L48</f>
        <v>422106.93090881011</v>
      </c>
      <c r="M22" s="201">
        <f ca="1">'Existing Stores--&gt;&gt;'!M22+'Inc_Stm_New_Stores---&gt;&gt;'!M48</f>
        <v>483735.60423577431</v>
      </c>
      <c r="N22" s="201">
        <f ca="1">'Existing Stores--&gt;&gt;'!N22+'Inc_Stm_New_Stores---&gt;&gt;'!N48</f>
        <v>516138.06587845157</v>
      </c>
      <c r="O22" s="201">
        <f ca="1">'Existing Stores--&gt;&gt;'!O22+'Inc_Stm_New_Stores---&gt;&gt;'!O48</f>
        <v>548740.22951486707</v>
      </c>
      <c r="P22" s="201">
        <f ca="1">'Existing Stores--&gt;&gt;'!P22+'Inc_Stm_New_Stores---&gt;&gt;'!P48</f>
        <v>611145.57822040655</v>
      </c>
      <c r="Q22" s="201">
        <f ca="1">'Existing Stores--&gt;&gt;'!Q22+'Inc_Stm_New_Stores---&gt;&gt;'!Q48</f>
        <v>673932.53087133146</v>
      </c>
      <c r="R22" s="201">
        <f ca="1">'Existing Stores--&gt;&gt;'!R22+'Inc_Stm_New_Stores---&gt;&gt;'!R48</f>
        <v>707501.96953132516</v>
      </c>
      <c r="S22" s="201">
        <f ca="1">'Existing Stores--&gt;&gt;'!S22+'Inc_Stm_New_Stores---&gt;&gt;'!S48</f>
        <v>741279.87329344521</v>
      </c>
      <c r="T22" s="201">
        <f ca="1">'Existing Stores--&gt;&gt;'!T22+'Inc_Stm_New_Stores---&gt;&gt;'!T48</f>
        <v>804869.79114089534</v>
      </c>
      <c r="U22" s="201">
        <f ca="1">'Existing Stores--&gt;&gt;'!U22+'Inc_Stm_New_Stores---&gt;&gt;'!U48</f>
        <v>868850.20835425996</v>
      </c>
      <c r="V22" s="201">
        <f ca="1">'Existing Stores--&gt;&gt;'!V22+'Inc_Stm_New_Stores---&gt;&gt;'!V48</f>
        <v>903622.07390179788</v>
      </c>
      <c r="W22" s="201">
        <f ca="1">'Existing Stores--&gt;&gt;'!W22+'Inc_Stm_New_Stores---&gt;&gt;'!W48</f>
        <v>938611.43428517028</v>
      </c>
      <c r="X22" s="201">
        <f ca="1">'Existing Stores--&gt;&gt;'!X22+'Inc_Stm_New_Stores---&gt;&gt;'!X48</f>
        <v>1003421.9064040174</v>
      </c>
      <c r="Y22" s="201">
        <f ca="1">'Existing Stores--&gt;&gt;'!Y22+'Inc_Stm_New_Stores---&gt;&gt;'!Y48</f>
        <v>1068632.0439670254</v>
      </c>
      <c r="Z22" s="201">
        <f ca="1">'Existing Stores--&gt;&gt;'!Z22+'Inc_Stm_New_Stores---&gt;&gt;'!Z48</f>
        <v>1104642.8648860836</v>
      </c>
    </row>
    <row r="23" spans="2:26" x14ac:dyDescent="0.2">
      <c r="B23" s="67" t="s">
        <v>201</v>
      </c>
      <c r="C23" s="236"/>
      <c r="D23" s="237"/>
      <c r="E23" s="208"/>
      <c r="G23" s="211">
        <f ca="1">'Existing Stores--&gt;&gt;'!G23+'Inc_Stm_New_Stores---&gt;&gt;'!G49</f>
        <v>931965.30991162499</v>
      </c>
      <c r="H23" s="211">
        <f ca="1">'Existing Stores--&gt;&gt;'!H23+'Inc_Stm_New_Stores---&gt;&gt;'!H49</f>
        <v>1248780.4393272838</v>
      </c>
      <c r="I23" s="211">
        <f ca="1">'Existing Stores--&gt;&gt;'!I23+'Inc_Stm_New_Stores---&gt;&gt;'!I49</f>
        <v>1567884.13721713</v>
      </c>
      <c r="J23" s="211">
        <f ca="1">'Existing Stores--&gt;&gt;'!J23+'Inc_Stm_New_Stores---&gt;&gt;'!J49</f>
        <v>1733823.6175115108</v>
      </c>
      <c r="K23" s="211">
        <f ca="1">'Existing Stores--&gt;&gt;'!K23+'Inc_Stm_New_Stores---&gt;&gt;'!K49</f>
        <v>1900963.2538775648</v>
      </c>
      <c r="L23" s="211">
        <f ca="1">'Existing Stores--&gt;&gt;'!L23+'Inc_Stm_New_Stores---&gt;&gt;'!L49</f>
        <v>2224782.0280529275</v>
      </c>
      <c r="M23" s="211">
        <f ca="1">'Existing Stores--&gt;&gt;'!M23+'Inc_Stm_New_Stores---&gt;&gt;'!M49</f>
        <v>2550941.9590419712</v>
      </c>
      <c r="N23" s="211">
        <f ca="1">'Existing Stores--&gt;&gt;'!N23+'Inc_Stm_New_Stores---&gt;&gt;'!N49</f>
        <v>2723990.6562660593</v>
      </c>
      <c r="O23" s="211">
        <f ca="1">'Existing Stores--&gt;&gt;'!O23+'Inc_Stm_New_Stores---&gt;&gt;'!O49</f>
        <v>2898292.8918624506</v>
      </c>
      <c r="P23" s="211">
        <f ca="1">'Existing Stores--&gt;&gt;'!P23+'Inc_Stm_New_Stores---&gt;&gt;'!P49</f>
        <v>3229328.049040495</v>
      </c>
      <c r="Q23" s="211">
        <f ca="1">'Existing Stores--&gt;&gt;'!Q23+'Inc_Stm_New_Stores---&gt;&gt;'!Q49</f>
        <v>3562758.551300521</v>
      </c>
      <c r="R23" s="211">
        <f ca="1">'Existing Stores--&gt;&gt;'!R23+'Inc_Stm_New_Stores---&gt;&gt;'!R49</f>
        <v>3743132.4156069197</v>
      </c>
      <c r="S23" s="211">
        <f ca="1">'Existing Stores--&gt;&gt;'!S23+'Inc_Stm_New_Stores---&gt;&gt;'!S49</f>
        <v>3924814.8247100422</v>
      </c>
      <c r="T23" s="211">
        <f ca="1">'Existing Stores--&gt;&gt;'!T23+'Inc_Stm_New_Stores---&gt;&gt;'!T49</f>
        <v>4263285.5755255679</v>
      </c>
      <c r="U23" s="211">
        <f ca="1">'Existing Stores--&gt;&gt;'!U23+'Inc_Stm_New_Stores---&gt;&gt;'!U49</f>
        <v>4604207.5083767399</v>
      </c>
      <c r="V23" s="211">
        <f ca="1">'Existing Stores--&gt;&gt;'!V23+'Inc_Stm_New_Stores---&gt;&gt;'!V49</f>
        <v>4792129.0601909691</v>
      </c>
      <c r="W23" s="211">
        <f ca="1">'Existing Stores--&gt;&gt;'!W23+'Inc_Stm_New_Stores---&gt;&gt;'!W49</f>
        <v>4981415.8368454352</v>
      </c>
      <c r="X23" s="211">
        <f ca="1">'Existing Stores--&gt;&gt;'!X23+'Inc_Stm_New_Stores---&gt;&gt;'!X49</f>
        <v>5327548.0615703361</v>
      </c>
      <c r="Y23" s="211">
        <f ca="1">'Existing Stores--&gt;&gt;'!Y23+'Inc_Stm_New_Stores---&gt;&gt;'!Y49</f>
        <v>5676189.0042151818</v>
      </c>
      <c r="Z23" s="211">
        <f ca="1">'Existing Stores--&gt;&gt;'!Z23+'Inc_Stm_New_Stores---&gt;&gt;'!Z49</f>
        <v>5871887.5344696399</v>
      </c>
    </row>
    <row r="24" spans="2:26" x14ac:dyDescent="0.2">
      <c r="C24" s="234"/>
      <c r="D24" s="233"/>
      <c r="E24" s="208"/>
      <c r="G24" s="209">
        <f>'Existing Stores--&gt;&gt;'!G24+'Inc_Stm_New_Stores---&gt;&gt;'!G50</f>
        <v>0</v>
      </c>
      <c r="H24" s="209">
        <f>'Existing Stores--&gt;&gt;'!H24+'Inc_Stm_New_Stores---&gt;&gt;'!H50</f>
        <v>0</v>
      </c>
      <c r="I24" s="209">
        <f>'Existing Stores--&gt;&gt;'!I24+'Inc_Stm_New_Stores---&gt;&gt;'!I50</f>
        <v>0</v>
      </c>
      <c r="J24" s="209">
        <f>'Existing Stores--&gt;&gt;'!J24+'Inc_Stm_New_Stores---&gt;&gt;'!J50</f>
        <v>0</v>
      </c>
      <c r="K24" s="209">
        <f>'Existing Stores--&gt;&gt;'!K24+'Inc_Stm_New_Stores---&gt;&gt;'!K50</f>
        <v>0</v>
      </c>
      <c r="L24" s="209">
        <f>'Existing Stores--&gt;&gt;'!L24+'Inc_Stm_New_Stores---&gt;&gt;'!L50</f>
        <v>0</v>
      </c>
      <c r="M24" s="209">
        <f>'Existing Stores--&gt;&gt;'!M24+'Inc_Stm_New_Stores---&gt;&gt;'!M50</f>
        <v>0</v>
      </c>
      <c r="N24" s="209">
        <f>'Existing Stores--&gt;&gt;'!N24+'Inc_Stm_New_Stores---&gt;&gt;'!N50</f>
        <v>0</v>
      </c>
      <c r="O24" s="209">
        <f>'Existing Stores--&gt;&gt;'!O24+'Inc_Stm_New_Stores---&gt;&gt;'!O50</f>
        <v>0</v>
      </c>
      <c r="P24" s="209">
        <f>'Existing Stores--&gt;&gt;'!P24+'Inc_Stm_New_Stores---&gt;&gt;'!P50</f>
        <v>0</v>
      </c>
      <c r="Q24" s="209">
        <f>'Existing Stores--&gt;&gt;'!Q24+'Inc_Stm_New_Stores---&gt;&gt;'!Q50</f>
        <v>0</v>
      </c>
      <c r="R24" s="209">
        <f>'Existing Stores--&gt;&gt;'!R24+'Inc_Stm_New_Stores---&gt;&gt;'!R50</f>
        <v>0</v>
      </c>
      <c r="S24" s="209">
        <f>'Existing Stores--&gt;&gt;'!S24+'Inc_Stm_New_Stores---&gt;&gt;'!S50</f>
        <v>0</v>
      </c>
      <c r="T24" s="209">
        <f>'Existing Stores--&gt;&gt;'!T24+'Inc_Stm_New_Stores---&gt;&gt;'!T50</f>
        <v>0</v>
      </c>
      <c r="U24" s="209">
        <f>'Existing Stores--&gt;&gt;'!U24+'Inc_Stm_New_Stores---&gt;&gt;'!U50</f>
        <v>0</v>
      </c>
      <c r="V24" s="209">
        <f>'Existing Stores--&gt;&gt;'!V24+'Inc_Stm_New_Stores---&gt;&gt;'!V50</f>
        <v>0</v>
      </c>
      <c r="W24" s="209">
        <f>'Existing Stores--&gt;&gt;'!W24+'Inc_Stm_New_Stores---&gt;&gt;'!W50</f>
        <v>0</v>
      </c>
      <c r="X24" s="209">
        <f>'Existing Stores--&gt;&gt;'!X24+'Inc_Stm_New_Stores---&gt;&gt;'!X50</f>
        <v>0</v>
      </c>
      <c r="Y24" s="209">
        <f>'Existing Stores--&gt;&gt;'!Y24+'Inc_Stm_New_Stores---&gt;&gt;'!Y50</f>
        <v>0</v>
      </c>
      <c r="Z24" s="209">
        <f>'Existing Stores--&gt;&gt;'!Z24+'Inc_Stm_New_Stores---&gt;&gt;'!Z50</f>
        <v>0</v>
      </c>
    </row>
    <row r="25" spans="2:26" x14ac:dyDescent="0.2">
      <c r="B25" s="1" t="s">
        <v>71</v>
      </c>
      <c r="C25" s="201"/>
      <c r="D25" s="233"/>
      <c r="E25" s="208"/>
      <c r="G25" s="201">
        <f ca="1">'Existing Stores--&gt;&gt;'!G25+'Inc_Stm_New_Stores---&gt;&gt;'!G51</f>
        <v>826897.13405000011</v>
      </c>
      <c r="H25" s="201">
        <f ca="1">'Existing Stores--&gt;&gt;'!H25+'Inc_Stm_New_Stores---&gt;&gt;'!H51</f>
        <v>1029603.2190029623</v>
      </c>
      <c r="I25" s="201">
        <f ca="1">'Existing Stores--&gt;&gt;'!I25+'Inc_Stm_New_Stores---&gt;&gt;'!I51</f>
        <v>1233828.4219781046</v>
      </c>
      <c r="J25" s="201">
        <f ca="1">'Existing Stores--&gt;&gt;'!J25+'Inc_Stm_New_Stores---&gt;&gt;'!J51</f>
        <v>1340829.005350135</v>
      </c>
      <c r="K25" s="201">
        <f ca="1">'Existing Stores--&gt;&gt;'!K25+'Inc_Stm_New_Stores---&gt;&gt;'!K51</f>
        <v>1448630.9537671709</v>
      </c>
      <c r="L25" s="201">
        <f ca="1">'Existing Stores--&gt;&gt;'!L25+'Inc_Stm_New_Stores---&gt;&gt;'!L51</f>
        <v>1655995.4470713255</v>
      </c>
      <c r="M25" s="201">
        <f ca="1">'Existing Stores--&gt;&gt;'!M25+'Inc_Stm_New_Stores---&gt;&gt;'!M51</f>
        <v>1864914.0742662395</v>
      </c>
      <c r="N25" s="201">
        <f ca="1">'Existing Stores--&gt;&gt;'!N25+'Inc_Stm_New_Stores---&gt;&gt;'!N51</f>
        <v>1976643.3615894038</v>
      </c>
      <c r="O25" s="201">
        <f ca="1">'Existing Stores--&gt;&gt;'!O25+'Inc_Stm_New_Stores---&gt;&gt;'!O51</f>
        <v>2089209.5595450671</v>
      </c>
      <c r="P25" s="201">
        <f ca="1">'Existing Stores--&gt;&gt;'!P25+'Inc_Stm_New_Stores---&gt;&gt;'!P51</f>
        <v>2301374.1158399265</v>
      </c>
      <c r="Q25" s="201">
        <f ca="1">'Existing Stores--&gt;&gt;'!Q25+'Inc_Stm_New_Stores---&gt;&gt;'!Q51</f>
        <v>2515128.8893658738</v>
      </c>
      <c r="R25" s="201">
        <f ca="1">'Existing Stores--&gt;&gt;'!R25+'Inc_Stm_New_Stores---&gt;&gt;'!R51</f>
        <v>2631730.6782876542</v>
      </c>
      <c r="S25" s="201">
        <f ca="1">'Existing Stores--&gt;&gt;'!S25+'Inc_Stm_New_Stores---&gt;&gt;'!S51</f>
        <v>2749206.0070912256</v>
      </c>
      <c r="T25" s="201">
        <f ca="1">'Existing Stores--&gt;&gt;'!T25+'Inc_Stm_New_Stores---&gt;&gt;'!T51</f>
        <v>2966316.5995350108</v>
      </c>
      <c r="U25" s="201">
        <f ca="1">'Existing Stores--&gt;&gt;'!U25+'Inc_Stm_New_Stores---&gt;&gt;'!U51</f>
        <v>3185054.5926483362</v>
      </c>
      <c r="V25" s="201">
        <f ca="1">'Existing Stores--&gt;&gt;'!V25+'Inc_Stm_New_Stores---&gt;&gt;'!V51</f>
        <v>3306677.0648348932</v>
      </c>
      <c r="W25" s="201">
        <f ca="1">'Existing Stores--&gt;&gt;'!W25+'Inc_Stm_New_Stores---&gt;&gt;'!W51</f>
        <v>3429210.8229370196</v>
      </c>
      <c r="X25" s="201">
        <f ca="1">'Existing Stores--&gt;&gt;'!X25+'Inc_Stm_New_Stores---&gt;&gt;'!X51</f>
        <v>3651417.8752030041</v>
      </c>
      <c r="Y25" s="201">
        <f ca="1">'Existing Stores--&gt;&gt;'!Y25+'Inc_Stm_New_Stores---&gt;&gt;'!Y51</f>
        <v>3875290.6453016917</v>
      </c>
      <c r="Z25" s="201">
        <f ca="1">'Existing Stores--&gt;&gt;'!Z25+'Inc_Stm_New_Stores---&gt;&gt;'!Z51</f>
        <v>4002086.5004422339</v>
      </c>
    </row>
    <row r="26" spans="2:26" x14ac:dyDescent="0.2">
      <c r="B26" s="1" t="s">
        <v>72</v>
      </c>
      <c r="C26" s="201"/>
      <c r="D26" s="233"/>
      <c r="E26" s="208"/>
      <c r="G26" s="201">
        <f ca="1">'Existing Stores--&gt;&gt;'!G26+'Inc_Stm_New_Stores---&gt;&gt;'!G52</f>
        <v>95411.207774999988</v>
      </c>
      <c r="H26" s="201">
        <f ca="1">'Existing Stores--&gt;&gt;'!H26+'Inc_Stm_New_Stores---&gt;&gt;'!H52</f>
        <v>118800.37142341874</v>
      </c>
      <c r="I26" s="201">
        <f ca="1">'Existing Stores--&gt;&gt;'!I26+'Inc_Stm_New_Stores---&gt;&gt;'!I52</f>
        <v>142364.81792055053</v>
      </c>
      <c r="J26" s="201">
        <f ca="1">'Existing Stores--&gt;&gt;'!J26+'Inc_Stm_New_Stores---&gt;&gt;'!J52</f>
        <v>154711.03907886171</v>
      </c>
      <c r="K26" s="201">
        <f ca="1">'Existing Stores--&gt;&gt;'!K26+'Inc_Stm_New_Stores---&gt;&gt;'!K52</f>
        <v>167149.72543467354</v>
      </c>
      <c r="L26" s="201">
        <f ca="1">'Existing Stores--&gt;&gt;'!L26+'Inc_Stm_New_Stores---&gt;&gt;'!L52</f>
        <v>191076.39773899911</v>
      </c>
      <c r="M26" s="201">
        <f ca="1">'Existing Stores--&gt;&gt;'!M26+'Inc_Stm_New_Stores---&gt;&gt;'!M52</f>
        <v>215182.39318456606</v>
      </c>
      <c r="N26" s="201">
        <f ca="1">'Existing Stores--&gt;&gt;'!N26+'Inc_Stm_New_Stores---&gt;&gt;'!N52</f>
        <v>228074.23402954655</v>
      </c>
      <c r="O26" s="201">
        <f ca="1">'Existing Stores--&gt;&gt;'!O26+'Inc_Stm_New_Stores---&gt;&gt;'!O52</f>
        <v>241062.6414859693</v>
      </c>
      <c r="P26" s="201">
        <f ca="1">'Existing Stores--&gt;&gt;'!P26+'Inc_Stm_New_Stores---&gt;&gt;'!P52</f>
        <v>265543.16721229919</v>
      </c>
      <c r="Q26" s="201">
        <f ca="1">'Existing Stores--&gt;&gt;'!Q26+'Inc_Stm_New_Stores---&gt;&gt;'!Q52</f>
        <v>290207.17954221618</v>
      </c>
      <c r="R26" s="201">
        <f ca="1">'Existing Stores--&gt;&gt;'!R26+'Inc_Stm_New_Stores---&gt;&gt;'!R52</f>
        <v>303661.23211011395</v>
      </c>
      <c r="S26" s="201">
        <f ca="1">'Existing Stores--&gt;&gt;'!S26+'Inc_Stm_New_Stores---&gt;&gt;'!S52</f>
        <v>317216.07774129522</v>
      </c>
      <c r="T26" s="201">
        <f ca="1">'Existing Stores--&gt;&gt;'!T26+'Inc_Stm_New_Stores---&gt;&gt;'!T52</f>
        <v>342267.29994634737</v>
      </c>
      <c r="U26" s="201">
        <f ca="1">'Existing Stores--&gt;&gt;'!U26+'Inc_Stm_New_Stores---&gt;&gt;'!U52</f>
        <v>367506.29915173107</v>
      </c>
      <c r="V26" s="201">
        <f ca="1">'Existing Stores--&gt;&gt;'!V26+'Inc_Stm_New_Stores---&gt;&gt;'!V52</f>
        <v>381539.66132710304</v>
      </c>
      <c r="W26" s="201">
        <f ca="1">'Existing Stores--&gt;&gt;'!W26+'Inc_Stm_New_Stores---&gt;&gt;'!W52</f>
        <v>395678.17187734833</v>
      </c>
      <c r="X26" s="201">
        <f ca="1">'Existing Stores--&gt;&gt;'!X26+'Inc_Stm_New_Stores---&gt;&gt;'!X52</f>
        <v>421317.4471388082</v>
      </c>
      <c r="Y26" s="201">
        <f ca="1">'Existing Stores--&gt;&gt;'!Y26+'Inc_Stm_New_Stores---&gt;&gt;'!Y52</f>
        <v>447148.92061173357</v>
      </c>
      <c r="Z26" s="201">
        <f ca="1">'Existing Stores--&gt;&gt;'!Z26+'Inc_Stm_New_Stores---&gt;&gt;'!Z52</f>
        <v>461779.21158948855</v>
      </c>
    </row>
    <row r="27" spans="2:26" x14ac:dyDescent="0.2">
      <c r="B27" s="67" t="s">
        <v>202</v>
      </c>
      <c r="C27" s="236"/>
      <c r="D27" s="237"/>
      <c r="E27" s="208"/>
      <c r="G27" s="211">
        <f ca="1">'Existing Stores--&gt;&gt;'!G27+'Inc_Stm_New_Stores---&gt;&gt;'!G53</f>
        <v>922308.34182499989</v>
      </c>
      <c r="H27" s="211">
        <f ca="1">'Existing Stores--&gt;&gt;'!H27+'Inc_Stm_New_Stores---&gt;&gt;'!H53</f>
        <v>1148403.5904263812</v>
      </c>
      <c r="I27" s="211">
        <f ca="1">'Existing Stores--&gt;&gt;'!I27+'Inc_Stm_New_Stores---&gt;&gt;'!I53</f>
        <v>1376193.2398986551</v>
      </c>
      <c r="J27" s="211">
        <f ca="1">'Existing Stores--&gt;&gt;'!J27+'Inc_Stm_New_Stores---&gt;&gt;'!J53</f>
        <v>1495540.0444289967</v>
      </c>
      <c r="K27" s="211">
        <f ca="1">'Existing Stores--&gt;&gt;'!K27+'Inc_Stm_New_Stores---&gt;&gt;'!K53</f>
        <v>1615780.6792018444</v>
      </c>
      <c r="L27" s="211">
        <f ca="1">'Existing Stores--&gt;&gt;'!L27+'Inc_Stm_New_Stores---&gt;&gt;'!L53</f>
        <v>1847071.8448103247</v>
      </c>
      <c r="M27" s="211">
        <f ca="1">'Existing Stores--&gt;&gt;'!M27+'Inc_Stm_New_Stores---&gt;&gt;'!M53</f>
        <v>2080096.4674508055</v>
      </c>
      <c r="N27" s="211">
        <f ca="1">'Existing Stores--&gt;&gt;'!N27+'Inc_Stm_New_Stores---&gt;&gt;'!N53</f>
        <v>2204717.5956189502</v>
      </c>
      <c r="O27" s="211">
        <f ca="1">'Existing Stores--&gt;&gt;'!O27+'Inc_Stm_New_Stores---&gt;&gt;'!O53</f>
        <v>2330272.2010310367</v>
      </c>
      <c r="P27" s="211">
        <f ca="1">'Existing Stores--&gt;&gt;'!P27+'Inc_Stm_New_Stores---&gt;&gt;'!P53</f>
        <v>2566917.2830522256</v>
      </c>
      <c r="Q27" s="211">
        <f ca="1">'Existing Stores--&gt;&gt;'!Q27+'Inc_Stm_New_Stores---&gt;&gt;'!Q53</f>
        <v>2805336.0689080893</v>
      </c>
      <c r="R27" s="211">
        <f ca="1">'Existing Stores--&gt;&gt;'!R27+'Inc_Stm_New_Stores---&gt;&gt;'!R53</f>
        <v>2935391.910397768</v>
      </c>
      <c r="S27" s="211">
        <f ca="1">'Existing Stores--&gt;&gt;'!S27+'Inc_Stm_New_Stores---&gt;&gt;'!S53</f>
        <v>3066422.0848325212</v>
      </c>
      <c r="T27" s="211">
        <f ca="1">'Existing Stores--&gt;&gt;'!T27+'Inc_Stm_New_Stores---&gt;&gt;'!T53</f>
        <v>3308583.899481358</v>
      </c>
      <c r="U27" s="211">
        <f ca="1">'Existing Stores--&gt;&gt;'!U27+'Inc_Stm_New_Stores---&gt;&gt;'!U53</f>
        <v>3552560.8918000665</v>
      </c>
      <c r="V27" s="211">
        <f ca="1">'Existing Stores--&gt;&gt;'!V27+'Inc_Stm_New_Stores---&gt;&gt;'!V53</f>
        <v>3688216.7261619959</v>
      </c>
      <c r="W27" s="211">
        <f ca="1">'Existing Stores--&gt;&gt;'!W27+'Inc_Stm_New_Stores---&gt;&gt;'!W53</f>
        <v>3824888.994814368</v>
      </c>
      <c r="X27" s="211">
        <f ca="1">'Existing Stores--&gt;&gt;'!X27+'Inc_Stm_New_Stores---&gt;&gt;'!X53</f>
        <v>4072735.3223418123</v>
      </c>
      <c r="Y27" s="211">
        <f ca="1">'Existing Stores--&gt;&gt;'!Y27+'Inc_Stm_New_Stores---&gt;&gt;'!Y53</f>
        <v>4322439.5659134239</v>
      </c>
      <c r="Z27" s="211">
        <f ca="1">'Existing Stores--&gt;&gt;'!Z27+'Inc_Stm_New_Stores---&gt;&gt;'!Z53</f>
        <v>4463865.7120317221</v>
      </c>
    </row>
    <row r="28" spans="2:26" x14ac:dyDescent="0.2">
      <c r="C28" s="234"/>
      <c r="D28" s="233"/>
      <c r="E28" s="208"/>
      <c r="G28" s="209">
        <f>'Existing Stores--&gt;&gt;'!G28+'Inc_Stm_New_Stores---&gt;&gt;'!G54</f>
        <v>0</v>
      </c>
      <c r="H28" s="209">
        <f>'Existing Stores--&gt;&gt;'!H28+'Inc_Stm_New_Stores---&gt;&gt;'!H54</f>
        <v>0</v>
      </c>
      <c r="I28" s="209">
        <f>'Existing Stores--&gt;&gt;'!I28+'Inc_Stm_New_Stores---&gt;&gt;'!I54</f>
        <v>0</v>
      </c>
      <c r="J28" s="209">
        <f>'Existing Stores--&gt;&gt;'!J28+'Inc_Stm_New_Stores---&gt;&gt;'!J54</f>
        <v>0</v>
      </c>
      <c r="K28" s="209">
        <f>'Existing Stores--&gt;&gt;'!K28+'Inc_Stm_New_Stores---&gt;&gt;'!K54</f>
        <v>0</v>
      </c>
      <c r="L28" s="209">
        <f>'Existing Stores--&gt;&gt;'!L28+'Inc_Stm_New_Stores---&gt;&gt;'!L54</f>
        <v>0</v>
      </c>
      <c r="M28" s="209">
        <f>'Existing Stores--&gt;&gt;'!M28+'Inc_Stm_New_Stores---&gt;&gt;'!M54</f>
        <v>0</v>
      </c>
      <c r="N28" s="209">
        <f>'Existing Stores--&gt;&gt;'!N28+'Inc_Stm_New_Stores---&gt;&gt;'!N54</f>
        <v>0</v>
      </c>
      <c r="O28" s="209">
        <f>'Existing Stores--&gt;&gt;'!O28+'Inc_Stm_New_Stores---&gt;&gt;'!O54</f>
        <v>0</v>
      </c>
      <c r="P28" s="209">
        <f>'Existing Stores--&gt;&gt;'!P28+'Inc_Stm_New_Stores---&gt;&gt;'!P54</f>
        <v>0</v>
      </c>
      <c r="Q28" s="209">
        <f>'Existing Stores--&gt;&gt;'!Q28+'Inc_Stm_New_Stores---&gt;&gt;'!Q54</f>
        <v>0</v>
      </c>
      <c r="R28" s="209">
        <f>'Existing Stores--&gt;&gt;'!R28+'Inc_Stm_New_Stores---&gt;&gt;'!R54</f>
        <v>0</v>
      </c>
      <c r="S28" s="209">
        <f>'Existing Stores--&gt;&gt;'!S28+'Inc_Stm_New_Stores---&gt;&gt;'!S54</f>
        <v>0</v>
      </c>
      <c r="T28" s="209">
        <f>'Existing Stores--&gt;&gt;'!T28+'Inc_Stm_New_Stores---&gt;&gt;'!T54</f>
        <v>0</v>
      </c>
      <c r="U28" s="209">
        <f>'Existing Stores--&gt;&gt;'!U28+'Inc_Stm_New_Stores---&gt;&gt;'!U54</f>
        <v>0</v>
      </c>
      <c r="V28" s="209">
        <f>'Existing Stores--&gt;&gt;'!V28+'Inc_Stm_New_Stores---&gt;&gt;'!V54</f>
        <v>0</v>
      </c>
      <c r="W28" s="209">
        <f>'Existing Stores--&gt;&gt;'!W28+'Inc_Stm_New_Stores---&gt;&gt;'!W54</f>
        <v>0</v>
      </c>
      <c r="X28" s="209">
        <f>'Existing Stores--&gt;&gt;'!X28+'Inc_Stm_New_Stores---&gt;&gt;'!X54</f>
        <v>0</v>
      </c>
      <c r="Y28" s="209">
        <f>'Existing Stores--&gt;&gt;'!Y28+'Inc_Stm_New_Stores---&gt;&gt;'!Y54</f>
        <v>0</v>
      </c>
      <c r="Z28" s="209">
        <f>'Existing Stores--&gt;&gt;'!Z28+'Inc_Stm_New_Stores---&gt;&gt;'!Z54</f>
        <v>0</v>
      </c>
    </row>
    <row r="29" spans="2:26" x14ac:dyDescent="0.2">
      <c r="B29" s="1" t="s">
        <v>73</v>
      </c>
      <c r="C29" s="201"/>
      <c r="D29" s="233"/>
      <c r="E29" s="208"/>
      <c r="G29" s="201">
        <f ca="1">'Existing Stores--&gt;&gt;'!G29+'Inc_Stm_New_Stores---&gt;&gt;'!G55</f>
        <v>47705.603887499994</v>
      </c>
      <c r="H29" s="201">
        <f ca="1">'Existing Stores--&gt;&gt;'!H29+'Inc_Stm_New_Stores---&gt;&gt;'!H55</f>
        <v>59400.185711709368</v>
      </c>
      <c r="I29" s="201">
        <f ca="1">'Existing Stores--&gt;&gt;'!I29+'Inc_Stm_New_Stores---&gt;&gt;'!I55</f>
        <v>71182.408960275265</v>
      </c>
      <c r="J29" s="201">
        <f ca="1">'Existing Stores--&gt;&gt;'!J29+'Inc_Stm_New_Stores---&gt;&gt;'!J55</f>
        <v>77355.519539430854</v>
      </c>
      <c r="K29" s="201">
        <f ca="1">'Existing Stores--&gt;&gt;'!K29+'Inc_Stm_New_Stores---&gt;&gt;'!K55</f>
        <v>83574.862717336771</v>
      </c>
      <c r="L29" s="201">
        <f ca="1">'Existing Stores--&gt;&gt;'!L29+'Inc_Stm_New_Stores---&gt;&gt;'!L55</f>
        <v>95538.198869499553</v>
      </c>
      <c r="M29" s="201">
        <f ca="1">'Existing Stores--&gt;&gt;'!M29+'Inc_Stm_New_Stores---&gt;&gt;'!M55</f>
        <v>107591.19659228303</v>
      </c>
      <c r="N29" s="201">
        <f ca="1">'Existing Stores--&gt;&gt;'!N29+'Inc_Stm_New_Stores---&gt;&gt;'!N55</f>
        <v>114037.11701477328</v>
      </c>
      <c r="O29" s="201">
        <f ca="1">'Existing Stores--&gt;&gt;'!O29+'Inc_Stm_New_Stores---&gt;&gt;'!O55</f>
        <v>120531.32074298465</v>
      </c>
      <c r="P29" s="201">
        <f ca="1">'Existing Stores--&gt;&gt;'!P29+'Inc_Stm_New_Stores---&gt;&gt;'!P55</f>
        <v>132771.58360614959</v>
      </c>
      <c r="Q29" s="201">
        <f ca="1">'Existing Stores--&gt;&gt;'!Q29+'Inc_Stm_New_Stores---&gt;&gt;'!Q55</f>
        <v>145103.58977110809</v>
      </c>
      <c r="R29" s="201">
        <f ca="1">'Existing Stores--&gt;&gt;'!R29+'Inc_Stm_New_Stores---&gt;&gt;'!R55</f>
        <v>151830.61605505698</v>
      </c>
      <c r="S29" s="201">
        <f ca="1">'Existing Stores--&gt;&gt;'!S29+'Inc_Stm_New_Stores---&gt;&gt;'!S55</f>
        <v>158608.03887064761</v>
      </c>
      <c r="T29" s="201">
        <f ca="1">'Existing Stores--&gt;&gt;'!T29+'Inc_Stm_New_Stores---&gt;&gt;'!T55</f>
        <v>171133.64997317368</v>
      </c>
      <c r="U29" s="201">
        <f ca="1">'Existing Stores--&gt;&gt;'!U29+'Inc_Stm_New_Stores---&gt;&gt;'!U55</f>
        <v>183753.14957586554</v>
      </c>
      <c r="V29" s="201">
        <f ca="1">'Existing Stores--&gt;&gt;'!V29+'Inc_Stm_New_Stores---&gt;&gt;'!V55</f>
        <v>190769.83066355152</v>
      </c>
      <c r="W29" s="201">
        <f ca="1">'Existing Stores--&gt;&gt;'!W29+'Inc_Stm_New_Stores---&gt;&gt;'!W55</f>
        <v>197839.08593867416</v>
      </c>
      <c r="X29" s="201">
        <f ca="1">'Existing Stores--&gt;&gt;'!X29+'Inc_Stm_New_Stores---&gt;&gt;'!X55</f>
        <v>210658.7235694041</v>
      </c>
      <c r="Y29" s="201">
        <f ca="1">'Existing Stores--&gt;&gt;'!Y29+'Inc_Stm_New_Stores---&gt;&gt;'!Y55</f>
        <v>223574.46030586679</v>
      </c>
      <c r="Z29" s="201">
        <f ca="1">'Existing Stores--&gt;&gt;'!Z29+'Inc_Stm_New_Stores---&gt;&gt;'!Z55</f>
        <v>230889.60579474428</v>
      </c>
    </row>
    <row r="30" spans="2:26" x14ac:dyDescent="0.2">
      <c r="B30" s="1" t="s">
        <v>74</v>
      </c>
      <c r="C30" s="201"/>
      <c r="D30" s="233"/>
      <c r="E30" s="208"/>
      <c r="G30" s="201">
        <f ca="1">'Existing Stores--&gt;&gt;'!G30+'Inc_Stm_New_Stores---&gt;&gt;'!G56</f>
        <v>63607.471850000002</v>
      </c>
      <c r="H30" s="201">
        <f ca="1">'Existing Stores--&gt;&gt;'!H30+'Inc_Stm_New_Stores---&gt;&gt;'!H56</f>
        <v>79200.24761561249</v>
      </c>
      <c r="I30" s="201">
        <f ca="1">'Existing Stores--&gt;&gt;'!I30+'Inc_Stm_New_Stores---&gt;&gt;'!I56</f>
        <v>94909.878613700348</v>
      </c>
      <c r="J30" s="201">
        <f ca="1">'Existing Stores--&gt;&gt;'!J30+'Inc_Stm_New_Stores---&gt;&gt;'!J56</f>
        <v>103140.69271924115</v>
      </c>
      <c r="K30" s="201">
        <f ca="1">'Existing Stores--&gt;&gt;'!K30+'Inc_Stm_New_Stores---&gt;&gt;'!K56</f>
        <v>111433.15028978238</v>
      </c>
      <c r="L30" s="201">
        <f ca="1">'Existing Stores--&gt;&gt;'!L30+'Inc_Stm_New_Stores---&gt;&gt;'!L56</f>
        <v>127384.26515933275</v>
      </c>
      <c r="M30" s="201">
        <f ca="1">'Existing Stores--&gt;&gt;'!M30+'Inc_Stm_New_Stores---&gt;&gt;'!M56</f>
        <v>143454.92878971071</v>
      </c>
      <c r="N30" s="201">
        <f ca="1">'Existing Stores--&gt;&gt;'!N30+'Inc_Stm_New_Stores---&gt;&gt;'!N56</f>
        <v>152049.48935303107</v>
      </c>
      <c r="O30" s="201">
        <f ca="1">'Existing Stores--&gt;&gt;'!O30+'Inc_Stm_New_Stores---&gt;&gt;'!O56</f>
        <v>160708.42765731286</v>
      </c>
      <c r="P30" s="201">
        <f ca="1">'Existing Stores--&gt;&gt;'!P30+'Inc_Stm_New_Stores---&gt;&gt;'!P56</f>
        <v>177028.77814153279</v>
      </c>
      <c r="Q30" s="201">
        <f ca="1">'Existing Stores--&gt;&gt;'!Q30+'Inc_Stm_New_Stores---&gt;&gt;'!Q56</f>
        <v>193471.45302814411</v>
      </c>
      <c r="R30" s="201">
        <f ca="1">'Existing Stores--&gt;&gt;'!R30+'Inc_Stm_New_Stores---&gt;&gt;'!R56</f>
        <v>202440.82140674265</v>
      </c>
      <c r="S30" s="201">
        <f ca="1">'Existing Stores--&gt;&gt;'!S30+'Inc_Stm_New_Stores---&gt;&gt;'!S56</f>
        <v>211477.38516086349</v>
      </c>
      <c r="T30" s="201">
        <f ca="1">'Existing Stores--&gt;&gt;'!T30+'Inc_Stm_New_Stores---&gt;&gt;'!T56</f>
        <v>228178.19996423158</v>
      </c>
      <c r="U30" s="201">
        <f ca="1">'Existing Stores--&gt;&gt;'!U30+'Inc_Stm_New_Stores---&gt;&gt;'!U56</f>
        <v>245004.19943448738</v>
      </c>
      <c r="V30" s="201">
        <f ca="1">'Existing Stores--&gt;&gt;'!V30+'Inc_Stm_New_Stores---&gt;&gt;'!V56</f>
        <v>254359.77421806866</v>
      </c>
      <c r="W30" s="201">
        <f ca="1">'Existing Stores--&gt;&gt;'!W30+'Inc_Stm_New_Stores---&gt;&gt;'!W56</f>
        <v>263785.44791823224</v>
      </c>
      <c r="X30" s="201">
        <f ca="1">'Existing Stores--&gt;&gt;'!X30+'Inc_Stm_New_Stores---&gt;&gt;'!X56</f>
        <v>280878.29809253872</v>
      </c>
      <c r="Y30" s="201">
        <f ca="1">'Existing Stores--&gt;&gt;'!Y30+'Inc_Stm_New_Stores---&gt;&gt;'!Y56</f>
        <v>298099.2804078224</v>
      </c>
      <c r="Z30" s="201">
        <f ca="1">'Existing Stores--&gt;&gt;'!Z30+'Inc_Stm_New_Stores---&gt;&gt;'!Z56</f>
        <v>307852.80772632564</v>
      </c>
    </row>
    <row r="31" spans="2:26" x14ac:dyDescent="0.2">
      <c r="B31" s="1" t="s">
        <v>75</v>
      </c>
      <c r="C31" s="201"/>
      <c r="D31" s="233"/>
      <c r="E31" s="208"/>
      <c r="G31" s="201">
        <f ca="1">'Existing Stores--&gt;&gt;'!G31+'Inc_Stm_New_Stores---&gt;&gt;'!G57</f>
        <v>22262.615147500001</v>
      </c>
      <c r="H31" s="201">
        <f ca="1">'Existing Stores--&gt;&gt;'!H31+'Inc_Stm_New_Stores---&gt;&gt;'!H57</f>
        <v>27720.086665464376</v>
      </c>
      <c r="I31" s="201">
        <f ca="1">'Existing Stores--&gt;&gt;'!I31+'Inc_Stm_New_Stores---&gt;&gt;'!I57</f>
        <v>33218.457514795125</v>
      </c>
      <c r="J31" s="201">
        <f ca="1">'Existing Stores--&gt;&gt;'!J31+'Inc_Stm_New_Stores---&gt;&gt;'!J57</f>
        <v>36099.242451734404</v>
      </c>
      <c r="K31" s="201">
        <f ca="1">'Existing Stores--&gt;&gt;'!K31+'Inc_Stm_New_Stores---&gt;&gt;'!K57</f>
        <v>39001.60260142383</v>
      </c>
      <c r="L31" s="201">
        <f ca="1">'Existing Stores--&gt;&gt;'!L31+'Inc_Stm_New_Stores---&gt;&gt;'!L57</f>
        <v>44584.492805766451</v>
      </c>
      <c r="M31" s="201">
        <f ca="1">'Existing Stores--&gt;&gt;'!M31+'Inc_Stm_New_Stores---&gt;&gt;'!M57</f>
        <v>50209.225076398754</v>
      </c>
      <c r="N31" s="201">
        <f ca="1">'Existing Stores--&gt;&gt;'!N31+'Inc_Stm_New_Stores---&gt;&gt;'!N57</f>
        <v>53217.321273560869</v>
      </c>
      <c r="O31" s="201">
        <f ca="1">'Existing Stores--&gt;&gt;'!O31+'Inc_Stm_New_Stores---&gt;&gt;'!O57</f>
        <v>56247.949680059515</v>
      </c>
      <c r="P31" s="201">
        <f ca="1">'Existing Stores--&gt;&gt;'!P31+'Inc_Stm_New_Stores---&gt;&gt;'!P57</f>
        <v>61960.07234953648</v>
      </c>
      <c r="Q31" s="201">
        <f ca="1">'Existing Stores--&gt;&gt;'!Q31+'Inc_Stm_New_Stores---&gt;&gt;'!Q57</f>
        <v>67715.008559850437</v>
      </c>
      <c r="R31" s="201">
        <f ca="1">'Existing Stores--&gt;&gt;'!R31+'Inc_Stm_New_Stores---&gt;&gt;'!R57</f>
        <v>70854.28749235993</v>
      </c>
      <c r="S31" s="201">
        <f ca="1">'Existing Stores--&gt;&gt;'!S31+'Inc_Stm_New_Stores---&gt;&gt;'!S57</f>
        <v>74017.084806302242</v>
      </c>
      <c r="T31" s="201">
        <f ca="1">'Existing Stores--&gt;&gt;'!T31+'Inc_Stm_New_Stores---&gt;&gt;'!T57</f>
        <v>79862.36998748107</v>
      </c>
      <c r="U31" s="201">
        <f ca="1">'Existing Stores--&gt;&gt;'!U31+'Inc_Stm_New_Stores---&gt;&gt;'!U57</f>
        <v>85751.469802070584</v>
      </c>
      <c r="V31" s="201">
        <f ca="1">'Existing Stores--&gt;&gt;'!V31+'Inc_Stm_New_Stores---&gt;&gt;'!V57</f>
        <v>89025.920976324036</v>
      </c>
      <c r="W31" s="201">
        <f ca="1">'Existing Stores--&gt;&gt;'!W31+'Inc_Stm_New_Stores---&gt;&gt;'!W57</f>
        <v>92324.906771381298</v>
      </c>
      <c r="X31" s="201">
        <f ca="1">'Existing Stores--&gt;&gt;'!X31+'Inc_Stm_New_Stores---&gt;&gt;'!X57</f>
        <v>98307.404332388571</v>
      </c>
      <c r="Y31" s="201">
        <f ca="1">'Existing Stores--&gt;&gt;'!Y31+'Inc_Stm_New_Stores---&gt;&gt;'!Y57</f>
        <v>104334.74814273784</v>
      </c>
      <c r="Z31" s="201">
        <f ca="1">'Existing Stores--&gt;&gt;'!Z31+'Inc_Stm_New_Stores---&gt;&gt;'!Z57</f>
        <v>107748.48270421397</v>
      </c>
    </row>
    <row r="32" spans="2:26" x14ac:dyDescent="0.2">
      <c r="B32" s="1" t="s">
        <v>76</v>
      </c>
      <c r="C32" s="201"/>
      <c r="D32" s="233"/>
      <c r="E32" s="208"/>
      <c r="G32" s="201">
        <f>'Existing Stores--&gt;&gt;'!G32+'Inc_Stm_New_Stores---&gt;&gt;'!G58</f>
        <v>24000</v>
      </c>
      <c r="H32" s="201">
        <f ca="1">'Existing Stores--&gt;&gt;'!H32+'Inc_Stm_New_Stores---&gt;&gt;'!H58</f>
        <v>32000</v>
      </c>
      <c r="I32" s="201">
        <f ca="1">'Existing Stores--&gt;&gt;'!I32+'Inc_Stm_New_Stores---&gt;&gt;'!I58</f>
        <v>40000</v>
      </c>
      <c r="J32" s="201">
        <f ca="1">'Existing Stores--&gt;&gt;'!J32+'Inc_Stm_New_Stores---&gt;&gt;'!J58</f>
        <v>44000</v>
      </c>
      <c r="K32" s="201">
        <f ca="1">'Existing Stores--&gt;&gt;'!K32+'Inc_Stm_New_Stores---&gt;&gt;'!K58</f>
        <v>48000</v>
      </c>
      <c r="L32" s="201">
        <f ca="1">'Existing Stores--&gt;&gt;'!L32+'Inc_Stm_New_Stores---&gt;&gt;'!L58</f>
        <v>56000</v>
      </c>
      <c r="M32" s="201">
        <f ca="1">'Existing Stores--&gt;&gt;'!M32+'Inc_Stm_New_Stores---&gt;&gt;'!M58</f>
        <v>64000</v>
      </c>
      <c r="N32" s="201">
        <f ca="1">'Existing Stores--&gt;&gt;'!N32+'Inc_Stm_New_Stores---&gt;&gt;'!N58</f>
        <v>68000</v>
      </c>
      <c r="O32" s="201">
        <f ca="1">'Existing Stores--&gt;&gt;'!O32+'Inc_Stm_New_Stores---&gt;&gt;'!O58</f>
        <v>72000</v>
      </c>
      <c r="P32" s="201">
        <f ca="1">'Existing Stores--&gt;&gt;'!P32+'Inc_Stm_New_Stores---&gt;&gt;'!P58</f>
        <v>80000</v>
      </c>
      <c r="Q32" s="201">
        <f ca="1">'Existing Stores--&gt;&gt;'!Q32+'Inc_Stm_New_Stores---&gt;&gt;'!Q58</f>
        <v>88000</v>
      </c>
      <c r="R32" s="201">
        <f ca="1">'Existing Stores--&gt;&gt;'!R32+'Inc_Stm_New_Stores---&gt;&gt;'!R58</f>
        <v>92000</v>
      </c>
      <c r="S32" s="201">
        <f ca="1">'Existing Stores--&gt;&gt;'!S32+'Inc_Stm_New_Stores---&gt;&gt;'!S58</f>
        <v>96000</v>
      </c>
      <c r="T32" s="201">
        <f ca="1">'Existing Stores--&gt;&gt;'!T32+'Inc_Stm_New_Stores---&gt;&gt;'!T58</f>
        <v>104000</v>
      </c>
      <c r="U32" s="201">
        <f ca="1">'Existing Stores--&gt;&gt;'!U32+'Inc_Stm_New_Stores---&gt;&gt;'!U58</f>
        <v>112000</v>
      </c>
      <c r="V32" s="201">
        <f ca="1">'Existing Stores--&gt;&gt;'!V32+'Inc_Stm_New_Stores---&gt;&gt;'!V58</f>
        <v>116000</v>
      </c>
      <c r="W32" s="201">
        <f ca="1">'Existing Stores--&gt;&gt;'!W32+'Inc_Stm_New_Stores---&gt;&gt;'!W58</f>
        <v>120000</v>
      </c>
      <c r="X32" s="201">
        <f ca="1">'Existing Stores--&gt;&gt;'!X32+'Inc_Stm_New_Stores---&gt;&gt;'!X58</f>
        <v>128000</v>
      </c>
      <c r="Y32" s="201">
        <f ca="1">'Existing Stores--&gt;&gt;'!Y32+'Inc_Stm_New_Stores---&gt;&gt;'!Y58</f>
        <v>136000</v>
      </c>
      <c r="Z32" s="201">
        <f ca="1">'Existing Stores--&gt;&gt;'!Z32+'Inc_Stm_New_Stores---&gt;&gt;'!Z58</f>
        <v>140000</v>
      </c>
    </row>
    <row r="33" spans="2:26" x14ac:dyDescent="0.2">
      <c r="B33" s="1" t="s">
        <v>43</v>
      </c>
      <c r="C33" s="201"/>
      <c r="D33" s="233"/>
      <c r="E33" s="208"/>
      <c r="G33" s="201">
        <f>'Existing Stores--&gt;&gt;'!G33+'Inc_Stm_New_Stores---&gt;&gt;'!G59</f>
        <v>124500</v>
      </c>
      <c r="H33" s="201">
        <f ca="1">'Existing Stores--&gt;&gt;'!H33+'Inc_Stm_New_Stores---&gt;&gt;'!H59</f>
        <v>166000</v>
      </c>
      <c r="I33" s="201">
        <f ca="1">'Existing Stores--&gt;&gt;'!I33+'Inc_Stm_New_Stores---&gt;&gt;'!I59</f>
        <v>207500</v>
      </c>
      <c r="J33" s="201">
        <f ca="1">'Existing Stores--&gt;&gt;'!J33+'Inc_Stm_New_Stores---&gt;&gt;'!J59</f>
        <v>228250</v>
      </c>
      <c r="K33" s="201">
        <f ca="1">'Existing Stores--&gt;&gt;'!K33+'Inc_Stm_New_Stores---&gt;&gt;'!K59</f>
        <v>249000</v>
      </c>
      <c r="L33" s="201">
        <f ca="1">'Existing Stores--&gt;&gt;'!L33+'Inc_Stm_New_Stores---&gt;&gt;'!L59</f>
        <v>290500</v>
      </c>
      <c r="M33" s="201">
        <f ca="1">'Existing Stores--&gt;&gt;'!M33+'Inc_Stm_New_Stores---&gt;&gt;'!M59</f>
        <v>332000</v>
      </c>
      <c r="N33" s="201">
        <f ca="1">'Existing Stores--&gt;&gt;'!N33+'Inc_Stm_New_Stores---&gt;&gt;'!N59</f>
        <v>352750</v>
      </c>
      <c r="O33" s="201">
        <f ca="1">'Existing Stores--&gt;&gt;'!O33+'Inc_Stm_New_Stores---&gt;&gt;'!O59</f>
        <v>373500</v>
      </c>
      <c r="P33" s="201">
        <f ca="1">'Existing Stores--&gt;&gt;'!P33+'Inc_Stm_New_Stores---&gt;&gt;'!P59</f>
        <v>415000</v>
      </c>
      <c r="Q33" s="201">
        <f ca="1">'Existing Stores--&gt;&gt;'!Q33+'Inc_Stm_New_Stores---&gt;&gt;'!Q59</f>
        <v>456500</v>
      </c>
      <c r="R33" s="201">
        <f ca="1">'Existing Stores--&gt;&gt;'!R33+'Inc_Stm_New_Stores---&gt;&gt;'!R59</f>
        <v>477250</v>
      </c>
      <c r="S33" s="201">
        <f ca="1">'Existing Stores--&gt;&gt;'!S33+'Inc_Stm_New_Stores---&gt;&gt;'!S59</f>
        <v>498000</v>
      </c>
      <c r="T33" s="201">
        <f ca="1">'Existing Stores--&gt;&gt;'!T33+'Inc_Stm_New_Stores---&gt;&gt;'!T59</f>
        <v>539500</v>
      </c>
      <c r="U33" s="201">
        <f ca="1">'Existing Stores--&gt;&gt;'!U33+'Inc_Stm_New_Stores---&gt;&gt;'!U59</f>
        <v>581000</v>
      </c>
      <c r="V33" s="201">
        <f ca="1">'Existing Stores--&gt;&gt;'!V33+'Inc_Stm_New_Stores---&gt;&gt;'!V59</f>
        <v>601750</v>
      </c>
      <c r="W33" s="201">
        <f ca="1">'Existing Stores--&gt;&gt;'!W33+'Inc_Stm_New_Stores---&gt;&gt;'!W59</f>
        <v>622500</v>
      </c>
      <c r="X33" s="201">
        <f ca="1">'Existing Stores--&gt;&gt;'!X33+'Inc_Stm_New_Stores---&gt;&gt;'!X59</f>
        <v>664000</v>
      </c>
      <c r="Y33" s="201">
        <f ca="1">'Existing Stores--&gt;&gt;'!Y33+'Inc_Stm_New_Stores---&gt;&gt;'!Y59</f>
        <v>705500</v>
      </c>
      <c r="Z33" s="201">
        <f ca="1">'Existing Stores--&gt;&gt;'!Z33+'Inc_Stm_New_Stores---&gt;&gt;'!Z59</f>
        <v>726250</v>
      </c>
    </row>
    <row r="34" spans="2:26" x14ac:dyDescent="0.2">
      <c r="B34" s="67" t="s">
        <v>203</v>
      </c>
      <c r="C34" s="236"/>
      <c r="D34" s="237"/>
      <c r="E34" s="208"/>
      <c r="G34" s="211">
        <f ca="1">'Existing Stores--&gt;&gt;'!G34+'Inc_Stm_New_Stores---&gt;&gt;'!G60</f>
        <v>282075.69088499999</v>
      </c>
      <c r="H34" s="211">
        <f ca="1">'Existing Stores--&gt;&gt;'!H34+'Inc_Stm_New_Stores---&gt;&gt;'!H60</f>
        <v>364320.51999278623</v>
      </c>
      <c r="I34" s="211">
        <f ca="1">'Existing Stores--&gt;&gt;'!I34+'Inc_Stm_New_Stores---&gt;&gt;'!I60</f>
        <v>446810.74508877075</v>
      </c>
      <c r="J34" s="211">
        <f ca="1">'Existing Stores--&gt;&gt;'!J34+'Inc_Stm_New_Stores---&gt;&gt;'!J60</f>
        <v>488845.45471040648</v>
      </c>
      <c r="K34" s="211">
        <f ca="1">'Existing Stores--&gt;&gt;'!K34+'Inc_Stm_New_Stores---&gt;&gt;'!K60</f>
        <v>531009.61560854304</v>
      </c>
      <c r="L34" s="211">
        <f ca="1">'Existing Stores--&gt;&gt;'!L34+'Inc_Stm_New_Stores---&gt;&gt;'!L60</f>
        <v>614006.95683459868</v>
      </c>
      <c r="M34" s="211">
        <f ca="1">'Existing Stores--&gt;&gt;'!M34+'Inc_Stm_New_Stores---&gt;&gt;'!M60</f>
        <v>697255.35045839252</v>
      </c>
      <c r="N34" s="211">
        <f ca="1">'Existing Stores--&gt;&gt;'!N34+'Inc_Stm_New_Stores---&gt;&gt;'!N60</f>
        <v>740053.92764136521</v>
      </c>
      <c r="O34" s="211">
        <f ca="1">'Existing Stores--&gt;&gt;'!O34+'Inc_Stm_New_Stores---&gt;&gt;'!O60</f>
        <v>782987.69808035716</v>
      </c>
      <c r="P34" s="211">
        <f ca="1">'Existing Stores--&gt;&gt;'!P34+'Inc_Stm_New_Stores---&gt;&gt;'!P60</f>
        <v>866760.43409721891</v>
      </c>
      <c r="Q34" s="211">
        <f ca="1">'Existing Stores--&gt;&gt;'!Q34+'Inc_Stm_New_Stores---&gt;&gt;'!Q60</f>
        <v>950790.05135910271</v>
      </c>
      <c r="R34" s="211">
        <f ca="1">'Existing Stores--&gt;&gt;'!R34+'Inc_Stm_New_Stores---&gt;&gt;'!R60</f>
        <v>994375.7249541597</v>
      </c>
      <c r="S34" s="211">
        <f ca="1">'Existing Stores--&gt;&gt;'!S34+'Inc_Stm_New_Stores---&gt;&gt;'!S60</f>
        <v>1038102.5088378135</v>
      </c>
      <c r="T34" s="211">
        <f ca="1">'Existing Stores--&gt;&gt;'!T34+'Inc_Stm_New_Stores---&gt;&gt;'!T60</f>
        <v>1122674.2199248862</v>
      </c>
      <c r="U34" s="211">
        <f ca="1">'Existing Stores--&gt;&gt;'!U34+'Inc_Stm_New_Stores---&gt;&gt;'!U60</f>
        <v>1207508.8188124236</v>
      </c>
      <c r="V34" s="211">
        <f ca="1">'Existing Stores--&gt;&gt;'!V34+'Inc_Stm_New_Stores---&gt;&gt;'!V60</f>
        <v>1251905.5258579443</v>
      </c>
      <c r="W34" s="211">
        <f ca="1">'Existing Stores--&gt;&gt;'!W34+'Inc_Stm_New_Stores---&gt;&gt;'!W60</f>
        <v>1296449.4406282876</v>
      </c>
      <c r="X34" s="211">
        <f ca="1">'Existing Stores--&gt;&gt;'!X34+'Inc_Stm_New_Stores---&gt;&gt;'!X60</f>
        <v>1381844.4259943315</v>
      </c>
      <c r="Y34" s="211">
        <f ca="1">'Existing Stores--&gt;&gt;'!Y34+'Inc_Stm_New_Stores---&gt;&gt;'!Y60</f>
        <v>1467508.4888564269</v>
      </c>
      <c r="Z34" s="211">
        <f ca="1">'Existing Stores--&gt;&gt;'!Z34+'Inc_Stm_New_Stores---&gt;&gt;'!Z60</f>
        <v>1512740.8962252839</v>
      </c>
    </row>
    <row r="35" spans="2:26" x14ac:dyDescent="0.2">
      <c r="C35" s="234"/>
      <c r="D35" s="233"/>
      <c r="E35" s="208"/>
      <c r="G35" s="209">
        <f>'Existing Stores--&gt;&gt;'!G35+'Inc_Stm_New_Stores---&gt;&gt;'!G61</f>
        <v>0</v>
      </c>
      <c r="H35" s="209">
        <f>'Existing Stores--&gt;&gt;'!H35+'Inc_Stm_New_Stores---&gt;&gt;'!H61</f>
        <v>0</v>
      </c>
      <c r="I35" s="209">
        <f>'Existing Stores--&gt;&gt;'!I35+'Inc_Stm_New_Stores---&gt;&gt;'!I61</f>
        <v>0</v>
      </c>
      <c r="J35" s="209">
        <f>'Existing Stores--&gt;&gt;'!J35+'Inc_Stm_New_Stores---&gt;&gt;'!J61</f>
        <v>0</v>
      </c>
      <c r="K35" s="209">
        <f>'Existing Stores--&gt;&gt;'!K35+'Inc_Stm_New_Stores---&gt;&gt;'!K61</f>
        <v>0</v>
      </c>
      <c r="L35" s="209">
        <f>'Existing Stores--&gt;&gt;'!L35+'Inc_Stm_New_Stores---&gt;&gt;'!L61</f>
        <v>0</v>
      </c>
      <c r="M35" s="209">
        <f>'Existing Stores--&gt;&gt;'!M35+'Inc_Stm_New_Stores---&gt;&gt;'!M61</f>
        <v>0</v>
      </c>
      <c r="N35" s="209">
        <f>'Existing Stores--&gt;&gt;'!N35+'Inc_Stm_New_Stores---&gt;&gt;'!N61</f>
        <v>0</v>
      </c>
      <c r="O35" s="209">
        <f>'Existing Stores--&gt;&gt;'!O35+'Inc_Stm_New_Stores---&gt;&gt;'!O61</f>
        <v>0</v>
      </c>
      <c r="P35" s="209">
        <f>'Existing Stores--&gt;&gt;'!P35+'Inc_Stm_New_Stores---&gt;&gt;'!P61</f>
        <v>0</v>
      </c>
      <c r="Q35" s="209">
        <f>'Existing Stores--&gt;&gt;'!Q35+'Inc_Stm_New_Stores---&gt;&gt;'!Q61</f>
        <v>0</v>
      </c>
      <c r="R35" s="209">
        <f>'Existing Stores--&gt;&gt;'!R35+'Inc_Stm_New_Stores---&gt;&gt;'!R61</f>
        <v>0</v>
      </c>
      <c r="S35" s="209">
        <f>'Existing Stores--&gt;&gt;'!S35+'Inc_Stm_New_Stores---&gt;&gt;'!S61</f>
        <v>0</v>
      </c>
      <c r="T35" s="209">
        <f>'Existing Stores--&gt;&gt;'!T35+'Inc_Stm_New_Stores---&gt;&gt;'!T61</f>
        <v>0</v>
      </c>
      <c r="U35" s="209">
        <f>'Existing Stores--&gt;&gt;'!U35+'Inc_Stm_New_Stores---&gt;&gt;'!U61</f>
        <v>0</v>
      </c>
      <c r="V35" s="209">
        <f>'Existing Stores--&gt;&gt;'!V35+'Inc_Stm_New_Stores---&gt;&gt;'!V61</f>
        <v>0</v>
      </c>
      <c r="W35" s="209">
        <f>'Existing Stores--&gt;&gt;'!W35+'Inc_Stm_New_Stores---&gt;&gt;'!W61</f>
        <v>0</v>
      </c>
      <c r="X35" s="209">
        <f>'Existing Stores--&gt;&gt;'!X35+'Inc_Stm_New_Stores---&gt;&gt;'!X61</f>
        <v>0</v>
      </c>
      <c r="Y35" s="209">
        <f>'Existing Stores--&gt;&gt;'!Y35+'Inc_Stm_New_Stores---&gt;&gt;'!Y61</f>
        <v>0</v>
      </c>
      <c r="Z35" s="209">
        <f>'Existing Stores--&gt;&gt;'!Z35+'Inc_Stm_New_Stores---&gt;&gt;'!Z61</f>
        <v>0</v>
      </c>
    </row>
    <row r="36" spans="2:26" x14ac:dyDescent="0.2">
      <c r="B36" s="1" t="s">
        <v>42</v>
      </c>
      <c r="C36" s="201"/>
      <c r="D36" s="233"/>
      <c r="E36" s="208"/>
      <c r="G36" s="201">
        <f>'Existing Stores--&gt;&gt;'!G36+'Inc_Stm_New_Stores---&gt;&gt;'!G62</f>
        <v>150000</v>
      </c>
      <c r="H36" s="201">
        <f ca="1">'Existing Stores--&gt;&gt;'!H36+'Inc_Stm_New_Stores---&gt;&gt;'!H62</f>
        <v>200000</v>
      </c>
      <c r="I36" s="201">
        <f ca="1">'Existing Stores--&gt;&gt;'!I36+'Inc_Stm_New_Stores---&gt;&gt;'!I62</f>
        <v>250000</v>
      </c>
      <c r="J36" s="201">
        <f ca="1">'Existing Stores--&gt;&gt;'!J36+'Inc_Stm_New_Stores---&gt;&gt;'!J62</f>
        <v>275000</v>
      </c>
      <c r="K36" s="201">
        <f ca="1">'Existing Stores--&gt;&gt;'!K36+'Inc_Stm_New_Stores---&gt;&gt;'!K62</f>
        <v>300000</v>
      </c>
      <c r="L36" s="201">
        <f ca="1">'Existing Stores--&gt;&gt;'!L36+'Inc_Stm_New_Stores---&gt;&gt;'!L62</f>
        <v>350000</v>
      </c>
      <c r="M36" s="201">
        <f ca="1">'Existing Stores--&gt;&gt;'!M36+'Inc_Stm_New_Stores---&gt;&gt;'!M62</f>
        <v>400000</v>
      </c>
      <c r="N36" s="201">
        <f ca="1">'Existing Stores--&gt;&gt;'!N36+'Inc_Stm_New_Stores---&gt;&gt;'!N62</f>
        <v>425000</v>
      </c>
      <c r="O36" s="201">
        <f ca="1">'Existing Stores--&gt;&gt;'!O36+'Inc_Stm_New_Stores---&gt;&gt;'!O62</f>
        <v>450000</v>
      </c>
      <c r="P36" s="201">
        <f ca="1">'Existing Stores--&gt;&gt;'!P36+'Inc_Stm_New_Stores---&gt;&gt;'!P62</f>
        <v>500000</v>
      </c>
      <c r="Q36" s="201">
        <f ca="1">'Existing Stores--&gt;&gt;'!Q36+'Inc_Stm_New_Stores---&gt;&gt;'!Q62</f>
        <v>550000</v>
      </c>
      <c r="R36" s="201">
        <f ca="1">'Existing Stores--&gt;&gt;'!R36+'Inc_Stm_New_Stores---&gt;&gt;'!R62</f>
        <v>575000</v>
      </c>
      <c r="S36" s="201">
        <f ca="1">'Existing Stores--&gt;&gt;'!S36+'Inc_Stm_New_Stores---&gt;&gt;'!S62</f>
        <v>600000</v>
      </c>
      <c r="T36" s="201">
        <f ca="1">'Existing Stores--&gt;&gt;'!T36+'Inc_Stm_New_Stores---&gt;&gt;'!T62</f>
        <v>650000</v>
      </c>
      <c r="U36" s="201">
        <f ca="1">'Existing Stores--&gt;&gt;'!U36+'Inc_Stm_New_Stores---&gt;&gt;'!U62</f>
        <v>700000</v>
      </c>
      <c r="V36" s="201">
        <f ca="1">'Existing Stores--&gt;&gt;'!V36+'Inc_Stm_New_Stores---&gt;&gt;'!V62</f>
        <v>725000</v>
      </c>
      <c r="W36" s="201">
        <f ca="1">'Existing Stores--&gt;&gt;'!W36+'Inc_Stm_New_Stores---&gt;&gt;'!W62</f>
        <v>750000</v>
      </c>
      <c r="X36" s="201">
        <f ca="1">'Existing Stores--&gt;&gt;'!X36+'Inc_Stm_New_Stores---&gt;&gt;'!X62</f>
        <v>800000</v>
      </c>
      <c r="Y36" s="201">
        <f ca="1">'Existing Stores--&gt;&gt;'!Y36+'Inc_Stm_New_Stores---&gt;&gt;'!Y62</f>
        <v>850000</v>
      </c>
      <c r="Z36" s="201">
        <f ca="1">'Existing Stores--&gt;&gt;'!Z36+'Inc_Stm_New_Stores---&gt;&gt;'!Z62</f>
        <v>875000</v>
      </c>
    </row>
    <row r="37" spans="2:26" x14ac:dyDescent="0.2">
      <c r="B37" s="1" t="s">
        <v>77</v>
      </c>
      <c r="C37" s="201"/>
      <c r="D37" s="233"/>
      <c r="E37" s="208"/>
      <c r="G37" s="201">
        <f>'Existing Stores--&gt;&gt;'!G37+'Inc_Stm_New_Stores---&gt;&gt;'!G63</f>
        <v>45000</v>
      </c>
      <c r="H37" s="201">
        <f ca="1">'Existing Stores--&gt;&gt;'!H37+'Inc_Stm_New_Stores---&gt;&gt;'!H63</f>
        <v>60000</v>
      </c>
      <c r="I37" s="201">
        <f ca="1">'Existing Stores--&gt;&gt;'!I37+'Inc_Stm_New_Stores---&gt;&gt;'!I63</f>
        <v>75000</v>
      </c>
      <c r="J37" s="201">
        <f ca="1">'Existing Stores--&gt;&gt;'!J37+'Inc_Stm_New_Stores---&gt;&gt;'!J63</f>
        <v>82500</v>
      </c>
      <c r="K37" s="201">
        <f ca="1">'Existing Stores--&gt;&gt;'!K37+'Inc_Stm_New_Stores---&gt;&gt;'!K63</f>
        <v>90000</v>
      </c>
      <c r="L37" s="201">
        <f ca="1">'Existing Stores--&gt;&gt;'!L37+'Inc_Stm_New_Stores---&gt;&gt;'!L63</f>
        <v>105000</v>
      </c>
      <c r="M37" s="201">
        <f ca="1">'Existing Stores--&gt;&gt;'!M37+'Inc_Stm_New_Stores---&gt;&gt;'!M63</f>
        <v>120000</v>
      </c>
      <c r="N37" s="201">
        <f ca="1">'Existing Stores--&gt;&gt;'!N37+'Inc_Stm_New_Stores---&gt;&gt;'!N63</f>
        <v>127500</v>
      </c>
      <c r="O37" s="201">
        <f ca="1">'Existing Stores--&gt;&gt;'!O37+'Inc_Stm_New_Stores---&gt;&gt;'!O63</f>
        <v>135000</v>
      </c>
      <c r="P37" s="201">
        <f ca="1">'Existing Stores--&gt;&gt;'!P37+'Inc_Stm_New_Stores---&gt;&gt;'!P63</f>
        <v>150000</v>
      </c>
      <c r="Q37" s="201">
        <f ca="1">'Existing Stores--&gt;&gt;'!Q37+'Inc_Stm_New_Stores---&gt;&gt;'!Q63</f>
        <v>165000</v>
      </c>
      <c r="R37" s="201">
        <f ca="1">'Existing Stores--&gt;&gt;'!R37+'Inc_Stm_New_Stores---&gt;&gt;'!R63</f>
        <v>172500</v>
      </c>
      <c r="S37" s="201">
        <f ca="1">'Existing Stores--&gt;&gt;'!S37+'Inc_Stm_New_Stores---&gt;&gt;'!S63</f>
        <v>180000</v>
      </c>
      <c r="T37" s="201">
        <f ca="1">'Existing Stores--&gt;&gt;'!T37+'Inc_Stm_New_Stores---&gt;&gt;'!T63</f>
        <v>195000</v>
      </c>
      <c r="U37" s="201">
        <f ca="1">'Existing Stores--&gt;&gt;'!U37+'Inc_Stm_New_Stores---&gt;&gt;'!U63</f>
        <v>210000</v>
      </c>
      <c r="V37" s="201">
        <f ca="1">'Existing Stores--&gt;&gt;'!V37+'Inc_Stm_New_Stores---&gt;&gt;'!V63</f>
        <v>217500</v>
      </c>
      <c r="W37" s="201">
        <f ca="1">'Existing Stores--&gt;&gt;'!W37+'Inc_Stm_New_Stores---&gt;&gt;'!W63</f>
        <v>225000</v>
      </c>
      <c r="X37" s="201">
        <f ca="1">'Existing Stores--&gt;&gt;'!X37+'Inc_Stm_New_Stores---&gt;&gt;'!X63</f>
        <v>240000</v>
      </c>
      <c r="Y37" s="201">
        <f ca="1">'Existing Stores--&gt;&gt;'!Y37+'Inc_Stm_New_Stores---&gt;&gt;'!Y63</f>
        <v>255000</v>
      </c>
      <c r="Z37" s="201">
        <f ca="1">'Existing Stores--&gt;&gt;'!Z37+'Inc_Stm_New_Stores---&gt;&gt;'!Z63</f>
        <v>262500</v>
      </c>
    </row>
    <row r="38" spans="2:26" x14ac:dyDescent="0.2">
      <c r="B38" s="67" t="s">
        <v>204</v>
      </c>
      <c r="C38" s="236"/>
      <c r="D38" s="237"/>
      <c r="E38" s="213"/>
      <c r="G38" s="201">
        <f>'Existing Stores--&gt;&gt;'!G38+'Inc_Stm_New_Stores---&gt;&gt;'!G64</f>
        <v>195000</v>
      </c>
      <c r="H38" s="201">
        <f ca="1">'Existing Stores--&gt;&gt;'!H38+'Inc_Stm_New_Stores---&gt;&gt;'!H64</f>
        <v>260000</v>
      </c>
      <c r="I38" s="201">
        <f ca="1">'Existing Stores--&gt;&gt;'!I38+'Inc_Stm_New_Stores---&gt;&gt;'!I64</f>
        <v>325000</v>
      </c>
      <c r="J38" s="201">
        <f ca="1">'Existing Stores--&gt;&gt;'!J38+'Inc_Stm_New_Stores---&gt;&gt;'!J64</f>
        <v>357500</v>
      </c>
      <c r="K38" s="201">
        <f ca="1">'Existing Stores--&gt;&gt;'!K38+'Inc_Stm_New_Stores---&gt;&gt;'!K64</f>
        <v>390000</v>
      </c>
      <c r="L38" s="201">
        <f ca="1">'Existing Stores--&gt;&gt;'!L38+'Inc_Stm_New_Stores---&gt;&gt;'!L64</f>
        <v>455000</v>
      </c>
      <c r="M38" s="201">
        <f ca="1">'Existing Stores--&gt;&gt;'!M38+'Inc_Stm_New_Stores---&gt;&gt;'!M64</f>
        <v>520000</v>
      </c>
      <c r="N38" s="201">
        <f ca="1">'Existing Stores--&gt;&gt;'!N38+'Inc_Stm_New_Stores---&gt;&gt;'!N64</f>
        <v>552500</v>
      </c>
      <c r="O38" s="201">
        <f ca="1">'Existing Stores--&gt;&gt;'!O38+'Inc_Stm_New_Stores---&gt;&gt;'!O64</f>
        <v>585000</v>
      </c>
      <c r="P38" s="201">
        <f ca="1">'Existing Stores--&gt;&gt;'!P38+'Inc_Stm_New_Stores---&gt;&gt;'!P64</f>
        <v>650000</v>
      </c>
      <c r="Q38" s="201">
        <f ca="1">'Existing Stores--&gt;&gt;'!Q38+'Inc_Stm_New_Stores---&gt;&gt;'!Q64</f>
        <v>715000</v>
      </c>
      <c r="R38" s="201">
        <f ca="1">'Existing Stores--&gt;&gt;'!R38+'Inc_Stm_New_Stores---&gt;&gt;'!R64</f>
        <v>747500</v>
      </c>
      <c r="S38" s="201">
        <f ca="1">'Existing Stores--&gt;&gt;'!S38+'Inc_Stm_New_Stores---&gt;&gt;'!S64</f>
        <v>780000</v>
      </c>
      <c r="T38" s="201">
        <f ca="1">'Existing Stores--&gt;&gt;'!T38+'Inc_Stm_New_Stores---&gt;&gt;'!T64</f>
        <v>845000</v>
      </c>
      <c r="U38" s="201">
        <f ca="1">'Existing Stores--&gt;&gt;'!U38+'Inc_Stm_New_Stores---&gt;&gt;'!U64</f>
        <v>910000</v>
      </c>
      <c r="V38" s="201">
        <f ca="1">'Existing Stores--&gt;&gt;'!V38+'Inc_Stm_New_Stores---&gt;&gt;'!V64</f>
        <v>942500</v>
      </c>
      <c r="W38" s="201">
        <f ca="1">'Existing Stores--&gt;&gt;'!W38+'Inc_Stm_New_Stores---&gt;&gt;'!W64</f>
        <v>975000</v>
      </c>
      <c r="X38" s="201">
        <f ca="1">'Existing Stores--&gt;&gt;'!X38+'Inc_Stm_New_Stores---&gt;&gt;'!X64</f>
        <v>1040000</v>
      </c>
      <c r="Y38" s="201">
        <f ca="1">'Existing Stores--&gt;&gt;'!Y38+'Inc_Stm_New_Stores---&gt;&gt;'!Y64</f>
        <v>1105000</v>
      </c>
      <c r="Z38" s="201">
        <f ca="1">'Existing Stores--&gt;&gt;'!Z38+'Inc_Stm_New_Stores---&gt;&gt;'!Z64</f>
        <v>1137500</v>
      </c>
    </row>
    <row r="39" spans="2:26" x14ac:dyDescent="0.2">
      <c r="C39" s="234"/>
      <c r="D39" s="233"/>
      <c r="E39" s="213"/>
      <c r="G39" s="209">
        <f>'Existing Stores--&gt;&gt;'!G39+'Inc_Stm_New_Stores---&gt;&gt;'!G65</f>
        <v>0</v>
      </c>
      <c r="H39" s="209">
        <f>'Existing Stores--&gt;&gt;'!H39+'Inc_Stm_New_Stores---&gt;&gt;'!H65</f>
        <v>0</v>
      </c>
      <c r="I39" s="209">
        <f>'Existing Stores--&gt;&gt;'!I39+'Inc_Stm_New_Stores---&gt;&gt;'!I65</f>
        <v>0</v>
      </c>
      <c r="J39" s="209">
        <f>'Existing Stores--&gt;&gt;'!J39+'Inc_Stm_New_Stores---&gt;&gt;'!J65</f>
        <v>0</v>
      </c>
      <c r="K39" s="209">
        <f>'Existing Stores--&gt;&gt;'!K39+'Inc_Stm_New_Stores---&gt;&gt;'!K65</f>
        <v>0</v>
      </c>
      <c r="L39" s="209">
        <f>'Existing Stores--&gt;&gt;'!L39+'Inc_Stm_New_Stores---&gt;&gt;'!L65</f>
        <v>0</v>
      </c>
      <c r="M39" s="209">
        <f>'Existing Stores--&gt;&gt;'!M39+'Inc_Stm_New_Stores---&gt;&gt;'!M65</f>
        <v>0</v>
      </c>
      <c r="N39" s="209">
        <f>'Existing Stores--&gt;&gt;'!N39+'Inc_Stm_New_Stores---&gt;&gt;'!N65</f>
        <v>0</v>
      </c>
      <c r="O39" s="209">
        <f>'Existing Stores--&gt;&gt;'!O39+'Inc_Stm_New_Stores---&gt;&gt;'!O65</f>
        <v>0</v>
      </c>
      <c r="P39" s="209">
        <f>'Existing Stores--&gt;&gt;'!P39+'Inc_Stm_New_Stores---&gt;&gt;'!P65</f>
        <v>0</v>
      </c>
      <c r="Q39" s="209">
        <f>'Existing Stores--&gt;&gt;'!Q39+'Inc_Stm_New_Stores---&gt;&gt;'!Q65</f>
        <v>0</v>
      </c>
      <c r="R39" s="209">
        <f>'Existing Stores--&gt;&gt;'!R39+'Inc_Stm_New_Stores---&gt;&gt;'!R65</f>
        <v>0</v>
      </c>
      <c r="S39" s="209">
        <f>'Existing Stores--&gt;&gt;'!S39+'Inc_Stm_New_Stores---&gt;&gt;'!S65</f>
        <v>0</v>
      </c>
      <c r="T39" s="209">
        <f>'Existing Stores--&gt;&gt;'!T39+'Inc_Stm_New_Stores---&gt;&gt;'!T65</f>
        <v>0</v>
      </c>
      <c r="U39" s="209">
        <f>'Existing Stores--&gt;&gt;'!U39+'Inc_Stm_New_Stores---&gt;&gt;'!U65</f>
        <v>0</v>
      </c>
      <c r="V39" s="209">
        <f>'Existing Stores--&gt;&gt;'!V39+'Inc_Stm_New_Stores---&gt;&gt;'!V65</f>
        <v>0</v>
      </c>
      <c r="W39" s="209">
        <f>'Existing Stores--&gt;&gt;'!W39+'Inc_Stm_New_Stores---&gt;&gt;'!W65</f>
        <v>0</v>
      </c>
      <c r="X39" s="209">
        <f>'Existing Stores--&gt;&gt;'!X39+'Inc_Stm_New_Stores---&gt;&gt;'!X65</f>
        <v>0</v>
      </c>
      <c r="Y39" s="209">
        <f>'Existing Stores--&gt;&gt;'!Y39+'Inc_Stm_New_Stores---&gt;&gt;'!Y65</f>
        <v>0</v>
      </c>
      <c r="Z39" s="209">
        <f>'Existing Stores--&gt;&gt;'!Z39+'Inc_Stm_New_Stores---&gt;&gt;'!Z65</f>
        <v>0</v>
      </c>
    </row>
    <row r="40" spans="2:26" x14ac:dyDescent="0.2">
      <c r="B40" s="67" t="s">
        <v>205</v>
      </c>
      <c r="C40" s="236"/>
      <c r="D40" s="237"/>
      <c r="E40" s="213"/>
      <c r="G40" s="206">
        <f ca="1">'Existing Stores--&gt;&gt;'!G40+'Inc_Stm_New_Stores---&gt;&gt;'!G66</f>
        <v>849024.24987837486</v>
      </c>
      <c r="H40" s="206">
        <f ca="1">'Existing Stores--&gt;&gt;'!H40+'Inc_Stm_New_Stores---&gt;&gt;'!H66</f>
        <v>938507.83103417326</v>
      </c>
      <c r="I40" s="206">
        <f ca="1">'Existing Stores--&gt;&gt;'!I40+'Inc_Stm_New_Stores---&gt;&gt;'!I66</f>
        <v>1029605.8084804621</v>
      </c>
      <c r="J40" s="206">
        <f ca="1">'Existing Stores--&gt;&gt;'!J40+'Inc_Stm_New_Stores---&gt;&gt;'!J66</f>
        <v>1081325.5193111436</v>
      </c>
      <c r="K40" s="206">
        <f ca="1">'Existing Stores--&gt;&gt;'!K40+'Inc_Stm_New_Stores---&gt;&gt;'!K66</f>
        <v>1133903.9658011668</v>
      </c>
      <c r="L40" s="206">
        <f ca="1">'Existing Stores--&gt;&gt;'!L40+'Inc_Stm_New_Stores---&gt;&gt;'!L66</f>
        <v>1228352.4282687861</v>
      </c>
      <c r="M40" s="206">
        <f ca="1">'Existing Stores--&gt;&gt;'!M40+'Inc_Stm_New_Stores---&gt;&gt;'!M66</f>
        <v>1324452.6625343668</v>
      </c>
      <c r="N40" s="206">
        <f ca="1">'Existing Stores--&gt;&gt;'!N40+'Inc_Stm_New_Stores---&gt;&gt;'!N66</f>
        <v>1381212.2881251783</v>
      </c>
      <c r="O40" s="206">
        <f ca="1">'Existing Stores--&gt;&gt;'!O40+'Inc_Stm_New_Stores---&gt;&gt;'!O66</f>
        <v>1438868.5918917994</v>
      </c>
      <c r="P40" s="206">
        <f ca="1">'Existing Stores--&gt;&gt;'!P40+'Inc_Stm_New_Stores---&gt;&gt;'!P66</f>
        <v>1538433.1408867012</v>
      </c>
      <c r="Q40" s="206">
        <f ca="1">'Existing Stores--&gt;&gt;'!Q40+'Inc_Stm_New_Stores---&gt;&gt;'!Q66</f>
        <v>1639687.9798394917</v>
      </c>
      <c r="R40" s="206">
        <f ca="1">'Existing Stores--&gt;&gt;'!R40+'Inc_Stm_New_Stores---&gt;&gt;'!R66</f>
        <v>1701641.0193782842</v>
      </c>
      <c r="S40" s="206">
        <f ca="1">'Existing Stores--&gt;&gt;'!S40+'Inc_Stm_New_Stores---&gt;&gt;'!S66</f>
        <v>1764529.8396627982</v>
      </c>
      <c r="T40" s="206">
        <f ca="1">'Existing Stores--&gt;&gt;'!T40+'Inc_Stm_New_Stores---&gt;&gt;'!T66</f>
        <v>1869366.3032797673</v>
      </c>
      <c r="U40" s="206">
        <f ca="1">'Existing Stores--&gt;&gt;'!U40+'Inc_Stm_New_Stores---&gt;&gt;'!U66</f>
        <v>1975932.7527351377</v>
      </c>
      <c r="V40" s="206">
        <f ca="1">'Existing Stores--&gt;&gt;'!V40+'Inc_Stm_New_Stores---&gt;&gt;'!V66</f>
        <v>2043237.3986925252</v>
      </c>
      <c r="W40" s="206">
        <f ca="1">'Existing Stores--&gt;&gt;'!W40+'Inc_Stm_New_Stores---&gt;&gt;'!W66</f>
        <v>2111518.1236235211</v>
      </c>
      <c r="X40" s="206">
        <f ca="1">'Existing Stores--&gt;&gt;'!X40+'Inc_Stm_New_Stores---&gt;&gt;'!X66</f>
        <v>2221787.0947204591</v>
      </c>
      <c r="Y40" s="206">
        <f ca="1">'Existing Stores--&gt;&gt;'!Y40+'Inc_Stm_New_Stores---&gt;&gt;'!Y66</f>
        <v>2333826.9614060875</v>
      </c>
      <c r="Z40" s="206">
        <f ca="1">'Existing Stores--&gt;&gt;'!Z40+'Inc_Stm_New_Stores---&gt;&gt;'!Z66</f>
        <v>2406646.2435896364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1FD9-1FA7-4198-8BBE-464E91BF9D9A}">
  <sheetPr>
    <tabColor rgb="FFFFC000"/>
  </sheetPr>
  <dimension ref="B2:Z40"/>
  <sheetViews>
    <sheetView workbookViewId="0">
      <selection activeCell="G8" sqref="G8:Z9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6" width="2.140625" style="1" customWidth="1"/>
    <col min="7" max="26" width="9.8554687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8" spans="2:26" x14ac:dyDescent="0.2">
      <c r="B8" s="197"/>
      <c r="C8" s="198"/>
      <c r="G8" s="199" t="s">
        <v>6</v>
      </c>
      <c r="H8" s="199"/>
      <c r="I8" s="199"/>
      <c r="J8" s="199"/>
      <c r="K8" s="199" t="s">
        <v>7</v>
      </c>
      <c r="L8" s="199"/>
      <c r="M8" s="199"/>
      <c r="N8" s="199"/>
      <c r="O8" s="199" t="s">
        <v>8</v>
      </c>
      <c r="P8" s="199"/>
      <c r="Q8" s="199"/>
      <c r="R8" s="199"/>
      <c r="S8" s="199" t="s">
        <v>9</v>
      </c>
      <c r="T8" s="199"/>
      <c r="U8" s="199"/>
      <c r="V8" s="199"/>
      <c r="W8" s="199" t="s">
        <v>10</v>
      </c>
      <c r="X8" s="199"/>
      <c r="Y8" s="199"/>
      <c r="Z8" s="199"/>
    </row>
    <row r="9" spans="2:26" x14ac:dyDescent="0.2">
      <c r="C9" s="200"/>
      <c r="D9" s="200"/>
      <c r="E9" s="200"/>
      <c r="G9" s="200" t="s">
        <v>11</v>
      </c>
      <c r="H9" s="200" t="s">
        <v>12</v>
      </c>
      <c r="I9" s="200" t="s">
        <v>13</v>
      </c>
      <c r="J9" s="200" t="s">
        <v>14</v>
      </c>
      <c r="K9" s="200" t="s">
        <v>11</v>
      </c>
      <c r="L9" s="200" t="s">
        <v>12</v>
      </c>
      <c r="M9" s="200" t="s">
        <v>13</v>
      </c>
      <c r="N9" s="200" t="s">
        <v>14</v>
      </c>
      <c r="O9" s="200" t="s">
        <v>11</v>
      </c>
      <c r="P9" s="200" t="s">
        <v>12</v>
      </c>
      <c r="Q9" s="200" t="s">
        <v>13</v>
      </c>
      <c r="R9" s="200" t="s">
        <v>14</v>
      </c>
      <c r="S9" s="200" t="s">
        <v>11</v>
      </c>
      <c r="T9" s="200" t="s">
        <v>12</v>
      </c>
      <c r="U9" s="200" t="s">
        <v>13</v>
      </c>
      <c r="V9" s="200" t="s">
        <v>14</v>
      </c>
      <c r="W9" s="200" t="s">
        <v>11</v>
      </c>
      <c r="X9" s="200" t="s">
        <v>12</v>
      </c>
      <c r="Y9" s="200" t="s">
        <v>13</v>
      </c>
      <c r="Z9" s="200" t="s">
        <v>14</v>
      </c>
    </row>
    <row r="10" spans="2:26" x14ac:dyDescent="0.2">
      <c r="B10" s="33" t="s">
        <v>15</v>
      </c>
      <c r="C10" s="201"/>
      <c r="D10" s="202"/>
      <c r="G10" s="201">
        <f>SUM(In:Out!G10)</f>
        <v>2800546.0924999998</v>
      </c>
      <c r="H10" s="201">
        <f>SUM(In:Out!H10)</f>
        <v>2817681.1745306244</v>
      </c>
      <c r="I10" s="201">
        <f>SUM(In:Out!I10)</f>
        <v>2834940.2403881424</v>
      </c>
      <c r="J10" s="201">
        <f>SUM(In:Out!J10)</f>
        <v>2852324.2929879557</v>
      </c>
      <c r="K10" s="201">
        <f>SUM(In:Out!K10)</f>
        <v>2869834.3439427111</v>
      </c>
      <c r="L10" s="201">
        <f>SUM(In:Out!L10)</f>
        <v>2887471.4136411306</v>
      </c>
      <c r="M10" s="201">
        <f>SUM(In:Out!M10)</f>
        <v>2905236.5313275885</v>
      </c>
      <c r="N10" s="201">
        <f>SUM(In:Out!N10)</f>
        <v>2923130.7351824204</v>
      </c>
      <c r="O10" s="201">
        <f>SUM(In:Out!O10)</f>
        <v>2941155.0724029923</v>
      </c>
      <c r="P10" s="201">
        <f>SUM(In:Out!P10)</f>
        <v>2959310.5992855188</v>
      </c>
      <c r="Q10" s="201">
        <f>SUM(In:Out!Q10)</f>
        <v>2977598.3813076499</v>
      </c>
      <c r="R10" s="201">
        <f>SUM(In:Out!R10)</f>
        <v>2996019.49321183</v>
      </c>
      <c r="S10" s="201">
        <f>SUM(In:Out!S10)</f>
        <v>3014575.0190894324</v>
      </c>
      <c r="T10" s="201">
        <f>SUM(In:Out!T10)</f>
        <v>3033266.0524656833</v>
      </c>
      <c r="U10" s="201">
        <f>SUM(In:Out!U10)</f>
        <v>3052093.696385378</v>
      </c>
      <c r="V10" s="201">
        <f>SUM(In:Out!V10)</f>
        <v>3071059.0634994004</v>
      </c>
      <c r="W10" s="201">
        <f>SUM(In:Out!W10)</f>
        <v>3090163.2761520473</v>
      </c>
      <c r="X10" s="201">
        <f>SUM(In:Out!X10)</f>
        <v>3109407.466469177</v>
      </c>
      <c r="Y10" s="201">
        <f>SUM(In:Out!Y10)</f>
        <v>3128792.7764471751</v>
      </c>
      <c r="Z10" s="201">
        <f>SUM(In:Out!Z10)</f>
        <v>3148320.3580427561</v>
      </c>
    </row>
    <row r="11" spans="2:26" x14ac:dyDescent="0.2">
      <c r="B11" s="33"/>
      <c r="C11" s="201"/>
      <c r="D11" s="202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2:26" x14ac:dyDescent="0.2">
      <c r="B12" s="1" t="s">
        <v>66</v>
      </c>
      <c r="C12" s="201"/>
      <c r="D12" s="233"/>
      <c r="E12" s="208"/>
      <c r="G12" s="201">
        <f>SUM(In:Out!G12)</f>
        <v>117617.15625</v>
      </c>
      <c r="H12" s="201">
        <f>SUM(In:Out!H12)</f>
        <v>118364.67267968749</v>
      </c>
      <c r="I12" s="201">
        <f>SUM(In:Out!I12)</f>
        <v>119117.59178517772</v>
      </c>
      <c r="J12" s="201">
        <f>SUM(In:Out!J12)</f>
        <v>119875.95642246606</v>
      </c>
      <c r="K12" s="201">
        <f>SUM(In:Out!K12)</f>
        <v>120639.80981062184</v>
      </c>
      <c r="L12" s="201">
        <f>SUM(In:Out!L12)</f>
        <v>121409.19553501153</v>
      </c>
      <c r="M12" s="201">
        <f>SUM(In:Out!M12)</f>
        <v>122184.15755055149</v>
      </c>
      <c r="N12" s="201">
        <f>SUM(In:Out!N12)</f>
        <v>122964.74018499063</v>
      </c>
      <c r="O12" s="201">
        <f>SUM(In:Out!O12)</f>
        <v>123750.98814222298</v>
      </c>
      <c r="P12" s="201">
        <f>SUM(In:Out!P12)</f>
        <v>124542.94650563115</v>
      </c>
      <c r="Q12" s="201">
        <f>SUM(In:Out!Q12)</f>
        <v>125340.66074145993</v>
      </c>
      <c r="R12" s="201">
        <f>SUM(In:Out!R12)</f>
        <v>126144.17670222145</v>
      </c>
      <c r="S12" s="201">
        <f>SUM(In:Out!S12)</f>
        <v>126953.54063013123</v>
      </c>
      <c r="T12" s="201">
        <f>SUM(In:Out!T12)</f>
        <v>127768.79916057602</v>
      </c>
      <c r="U12" s="201">
        <f>SUM(In:Out!U12)</f>
        <v>128589.99932561348</v>
      </c>
      <c r="V12" s="201">
        <f>SUM(In:Out!V12)</f>
        <v>129417.18855750398</v>
      </c>
      <c r="W12" s="201">
        <f>SUM(In:Out!W12)</f>
        <v>130250.4146922751</v>
      </c>
      <c r="X12" s="201">
        <f>SUM(In:Out!X12)</f>
        <v>131089.72597331859</v>
      </c>
      <c r="Y12" s="201">
        <f>SUM(In:Out!Y12)</f>
        <v>131935.17105502076</v>
      </c>
      <c r="Z12" s="201">
        <f>SUM(In:Out!Z12)</f>
        <v>132786.79900642618</v>
      </c>
    </row>
    <row r="13" spans="2:26" x14ac:dyDescent="0.2">
      <c r="B13" s="1" t="s">
        <v>69</v>
      </c>
      <c r="C13" s="201"/>
      <c r="D13" s="233"/>
      <c r="E13" s="208"/>
      <c r="G13" s="201">
        <f>SUM(In:Out!G13)</f>
        <v>511004.40300000005</v>
      </c>
      <c r="H13" s="201">
        <f>SUM(In:Out!H13)</f>
        <v>514252.09406024998</v>
      </c>
      <c r="I13" s="201">
        <f>SUM(In:Out!I13)</f>
        <v>517523.25781114481</v>
      </c>
      <c r="J13" s="201">
        <f>SUM(In:Out!J13)</f>
        <v>520818.08044662944</v>
      </c>
      <c r="K13" s="201">
        <f>SUM(In:Out!K13)</f>
        <v>524136.7497380753</v>
      </c>
      <c r="L13" s="201">
        <f>SUM(In:Out!L13)</f>
        <v>527479.45504828368</v>
      </c>
      <c r="M13" s="201">
        <f>SUM(In:Out!M13)</f>
        <v>530846.38734561752</v>
      </c>
      <c r="N13" s="201">
        <f>SUM(In:Out!N13)</f>
        <v>534237.73921826342</v>
      </c>
      <c r="O13" s="201">
        <f>SUM(In:Out!O13)</f>
        <v>537653.7048886246</v>
      </c>
      <c r="P13" s="201">
        <f>SUM(In:Out!P13)</f>
        <v>541094.48022784491</v>
      </c>
      <c r="Q13" s="201">
        <f>SUM(In:Out!Q13)</f>
        <v>544560.2627704686</v>
      </c>
      <c r="R13" s="201">
        <f>SUM(In:Out!R13)</f>
        <v>548051.25172923214</v>
      </c>
      <c r="S13" s="201">
        <f>SUM(In:Out!S13)</f>
        <v>551567.64800999395</v>
      </c>
      <c r="T13" s="201">
        <f>SUM(In:Out!T13)</f>
        <v>555109.65422680031</v>
      </c>
      <c r="U13" s="201">
        <f>SUM(In:Out!U13)</f>
        <v>558677.47471709095</v>
      </c>
      <c r="V13" s="201">
        <f>SUM(In:Out!V13)</f>
        <v>562271.31555704284</v>
      </c>
      <c r="W13" s="201">
        <f>SUM(In:Out!W13)</f>
        <v>565891.38457705616</v>
      </c>
      <c r="X13" s="201">
        <f>SUM(In:Out!X13)</f>
        <v>569537.89137738361</v>
      </c>
      <c r="Y13" s="201">
        <f>SUM(In:Out!Y13)</f>
        <v>573211.04734390113</v>
      </c>
      <c r="Z13" s="201">
        <f>SUM(In:Out!Z13)</f>
        <v>576911.06566402654</v>
      </c>
    </row>
    <row r="14" spans="2:26" x14ac:dyDescent="0.2">
      <c r="B14" s="67" t="s">
        <v>199</v>
      </c>
      <c r="C14" s="236"/>
      <c r="D14" s="237"/>
      <c r="E14" s="208"/>
      <c r="G14" s="211">
        <f>SUM(In:Out!G14)</f>
        <v>628621.55925000005</v>
      </c>
      <c r="H14" s="211">
        <f>SUM(In:Out!H14)</f>
        <v>632616.76673993748</v>
      </c>
      <c r="I14" s="211">
        <f>SUM(In:Out!I14)</f>
        <v>636640.84959632251</v>
      </c>
      <c r="J14" s="211">
        <f>SUM(In:Out!J14)</f>
        <v>640694.03686909552</v>
      </c>
      <c r="K14" s="211">
        <f>SUM(In:Out!K14)</f>
        <v>644776.5595486972</v>
      </c>
      <c r="L14" s="211">
        <f>SUM(In:Out!L14)</f>
        <v>648888.65058329527</v>
      </c>
      <c r="M14" s="211">
        <f>SUM(In:Out!M14)</f>
        <v>653030.54489616887</v>
      </c>
      <c r="N14" s="211">
        <f>SUM(In:Out!N14)</f>
        <v>657202.47940325411</v>
      </c>
      <c r="O14" s="211">
        <f>SUM(In:Out!O14)</f>
        <v>661404.69303084759</v>
      </c>
      <c r="P14" s="211">
        <f>SUM(In:Out!P14)</f>
        <v>665637.42673347611</v>
      </c>
      <c r="Q14" s="211">
        <f>SUM(In:Out!Q14)</f>
        <v>669900.92351192853</v>
      </c>
      <c r="R14" s="211">
        <f>SUM(In:Out!R14)</f>
        <v>674195.42843145353</v>
      </c>
      <c r="S14" s="211">
        <f>SUM(In:Out!S14)</f>
        <v>678521.1886401251</v>
      </c>
      <c r="T14" s="211">
        <f>SUM(In:Out!T14)</f>
        <v>682878.45338737627</v>
      </c>
      <c r="U14" s="211">
        <f>SUM(In:Out!U14)</f>
        <v>687267.47404270456</v>
      </c>
      <c r="V14" s="211">
        <f>SUM(In:Out!V14)</f>
        <v>691688.50411454681</v>
      </c>
      <c r="W14" s="211">
        <f>SUM(In:Out!W14)</f>
        <v>696141.79926933139</v>
      </c>
      <c r="X14" s="211">
        <f>SUM(In:Out!X14)</f>
        <v>700627.61735070217</v>
      </c>
      <c r="Y14" s="211">
        <f>SUM(In:Out!Y14)</f>
        <v>705146.21839892189</v>
      </c>
      <c r="Z14" s="211">
        <f>SUM(In:Out!Z14)</f>
        <v>709697.86467045266</v>
      </c>
    </row>
    <row r="15" spans="2:26" x14ac:dyDescent="0.2">
      <c r="C15" s="234"/>
      <c r="D15" s="233"/>
      <c r="E15" s="208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spans="2:26" x14ac:dyDescent="0.2">
      <c r="B16" s="1" t="s">
        <v>1</v>
      </c>
      <c r="C16" s="201"/>
      <c r="D16" s="233"/>
      <c r="E16" s="208"/>
      <c r="G16" s="201">
        <f>SUM(In:Out!G16)</f>
        <v>48403.860062249994</v>
      </c>
      <c r="H16" s="201">
        <f>SUM(In:Out!H16)</f>
        <v>48711.491038975175</v>
      </c>
      <c r="I16" s="201">
        <f>SUM(In:Out!I16)</f>
        <v>49021.345418916833</v>
      </c>
      <c r="J16" s="201">
        <f>SUM(In:Out!J16)</f>
        <v>49333.440838920345</v>
      </c>
      <c r="K16" s="201">
        <f>SUM(In:Out!K16)</f>
        <v>49647.79508524968</v>
      </c>
      <c r="L16" s="201">
        <f>SUM(In:Out!L16)</f>
        <v>49964.426094913732</v>
      </c>
      <c r="M16" s="201">
        <f>SUM(In:Out!M16)</f>
        <v>50283.351957005005</v>
      </c>
      <c r="N16" s="201">
        <f>SUM(In:Out!N16)</f>
        <v>50604.590914050561</v>
      </c>
      <c r="O16" s="201">
        <f>SUM(In:Out!O16)</f>
        <v>50928.161363375257</v>
      </c>
      <c r="P16" s="201">
        <f>SUM(In:Out!P16)</f>
        <v>51254.081858477657</v>
      </c>
      <c r="Q16" s="201">
        <f>SUM(In:Out!Q16)</f>
        <v>51582.371110418491</v>
      </c>
      <c r="R16" s="201">
        <f>SUM(In:Out!R16)</f>
        <v>51913.047989221915</v>
      </c>
      <c r="S16" s="201">
        <f>SUM(In:Out!S16)</f>
        <v>52246.131525289631</v>
      </c>
      <c r="T16" s="201">
        <f>SUM(In:Out!T16)</f>
        <v>52581.640910827977</v>
      </c>
      <c r="U16" s="201">
        <f>SUM(In:Out!U16)</f>
        <v>52919.59550128824</v>
      </c>
      <c r="V16" s="201">
        <f>SUM(In:Out!V16)</f>
        <v>53260.014816820105</v>
      </c>
      <c r="W16" s="201">
        <f>SUM(In:Out!W16)</f>
        <v>53602.918543738509</v>
      </c>
      <c r="X16" s="201">
        <f>SUM(In:Out!X16)</f>
        <v>53948.326536004068</v>
      </c>
      <c r="Y16" s="201">
        <f>SUM(In:Out!Y16)</f>
        <v>54296.258816716982</v>
      </c>
      <c r="Z16" s="201">
        <f>SUM(In:Out!Z16)</f>
        <v>54646.735579624852</v>
      </c>
    </row>
    <row r="17" spans="2:26" x14ac:dyDescent="0.2">
      <c r="B17" s="1" t="s">
        <v>0</v>
      </c>
      <c r="C17" s="201"/>
      <c r="D17" s="233"/>
      <c r="E17" s="208"/>
      <c r="G17" s="201">
        <f>SUM(In:Out!G17)</f>
        <v>28750</v>
      </c>
      <c r="H17" s="201">
        <f>SUM(In:Out!H17)</f>
        <v>28750</v>
      </c>
      <c r="I17" s="201">
        <f>SUM(In:Out!I17)</f>
        <v>28750</v>
      </c>
      <c r="J17" s="201">
        <f>SUM(In:Out!J17)</f>
        <v>28750</v>
      </c>
      <c r="K17" s="201">
        <f>SUM(In:Out!K17)</f>
        <v>28750</v>
      </c>
      <c r="L17" s="201">
        <f>SUM(In:Out!L17)</f>
        <v>28750</v>
      </c>
      <c r="M17" s="201">
        <f>SUM(In:Out!M17)</f>
        <v>28750</v>
      </c>
      <c r="N17" s="201">
        <f>SUM(In:Out!N17)</f>
        <v>28750</v>
      </c>
      <c r="O17" s="201">
        <f>SUM(In:Out!O17)</f>
        <v>28750</v>
      </c>
      <c r="P17" s="201">
        <f>SUM(In:Out!P17)</f>
        <v>28750</v>
      </c>
      <c r="Q17" s="201">
        <f>SUM(In:Out!Q17)</f>
        <v>28750</v>
      </c>
      <c r="R17" s="201">
        <f>SUM(In:Out!R17)</f>
        <v>28750</v>
      </c>
      <c r="S17" s="201">
        <f>SUM(In:Out!S17)</f>
        <v>28750</v>
      </c>
      <c r="T17" s="201">
        <f>SUM(In:Out!T17)</f>
        <v>28750</v>
      </c>
      <c r="U17" s="201">
        <f>SUM(In:Out!U17)</f>
        <v>28750</v>
      </c>
      <c r="V17" s="201">
        <f>SUM(In:Out!V17)</f>
        <v>28750</v>
      </c>
      <c r="W17" s="201">
        <f>SUM(In:Out!W17)</f>
        <v>28750</v>
      </c>
      <c r="X17" s="201">
        <f>SUM(In:Out!X17)</f>
        <v>28750</v>
      </c>
      <c r="Y17" s="201">
        <f>SUM(In:Out!Y17)</f>
        <v>28750</v>
      </c>
      <c r="Z17" s="201">
        <f>SUM(In:Out!Z17)</f>
        <v>28750</v>
      </c>
    </row>
    <row r="18" spans="2:26" x14ac:dyDescent="0.2">
      <c r="B18" s="1" t="s">
        <v>2</v>
      </c>
      <c r="C18" s="201"/>
      <c r="D18" s="233"/>
      <c r="E18" s="208"/>
      <c r="G18" s="201">
        <f>SUM(In:Out!G18)</f>
        <v>14143.985083124999</v>
      </c>
      <c r="H18" s="201">
        <f>SUM(In:Out!H18)</f>
        <v>14233.877251648591</v>
      </c>
      <c r="I18" s="201">
        <f>SUM(In:Out!I18)</f>
        <v>14324.419115917253</v>
      </c>
      <c r="J18" s="201">
        <f>SUM(In:Out!J18)</f>
        <v>14415.615829554645</v>
      </c>
      <c r="K18" s="201">
        <f>SUM(In:Out!K18)</f>
        <v>14507.472589845682</v>
      </c>
      <c r="L18" s="201">
        <f>SUM(In:Out!L18)</f>
        <v>14599.994638124139</v>
      </c>
      <c r="M18" s="201">
        <f>SUM(In:Out!M18)</f>
        <v>14693.187260163802</v>
      </c>
      <c r="N18" s="201">
        <f>SUM(In:Out!N18)</f>
        <v>14787.055786573217</v>
      </c>
      <c r="O18" s="201">
        <f>SUM(In:Out!O18)</f>
        <v>14881.605593194068</v>
      </c>
      <c r="P18" s="201">
        <f>SUM(In:Out!P18)</f>
        <v>14976.842101503211</v>
      </c>
      <c r="Q18" s="201">
        <f>SUM(In:Out!Q18)</f>
        <v>15072.77077901839</v>
      </c>
      <c r="R18" s="201">
        <f>SUM(In:Out!R18)</f>
        <v>15169.397139707704</v>
      </c>
      <c r="S18" s="201">
        <f>SUM(In:Out!S18)</f>
        <v>15266.726744402813</v>
      </c>
      <c r="T18" s="201">
        <f>SUM(In:Out!T18)</f>
        <v>15364.765201215969</v>
      </c>
      <c r="U18" s="201">
        <f>SUM(In:Out!U18)</f>
        <v>15463.51816596085</v>
      </c>
      <c r="V18" s="201">
        <f>SUM(In:Out!V18)</f>
        <v>15562.991342577301</v>
      </c>
      <c r="W18" s="201">
        <f>SUM(In:Out!W18)</f>
        <v>15663.190483559953</v>
      </c>
      <c r="X18" s="201">
        <f>SUM(In:Out!X18)</f>
        <v>15764.121390390797</v>
      </c>
      <c r="Y18" s="201">
        <f>SUM(In:Out!Y18)</f>
        <v>15865.789913975743</v>
      </c>
      <c r="Z18" s="201">
        <f>SUM(In:Out!Z18)</f>
        <v>15968.201955085182</v>
      </c>
    </row>
    <row r="19" spans="2:26" x14ac:dyDescent="0.2">
      <c r="B19" s="1" t="s">
        <v>3</v>
      </c>
      <c r="C19" s="201"/>
      <c r="D19" s="233"/>
      <c r="E19" s="208"/>
      <c r="G19" s="201">
        <f>SUM(In:Out!G19)</f>
        <v>14143.985083124999</v>
      </c>
      <c r="H19" s="201">
        <f>SUM(In:Out!H19)</f>
        <v>14233.877251648591</v>
      </c>
      <c r="I19" s="201">
        <f>SUM(In:Out!I19)</f>
        <v>14324.419115917253</v>
      </c>
      <c r="J19" s="201">
        <f>SUM(In:Out!J19)</f>
        <v>14415.615829554645</v>
      </c>
      <c r="K19" s="201">
        <f>SUM(In:Out!K19)</f>
        <v>14507.472589845682</v>
      </c>
      <c r="L19" s="201">
        <f>SUM(In:Out!L19)</f>
        <v>14599.994638124139</v>
      </c>
      <c r="M19" s="201">
        <f>SUM(In:Out!M19)</f>
        <v>14693.187260163802</v>
      </c>
      <c r="N19" s="201">
        <f>SUM(In:Out!N19)</f>
        <v>14787.055786573217</v>
      </c>
      <c r="O19" s="201">
        <f>SUM(In:Out!O19)</f>
        <v>14881.605593194068</v>
      </c>
      <c r="P19" s="201">
        <f>SUM(In:Out!P19)</f>
        <v>14976.842101503211</v>
      </c>
      <c r="Q19" s="201">
        <f>SUM(In:Out!Q19)</f>
        <v>15072.77077901839</v>
      </c>
      <c r="R19" s="201">
        <f>SUM(In:Out!R19)</f>
        <v>15169.397139707704</v>
      </c>
      <c r="S19" s="201">
        <f>SUM(In:Out!S19)</f>
        <v>15266.726744402813</v>
      </c>
      <c r="T19" s="201">
        <f>SUM(In:Out!T19)</f>
        <v>15364.765201215969</v>
      </c>
      <c r="U19" s="201">
        <f>SUM(In:Out!U19)</f>
        <v>15463.51816596085</v>
      </c>
      <c r="V19" s="201">
        <f>SUM(In:Out!V19)</f>
        <v>15562.991342577301</v>
      </c>
      <c r="W19" s="201">
        <f>SUM(In:Out!W19)</f>
        <v>15663.190483559953</v>
      </c>
      <c r="X19" s="201">
        <f>SUM(In:Out!X19)</f>
        <v>15764.121390390797</v>
      </c>
      <c r="Y19" s="201">
        <f>SUM(In:Out!Y19)</f>
        <v>15865.789913975743</v>
      </c>
      <c r="Z19" s="201">
        <f>SUM(In:Out!Z19)</f>
        <v>15968.201955085182</v>
      </c>
    </row>
    <row r="20" spans="2:26" x14ac:dyDescent="0.2">
      <c r="B20" s="1" t="s">
        <v>16</v>
      </c>
      <c r="C20" s="201"/>
      <c r="D20" s="233"/>
      <c r="E20" s="208"/>
      <c r="G20" s="201">
        <f>SUM(In:Out!G20)</f>
        <v>14143.985083124999</v>
      </c>
      <c r="H20" s="201">
        <f>SUM(In:Out!H20)</f>
        <v>14233.877251648591</v>
      </c>
      <c r="I20" s="201">
        <f>SUM(In:Out!I20)</f>
        <v>14324.419115917253</v>
      </c>
      <c r="J20" s="201">
        <f>SUM(In:Out!J20)</f>
        <v>14415.615829554645</v>
      </c>
      <c r="K20" s="201">
        <f>SUM(In:Out!K20)</f>
        <v>14507.472589845682</v>
      </c>
      <c r="L20" s="201">
        <f>SUM(In:Out!L20)</f>
        <v>14599.994638124139</v>
      </c>
      <c r="M20" s="201">
        <f>SUM(In:Out!M20)</f>
        <v>14693.187260163802</v>
      </c>
      <c r="N20" s="201">
        <f>SUM(In:Out!N20)</f>
        <v>14787.055786573217</v>
      </c>
      <c r="O20" s="201">
        <f>SUM(In:Out!O20)</f>
        <v>14881.605593194068</v>
      </c>
      <c r="P20" s="201">
        <f>SUM(In:Out!P20)</f>
        <v>14976.842101503211</v>
      </c>
      <c r="Q20" s="201">
        <f>SUM(In:Out!Q20)</f>
        <v>15072.77077901839</v>
      </c>
      <c r="R20" s="201">
        <f>SUM(In:Out!R20)</f>
        <v>15169.397139707704</v>
      </c>
      <c r="S20" s="201">
        <f>SUM(In:Out!S20)</f>
        <v>15266.726744402813</v>
      </c>
      <c r="T20" s="201">
        <f>SUM(In:Out!T20)</f>
        <v>15364.765201215969</v>
      </c>
      <c r="U20" s="201">
        <f>SUM(In:Out!U20)</f>
        <v>15463.51816596085</v>
      </c>
      <c r="V20" s="201">
        <f>SUM(In:Out!V20)</f>
        <v>15562.991342577301</v>
      </c>
      <c r="W20" s="201">
        <f>SUM(In:Out!W20)</f>
        <v>15663.190483559953</v>
      </c>
      <c r="X20" s="201">
        <f>SUM(In:Out!X20)</f>
        <v>15764.121390390797</v>
      </c>
      <c r="Y20" s="201">
        <f>SUM(In:Out!Y20)</f>
        <v>15865.789913975743</v>
      </c>
      <c r="Z20" s="201">
        <f>SUM(In:Out!Z20)</f>
        <v>15968.201955085182</v>
      </c>
    </row>
    <row r="21" spans="2:26" x14ac:dyDescent="0.2">
      <c r="B21" s="1" t="s">
        <v>4</v>
      </c>
      <c r="C21" s="201"/>
      <c r="D21" s="233"/>
      <c r="E21" s="208"/>
      <c r="G21" s="201">
        <f>SUM(In:Out!G21)</f>
        <v>28287.970166249997</v>
      </c>
      <c r="H21" s="201">
        <f>SUM(In:Out!H21)</f>
        <v>28467.754503297183</v>
      </c>
      <c r="I21" s="201">
        <f>SUM(In:Out!I21)</f>
        <v>28648.838231834507</v>
      </c>
      <c r="J21" s="201">
        <f>SUM(In:Out!J21)</f>
        <v>28831.231659109289</v>
      </c>
      <c r="K21" s="201">
        <f>SUM(In:Out!K21)</f>
        <v>29014.945179691364</v>
      </c>
      <c r="L21" s="201">
        <f>SUM(In:Out!L21)</f>
        <v>29199.989276248278</v>
      </c>
      <c r="M21" s="201">
        <f>SUM(In:Out!M21)</f>
        <v>29386.374520327605</v>
      </c>
      <c r="N21" s="201">
        <f>SUM(In:Out!N21)</f>
        <v>29574.111573146434</v>
      </c>
      <c r="O21" s="201">
        <f>SUM(In:Out!O21)</f>
        <v>29763.211186388136</v>
      </c>
      <c r="P21" s="201">
        <f>SUM(In:Out!P21)</f>
        <v>29953.684203006422</v>
      </c>
      <c r="Q21" s="201">
        <f>SUM(In:Out!Q21)</f>
        <v>30145.541558036781</v>
      </c>
      <c r="R21" s="201">
        <f>SUM(In:Out!R21)</f>
        <v>30338.794279415408</v>
      </c>
      <c r="S21" s="201">
        <f>SUM(In:Out!S21)</f>
        <v>30533.453488805626</v>
      </c>
      <c r="T21" s="201">
        <f>SUM(In:Out!T21)</f>
        <v>30729.530402431938</v>
      </c>
      <c r="U21" s="201">
        <f>SUM(In:Out!U21)</f>
        <v>30927.036331921699</v>
      </c>
      <c r="V21" s="201">
        <f>SUM(In:Out!V21)</f>
        <v>31125.982685154602</v>
      </c>
      <c r="W21" s="201">
        <f>SUM(In:Out!W21)</f>
        <v>31326.380967119905</v>
      </c>
      <c r="X21" s="201">
        <f>SUM(In:Out!X21)</f>
        <v>31528.242780781595</v>
      </c>
      <c r="Y21" s="201">
        <f>SUM(In:Out!Y21)</f>
        <v>31731.579827951486</v>
      </c>
      <c r="Z21" s="201">
        <f>SUM(In:Out!Z21)</f>
        <v>31936.403910170364</v>
      </c>
    </row>
    <row r="22" spans="2:26" x14ac:dyDescent="0.2">
      <c r="B22" s="67" t="s">
        <v>200</v>
      </c>
      <c r="C22" s="236"/>
      <c r="D22" s="237"/>
      <c r="E22" s="208"/>
      <c r="G22" s="201">
        <f>SUM(In:Out!G22)</f>
        <v>147873.78547787498</v>
      </c>
      <c r="H22" s="201">
        <f>SUM(In:Out!H22)</f>
        <v>148630.87729721813</v>
      </c>
      <c r="I22" s="201">
        <f>SUM(In:Out!I22)</f>
        <v>149393.44099850312</v>
      </c>
      <c r="J22" s="201">
        <f>SUM(In:Out!J22)</f>
        <v>150161.51998669357</v>
      </c>
      <c r="K22" s="201">
        <f>SUM(In:Out!K22)</f>
        <v>150935.15803447808</v>
      </c>
      <c r="L22" s="201">
        <f>SUM(In:Out!L22)</f>
        <v>151714.39928553443</v>
      </c>
      <c r="M22" s="201">
        <f>SUM(In:Out!M22)</f>
        <v>152499.28825782402</v>
      </c>
      <c r="N22" s="201">
        <f>SUM(In:Out!N22)</f>
        <v>153289.86984691664</v>
      </c>
      <c r="O22" s="201">
        <f>SUM(In:Out!O22)</f>
        <v>154086.18932934559</v>
      </c>
      <c r="P22" s="201">
        <f>SUM(In:Out!P22)</f>
        <v>154888.29236599372</v>
      </c>
      <c r="Q22" s="201">
        <f>SUM(In:Out!Q22)</f>
        <v>155696.22500551044</v>
      </c>
      <c r="R22" s="201">
        <f>SUM(In:Out!R22)</f>
        <v>156510.03368776044</v>
      </c>
      <c r="S22" s="201">
        <f>SUM(In:Out!S22)</f>
        <v>157329.7652473037</v>
      </c>
      <c r="T22" s="201">
        <f>SUM(In:Out!T22)</f>
        <v>158155.46691690784</v>
      </c>
      <c r="U22" s="201">
        <f>SUM(In:Out!U22)</f>
        <v>158987.18633109247</v>
      </c>
      <c r="V22" s="201">
        <f>SUM(In:Out!V22)</f>
        <v>159824.97152970661</v>
      </c>
      <c r="W22" s="201">
        <f>SUM(In:Out!W22)</f>
        <v>160668.87096153828</v>
      </c>
      <c r="X22" s="201">
        <f>SUM(In:Out!X22)</f>
        <v>161518.93348795807</v>
      </c>
      <c r="Y22" s="201">
        <f>SUM(In:Out!Y22)</f>
        <v>162375.20838659568</v>
      </c>
      <c r="Z22" s="201">
        <f>SUM(In:Out!Z22)</f>
        <v>163237.74535505078</v>
      </c>
    </row>
    <row r="23" spans="2:26" x14ac:dyDescent="0.2">
      <c r="B23" s="67" t="s">
        <v>201</v>
      </c>
      <c r="C23" s="236"/>
      <c r="D23" s="237"/>
      <c r="E23" s="208"/>
      <c r="G23" s="211">
        <f>G22+G14</f>
        <v>776495.34472787497</v>
      </c>
      <c r="H23" s="211">
        <f t="shared" ref="H23:Z23" si="0">H22+H14</f>
        <v>781247.64403715567</v>
      </c>
      <c r="I23" s="211">
        <f t="shared" si="0"/>
        <v>786034.29059482564</v>
      </c>
      <c r="J23" s="211">
        <f t="shared" si="0"/>
        <v>790855.55685578915</v>
      </c>
      <c r="K23" s="211">
        <f t="shared" si="0"/>
        <v>795711.71758317528</v>
      </c>
      <c r="L23" s="211">
        <f t="shared" si="0"/>
        <v>800603.04986882966</v>
      </c>
      <c r="M23" s="211">
        <f t="shared" si="0"/>
        <v>805529.83315399289</v>
      </c>
      <c r="N23" s="211">
        <f t="shared" si="0"/>
        <v>810492.34925017075</v>
      </c>
      <c r="O23" s="211">
        <f t="shared" si="0"/>
        <v>815490.88236019318</v>
      </c>
      <c r="P23" s="211">
        <f t="shared" si="0"/>
        <v>820525.71909946983</v>
      </c>
      <c r="Q23" s="211">
        <f t="shared" si="0"/>
        <v>825597.14851743891</v>
      </c>
      <c r="R23" s="211">
        <f t="shared" si="0"/>
        <v>830705.462119214</v>
      </c>
      <c r="S23" s="211">
        <f t="shared" si="0"/>
        <v>835850.95388742886</v>
      </c>
      <c r="T23" s="211">
        <f t="shared" si="0"/>
        <v>841033.92030428408</v>
      </c>
      <c r="U23" s="211">
        <f t="shared" si="0"/>
        <v>846254.66037379706</v>
      </c>
      <c r="V23" s="211">
        <f t="shared" si="0"/>
        <v>851513.47564425343</v>
      </c>
      <c r="W23" s="211">
        <f t="shared" si="0"/>
        <v>856810.67023086967</v>
      </c>
      <c r="X23" s="211">
        <f t="shared" si="0"/>
        <v>862146.55083866022</v>
      </c>
      <c r="Y23" s="211">
        <f t="shared" si="0"/>
        <v>867521.4267855176</v>
      </c>
      <c r="Z23" s="211">
        <f t="shared" si="0"/>
        <v>872935.61002550344</v>
      </c>
    </row>
    <row r="24" spans="2:26" x14ac:dyDescent="0.2">
      <c r="C24" s="234"/>
      <c r="D24" s="233"/>
      <c r="E24" s="208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2:26" x14ac:dyDescent="0.2">
      <c r="B25" s="1" t="s">
        <v>71</v>
      </c>
      <c r="C25" s="201"/>
      <c r="D25" s="233"/>
      <c r="E25" s="208"/>
      <c r="G25" s="201">
        <f>SUM(In:Out!G25)</f>
        <v>728141.98405000009</v>
      </c>
      <c r="H25" s="201">
        <f>SUM(In:Out!H25)</f>
        <v>732597.10537796235</v>
      </c>
      <c r="I25" s="201">
        <f>SUM(In:Out!I25)</f>
        <v>737084.46250091703</v>
      </c>
      <c r="J25" s="201">
        <f>SUM(In:Out!J25)</f>
        <v>741604.31617686851</v>
      </c>
      <c r="K25" s="201">
        <f>SUM(In:Out!K25)</f>
        <v>746156.92942510487</v>
      </c>
      <c r="L25" s="201">
        <f>SUM(In:Out!L25)</f>
        <v>750742.56754669396</v>
      </c>
      <c r="M25" s="201">
        <f>SUM(In:Out!M25)</f>
        <v>755361.49814517295</v>
      </c>
      <c r="N25" s="201">
        <f>SUM(In:Out!N25)</f>
        <v>760013.99114742933</v>
      </c>
      <c r="O25" s="201">
        <f>SUM(In:Out!O25)</f>
        <v>764700.31882477796</v>
      </c>
      <c r="P25" s="201">
        <f>SUM(In:Out!P25)</f>
        <v>769420.75581423473</v>
      </c>
      <c r="Q25" s="201">
        <f>SUM(In:Out!Q25)</f>
        <v>774175.5791399891</v>
      </c>
      <c r="R25" s="201">
        <f>SUM(In:Out!R25)</f>
        <v>778965.0682350758</v>
      </c>
      <c r="S25" s="201">
        <f>SUM(In:Out!S25)</f>
        <v>783789.50496325246</v>
      </c>
      <c r="T25" s="201">
        <f>SUM(In:Out!T25)</f>
        <v>788649.17364107771</v>
      </c>
      <c r="U25" s="201">
        <f>SUM(In:Out!U25)</f>
        <v>793544.3610601984</v>
      </c>
      <c r="V25" s="201">
        <f>SUM(In:Out!V25)</f>
        <v>798475.35650984419</v>
      </c>
      <c r="W25" s="201">
        <f>SUM(In:Out!W25)</f>
        <v>803442.4517995324</v>
      </c>
      <c r="X25" s="201">
        <f>SUM(In:Out!X25)</f>
        <v>808445.94128198619</v>
      </c>
      <c r="Y25" s="201">
        <f>SUM(In:Out!Y25)</f>
        <v>813486.1218762655</v>
      </c>
      <c r="Z25" s="201">
        <f>SUM(In:Out!Z25)</f>
        <v>818563.29309111671</v>
      </c>
    </row>
    <row r="26" spans="2:26" x14ac:dyDescent="0.2">
      <c r="B26" s="1" t="s">
        <v>72</v>
      </c>
      <c r="C26" s="201"/>
      <c r="D26" s="233"/>
      <c r="E26" s="208"/>
      <c r="G26" s="201">
        <f>SUM(In:Out!G26)</f>
        <v>84016.382774999991</v>
      </c>
      <c r="H26" s="201">
        <f>SUM(In:Out!H26)</f>
        <v>84530.435235918732</v>
      </c>
      <c r="I26" s="201">
        <f>SUM(In:Out!I26)</f>
        <v>85048.207211644272</v>
      </c>
      <c r="J26" s="201">
        <f>SUM(In:Out!J26)</f>
        <v>85569.72878963867</v>
      </c>
      <c r="K26" s="201">
        <f>SUM(In:Out!K26)</f>
        <v>86095.030318281308</v>
      </c>
      <c r="L26" s="201">
        <f>SUM(In:Out!L26)</f>
        <v>86624.142409233929</v>
      </c>
      <c r="M26" s="201">
        <f>SUM(In:Out!M26)</f>
        <v>87157.095939827646</v>
      </c>
      <c r="N26" s="201">
        <f>SUM(In:Out!N26)</f>
        <v>87693.922055472591</v>
      </c>
      <c r="O26" s="201">
        <f>SUM(In:Out!O26)</f>
        <v>88234.652172089773</v>
      </c>
      <c r="P26" s="201">
        <f>SUM(In:Out!P26)</f>
        <v>88779.317978565567</v>
      </c>
      <c r="Q26" s="201">
        <f>SUM(In:Out!Q26)</f>
        <v>89327.951439229495</v>
      </c>
      <c r="R26" s="201">
        <f>SUM(In:Out!R26)</f>
        <v>89880.584796354888</v>
      </c>
      <c r="S26" s="201">
        <f>SUM(In:Out!S26)</f>
        <v>90437.25057268297</v>
      </c>
      <c r="T26" s="201">
        <f>SUM(In:Out!T26)</f>
        <v>90997.981573970494</v>
      </c>
      <c r="U26" s="201">
        <f>SUM(In:Out!U26)</f>
        <v>91562.810891561356</v>
      </c>
      <c r="V26" s="201">
        <f>SUM(In:Out!V26)</f>
        <v>92131.771904982015</v>
      </c>
      <c r="W26" s="201">
        <f>SUM(In:Out!W26)</f>
        <v>92704.898284561408</v>
      </c>
      <c r="X26" s="201">
        <f>SUM(In:Out!X26)</f>
        <v>93282.223994075306</v>
      </c>
      <c r="Y26" s="201">
        <f>SUM(In:Out!Y26)</f>
        <v>93863.783293415239</v>
      </c>
      <c r="Z26" s="201">
        <f>SUM(In:Out!Z26)</f>
        <v>94449.610741282682</v>
      </c>
    </row>
    <row r="27" spans="2:26" x14ac:dyDescent="0.2">
      <c r="B27" s="67" t="s">
        <v>202</v>
      </c>
      <c r="C27" s="236"/>
      <c r="D27" s="237"/>
      <c r="E27" s="208"/>
      <c r="G27" s="211">
        <f>SUM(In:Out!G27)</f>
        <v>812158.36682499992</v>
      </c>
      <c r="H27" s="211">
        <f>SUM(In:Out!H27)</f>
        <v>817127.54061388108</v>
      </c>
      <c r="I27" s="211">
        <f>SUM(In:Out!I27)</f>
        <v>822132.6697125613</v>
      </c>
      <c r="J27" s="211">
        <f>SUM(In:Out!J27)</f>
        <v>827174.04496650724</v>
      </c>
      <c r="K27" s="211">
        <f>SUM(In:Out!K27)</f>
        <v>832251.95974338613</v>
      </c>
      <c r="L27" s="211">
        <f>SUM(In:Out!L27)</f>
        <v>837366.70995592792</v>
      </c>
      <c r="M27" s="211">
        <f>SUM(In:Out!M27)</f>
        <v>842518.59408500069</v>
      </c>
      <c r="N27" s="211">
        <f>SUM(In:Out!N27)</f>
        <v>847707.91320290195</v>
      </c>
      <c r="O27" s="211">
        <f>SUM(In:Out!O27)</f>
        <v>852934.97099686787</v>
      </c>
      <c r="P27" s="211">
        <f>SUM(In:Out!P27)</f>
        <v>858200.07379280042</v>
      </c>
      <c r="Q27" s="211">
        <f>SUM(In:Out!Q27)</f>
        <v>863503.53057921864</v>
      </c>
      <c r="R27" s="211">
        <f>SUM(In:Out!R27)</f>
        <v>868845.65303143067</v>
      </c>
      <c r="S27" s="211">
        <f>SUM(In:Out!S27)</f>
        <v>874226.7555359354</v>
      </c>
      <c r="T27" s="211">
        <f>SUM(In:Out!T27)</f>
        <v>879647.15521504823</v>
      </c>
      <c r="U27" s="211">
        <f>SUM(In:Out!U27)</f>
        <v>885107.17195175972</v>
      </c>
      <c r="V27" s="211">
        <f>SUM(In:Out!V27)</f>
        <v>890607.128414826</v>
      </c>
      <c r="W27" s="211">
        <f>SUM(In:Out!W27)</f>
        <v>896147.35008409387</v>
      </c>
      <c r="X27" s="211">
        <f>SUM(In:Out!X27)</f>
        <v>901728.16527606139</v>
      </c>
      <c r="Y27" s="211">
        <f>SUM(In:Out!Y27)</f>
        <v>907349.90516968071</v>
      </c>
      <c r="Z27" s="211">
        <f>SUM(In:Out!Z27)</f>
        <v>913012.90383239929</v>
      </c>
    </row>
    <row r="28" spans="2:26" x14ac:dyDescent="0.2">
      <c r="C28" s="234"/>
      <c r="D28" s="233"/>
      <c r="E28" s="208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</row>
    <row r="29" spans="2:26" x14ac:dyDescent="0.2">
      <c r="B29" s="1" t="s">
        <v>73</v>
      </c>
      <c r="C29" s="201"/>
      <c r="D29" s="233"/>
      <c r="E29" s="208"/>
      <c r="G29" s="201">
        <f>SUM(In:Out!G29)</f>
        <v>42008.191387499995</v>
      </c>
      <c r="H29" s="201">
        <f>SUM(In:Out!H29)</f>
        <v>42265.217617959366</v>
      </c>
      <c r="I29" s="201">
        <f>SUM(In:Out!I29)</f>
        <v>42524.103605822136</v>
      </c>
      <c r="J29" s="201">
        <f>SUM(In:Out!J29)</f>
        <v>42784.864394819335</v>
      </c>
      <c r="K29" s="201">
        <f>SUM(In:Out!K29)</f>
        <v>43047.515159140654</v>
      </c>
      <c r="L29" s="201">
        <f>SUM(In:Out!L29)</f>
        <v>43312.071204616965</v>
      </c>
      <c r="M29" s="201">
        <f>SUM(In:Out!M29)</f>
        <v>43578.547969913823</v>
      </c>
      <c r="N29" s="201">
        <f>SUM(In:Out!N29)</f>
        <v>43846.961027736295</v>
      </c>
      <c r="O29" s="201">
        <f>SUM(In:Out!O29)</f>
        <v>44117.326086044886</v>
      </c>
      <c r="P29" s="201">
        <f>SUM(In:Out!P29)</f>
        <v>44389.658989282783</v>
      </c>
      <c r="Q29" s="201">
        <f>SUM(In:Out!Q29)</f>
        <v>44663.975719614748</v>
      </c>
      <c r="R29" s="201">
        <f>SUM(In:Out!R29)</f>
        <v>44940.292398177444</v>
      </c>
      <c r="S29" s="201">
        <f>SUM(In:Out!S29)</f>
        <v>45218.625286341485</v>
      </c>
      <c r="T29" s="201">
        <f>SUM(In:Out!T29)</f>
        <v>45498.990786985247</v>
      </c>
      <c r="U29" s="201">
        <f>SUM(In:Out!U29)</f>
        <v>45781.405445780678</v>
      </c>
      <c r="V29" s="201">
        <f>SUM(In:Out!V29)</f>
        <v>46065.885952491008</v>
      </c>
      <c r="W29" s="201">
        <f>SUM(In:Out!W29)</f>
        <v>46352.449142280704</v>
      </c>
      <c r="X29" s="201">
        <f>SUM(In:Out!X29)</f>
        <v>46641.111997037653</v>
      </c>
      <c r="Y29" s="201">
        <f>SUM(In:Out!Y29)</f>
        <v>46931.89164670762</v>
      </c>
      <c r="Z29" s="201">
        <f>SUM(In:Out!Z29)</f>
        <v>47224.805370641341</v>
      </c>
    </row>
    <row r="30" spans="2:26" x14ac:dyDescent="0.2">
      <c r="B30" s="1" t="s">
        <v>74</v>
      </c>
      <c r="C30" s="201"/>
      <c r="D30" s="233"/>
      <c r="E30" s="208"/>
      <c r="G30" s="201">
        <f>SUM(In:Out!G30)</f>
        <v>56010.921849999999</v>
      </c>
      <c r="H30" s="201">
        <f>SUM(In:Out!H30)</f>
        <v>56353.623490612496</v>
      </c>
      <c r="I30" s="201">
        <f>SUM(In:Out!I30)</f>
        <v>56698.804807762848</v>
      </c>
      <c r="J30" s="201">
        <f>SUM(In:Out!J30)</f>
        <v>57046.485859759116</v>
      </c>
      <c r="K30" s="201">
        <f>SUM(In:Out!K30)</f>
        <v>57396.68687885422</v>
      </c>
      <c r="L30" s="201">
        <f>SUM(In:Out!L30)</f>
        <v>57749.428272822617</v>
      </c>
      <c r="M30" s="201">
        <f>SUM(In:Out!M30)</f>
        <v>58104.730626551769</v>
      </c>
      <c r="N30" s="201">
        <f>SUM(In:Out!N30)</f>
        <v>58462.614703648411</v>
      </c>
      <c r="O30" s="201">
        <f>SUM(In:Out!O30)</f>
        <v>58823.101448059846</v>
      </c>
      <c r="P30" s="201">
        <f>SUM(In:Out!P30)</f>
        <v>59186.211985710368</v>
      </c>
      <c r="Q30" s="201">
        <f>SUM(In:Out!Q30)</f>
        <v>59551.967626152997</v>
      </c>
      <c r="R30" s="201">
        <f>SUM(In:Out!R30)</f>
        <v>59920.389864236604</v>
      </c>
      <c r="S30" s="201">
        <f>SUM(In:Out!S30)</f>
        <v>60291.500381788654</v>
      </c>
      <c r="T30" s="201">
        <f>SUM(In:Out!T30)</f>
        <v>60665.321049313672</v>
      </c>
      <c r="U30" s="201">
        <f>SUM(In:Out!U30)</f>
        <v>61041.873927707566</v>
      </c>
      <c r="V30" s="201">
        <f>SUM(In:Out!V30)</f>
        <v>61421.18126998801</v>
      </c>
      <c r="W30" s="201">
        <f>SUM(In:Out!W30)</f>
        <v>61803.265523040951</v>
      </c>
      <c r="X30" s="201">
        <f>SUM(In:Out!X30)</f>
        <v>62188.149329383537</v>
      </c>
      <c r="Y30" s="201">
        <f>SUM(In:Out!Y30)</f>
        <v>62575.855528943503</v>
      </c>
      <c r="Z30" s="201">
        <f>SUM(In:Out!Z30)</f>
        <v>62966.407160855117</v>
      </c>
    </row>
    <row r="31" spans="2:26" x14ac:dyDescent="0.2">
      <c r="B31" s="1" t="s">
        <v>75</v>
      </c>
      <c r="C31" s="201"/>
      <c r="D31" s="233"/>
      <c r="E31" s="208"/>
      <c r="G31" s="201">
        <f>SUM(In:Out!G31)</f>
        <v>19603.822647500001</v>
      </c>
      <c r="H31" s="201">
        <f>SUM(In:Out!H31)</f>
        <v>19723.768221714374</v>
      </c>
      <c r="I31" s="201">
        <f>SUM(In:Out!I31)</f>
        <v>19844.581682716998</v>
      </c>
      <c r="J31" s="201">
        <f>SUM(In:Out!J31)</f>
        <v>19966.270050915693</v>
      </c>
      <c r="K31" s="201">
        <f>SUM(In:Out!K31)</f>
        <v>20088.840407598975</v>
      </c>
      <c r="L31" s="201">
        <f>SUM(In:Out!L31)</f>
        <v>20212.299895487915</v>
      </c>
      <c r="M31" s="201">
        <f>SUM(In:Out!M31)</f>
        <v>20336.655719293118</v>
      </c>
      <c r="N31" s="201">
        <f>SUM(In:Out!N31)</f>
        <v>20461.915146276944</v>
      </c>
      <c r="O31" s="201">
        <f>SUM(In:Out!O31)</f>
        <v>20588.085506820949</v>
      </c>
      <c r="P31" s="201">
        <f>SUM(In:Out!P31)</f>
        <v>20715.174194998628</v>
      </c>
      <c r="Q31" s="201">
        <f>SUM(In:Out!Q31)</f>
        <v>20843.188669153551</v>
      </c>
      <c r="R31" s="201">
        <f>SUM(In:Out!R31)</f>
        <v>20972.136452482813</v>
      </c>
      <c r="S31" s="201">
        <f>SUM(In:Out!S31)</f>
        <v>21102.025133626026</v>
      </c>
      <c r="T31" s="201">
        <f>SUM(In:Out!T31)</f>
        <v>21232.862367259786</v>
      </c>
      <c r="U31" s="201">
        <f>SUM(In:Out!U31)</f>
        <v>21364.655874697648</v>
      </c>
      <c r="V31" s="201">
        <f>SUM(In:Out!V31)</f>
        <v>21497.413444495804</v>
      </c>
      <c r="W31" s="201">
        <f>SUM(In:Out!W31)</f>
        <v>21631.142933064333</v>
      </c>
      <c r="X31" s="201">
        <f>SUM(In:Out!X31)</f>
        <v>21765.85226528424</v>
      </c>
      <c r="Y31" s="201">
        <f>SUM(In:Out!Y31)</f>
        <v>21901.549435130226</v>
      </c>
      <c r="Z31" s="201">
        <f>SUM(In:Out!Z31)</f>
        <v>22038.242506299292</v>
      </c>
    </row>
    <row r="32" spans="2:26" x14ac:dyDescent="0.2">
      <c r="B32" s="1" t="s">
        <v>76</v>
      </c>
      <c r="C32" s="201"/>
      <c r="D32" s="233"/>
      <c r="E32" s="208"/>
      <c r="G32" s="201">
        <f>SUM(In:Out!G32)</f>
        <v>20000</v>
      </c>
      <c r="H32" s="201">
        <f>SUM(In:Out!H32)</f>
        <v>20000</v>
      </c>
      <c r="I32" s="201">
        <f>SUM(In:Out!I32)</f>
        <v>20000</v>
      </c>
      <c r="J32" s="201">
        <f>SUM(In:Out!J32)</f>
        <v>20000</v>
      </c>
      <c r="K32" s="201">
        <f>SUM(In:Out!K32)</f>
        <v>20000</v>
      </c>
      <c r="L32" s="201">
        <f>SUM(In:Out!L32)</f>
        <v>20000</v>
      </c>
      <c r="M32" s="201">
        <f>SUM(In:Out!M32)</f>
        <v>20000</v>
      </c>
      <c r="N32" s="201">
        <f>SUM(In:Out!N32)</f>
        <v>20000</v>
      </c>
      <c r="O32" s="201">
        <f>SUM(In:Out!O32)</f>
        <v>20000</v>
      </c>
      <c r="P32" s="201">
        <f>SUM(In:Out!P32)</f>
        <v>20000</v>
      </c>
      <c r="Q32" s="201">
        <f>SUM(In:Out!Q32)</f>
        <v>20000</v>
      </c>
      <c r="R32" s="201">
        <f>SUM(In:Out!R32)</f>
        <v>20000</v>
      </c>
      <c r="S32" s="201">
        <f>SUM(In:Out!S32)</f>
        <v>20000</v>
      </c>
      <c r="T32" s="201">
        <f>SUM(In:Out!T32)</f>
        <v>20000</v>
      </c>
      <c r="U32" s="201">
        <f>SUM(In:Out!U32)</f>
        <v>20000</v>
      </c>
      <c r="V32" s="201">
        <f>SUM(In:Out!V32)</f>
        <v>20000</v>
      </c>
      <c r="W32" s="201">
        <f>SUM(In:Out!W32)</f>
        <v>20000</v>
      </c>
      <c r="X32" s="201">
        <f>SUM(In:Out!X32)</f>
        <v>20000</v>
      </c>
      <c r="Y32" s="201">
        <f>SUM(In:Out!Y32)</f>
        <v>20000</v>
      </c>
      <c r="Z32" s="201">
        <f>SUM(In:Out!Z32)</f>
        <v>20000</v>
      </c>
    </row>
    <row r="33" spans="2:26" x14ac:dyDescent="0.2">
      <c r="B33" s="1" t="s">
        <v>43</v>
      </c>
      <c r="C33" s="201"/>
      <c r="D33" s="233"/>
      <c r="E33" s="208"/>
      <c r="G33" s="201">
        <f>SUM(In:Out!G33)</f>
        <v>103750</v>
      </c>
      <c r="H33" s="201">
        <f>SUM(In:Out!H33)</f>
        <v>103750</v>
      </c>
      <c r="I33" s="201">
        <f>SUM(In:Out!I33)</f>
        <v>103750</v>
      </c>
      <c r="J33" s="201">
        <f>SUM(In:Out!J33)</f>
        <v>103750</v>
      </c>
      <c r="K33" s="201">
        <f>SUM(In:Out!K33)</f>
        <v>103750</v>
      </c>
      <c r="L33" s="201">
        <f>SUM(In:Out!L33)</f>
        <v>103750</v>
      </c>
      <c r="M33" s="201">
        <f>SUM(In:Out!M33)</f>
        <v>103750</v>
      </c>
      <c r="N33" s="201">
        <f>SUM(In:Out!N33)</f>
        <v>103750</v>
      </c>
      <c r="O33" s="201">
        <f>SUM(In:Out!O33)</f>
        <v>103750</v>
      </c>
      <c r="P33" s="201">
        <f>SUM(In:Out!P33)</f>
        <v>103750</v>
      </c>
      <c r="Q33" s="201">
        <f>SUM(In:Out!Q33)</f>
        <v>103750</v>
      </c>
      <c r="R33" s="201">
        <f>SUM(In:Out!R33)</f>
        <v>103750</v>
      </c>
      <c r="S33" s="201">
        <f>SUM(In:Out!S33)</f>
        <v>103750</v>
      </c>
      <c r="T33" s="201">
        <f>SUM(In:Out!T33)</f>
        <v>103750</v>
      </c>
      <c r="U33" s="201">
        <f>SUM(In:Out!U33)</f>
        <v>103750</v>
      </c>
      <c r="V33" s="201">
        <f>SUM(In:Out!V33)</f>
        <v>103750</v>
      </c>
      <c r="W33" s="201">
        <f>SUM(In:Out!W33)</f>
        <v>103750</v>
      </c>
      <c r="X33" s="201">
        <f>SUM(In:Out!X33)</f>
        <v>103750</v>
      </c>
      <c r="Y33" s="201">
        <f>SUM(In:Out!Y33)</f>
        <v>103750</v>
      </c>
      <c r="Z33" s="201">
        <f>SUM(In:Out!Z33)</f>
        <v>103750</v>
      </c>
    </row>
    <row r="34" spans="2:26" x14ac:dyDescent="0.2">
      <c r="B34" s="67" t="s">
        <v>203</v>
      </c>
      <c r="C34" s="236"/>
      <c r="D34" s="237"/>
      <c r="E34" s="208"/>
      <c r="G34" s="211">
        <f>SUM(In:Out!G34)</f>
        <v>241372.93588500001</v>
      </c>
      <c r="H34" s="211">
        <f>SUM(In:Out!H34)</f>
        <v>242092.60933028624</v>
      </c>
      <c r="I34" s="211">
        <f>SUM(In:Out!I34)</f>
        <v>242817.49009630198</v>
      </c>
      <c r="J34" s="211">
        <f>SUM(In:Out!J34)</f>
        <v>243547.62030549414</v>
      </c>
      <c r="K34" s="211">
        <f>SUM(In:Out!K34)</f>
        <v>244283.04244559383</v>
      </c>
      <c r="L34" s="211">
        <f>SUM(In:Out!L34)</f>
        <v>245023.79937292752</v>
      </c>
      <c r="M34" s="211">
        <f>SUM(In:Out!M34)</f>
        <v>245769.9343157587</v>
      </c>
      <c r="N34" s="211">
        <f>SUM(In:Out!N34)</f>
        <v>246521.49087766165</v>
      </c>
      <c r="O34" s="211">
        <f>SUM(In:Out!O34)</f>
        <v>247278.51304092567</v>
      </c>
      <c r="P34" s="211">
        <f>SUM(In:Out!P34)</f>
        <v>248041.04516999179</v>
      </c>
      <c r="Q34" s="211">
        <f>SUM(In:Out!Q34)</f>
        <v>248809.13201492128</v>
      </c>
      <c r="R34" s="211">
        <f>SUM(In:Out!R34)</f>
        <v>249582.81871489686</v>
      </c>
      <c r="S34" s="211">
        <f>SUM(In:Out!S34)</f>
        <v>250362.15080175619</v>
      </c>
      <c r="T34" s="211">
        <f>SUM(In:Out!T34)</f>
        <v>251147.17420355871</v>
      </c>
      <c r="U34" s="211">
        <f>SUM(In:Out!U34)</f>
        <v>251937.93524818588</v>
      </c>
      <c r="V34" s="211">
        <f>SUM(In:Out!V34)</f>
        <v>252734.48066697479</v>
      </c>
      <c r="W34" s="211">
        <f>SUM(In:Out!W34)</f>
        <v>253536.85759838598</v>
      </c>
      <c r="X34" s="211">
        <f>SUM(In:Out!X34)</f>
        <v>254345.11359170545</v>
      </c>
      <c r="Y34" s="211">
        <f>SUM(In:Out!Y34)</f>
        <v>255159.29661078134</v>
      </c>
      <c r="Z34" s="211">
        <f>SUM(In:Out!Z34)</f>
        <v>255979.45503779576</v>
      </c>
    </row>
    <row r="35" spans="2:26" x14ac:dyDescent="0.2">
      <c r="C35" s="234"/>
      <c r="D35" s="233"/>
      <c r="E35" s="208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spans="2:26" x14ac:dyDescent="0.2">
      <c r="B36" s="1" t="s">
        <v>42</v>
      </c>
      <c r="C36" s="201"/>
      <c r="D36" s="233"/>
      <c r="E36" s="208"/>
      <c r="G36" s="201">
        <f>SUM(In:Out!G36)</f>
        <v>125000</v>
      </c>
      <c r="H36" s="201">
        <f>SUM(In:Out!H36)</f>
        <v>125000</v>
      </c>
      <c r="I36" s="201">
        <f>SUM(In:Out!I36)</f>
        <v>125000</v>
      </c>
      <c r="J36" s="201">
        <f>SUM(In:Out!J36)</f>
        <v>125000</v>
      </c>
      <c r="K36" s="201">
        <f>SUM(In:Out!K36)</f>
        <v>125000</v>
      </c>
      <c r="L36" s="201">
        <f>SUM(In:Out!L36)</f>
        <v>125000</v>
      </c>
      <c r="M36" s="201">
        <f>SUM(In:Out!M36)</f>
        <v>125000</v>
      </c>
      <c r="N36" s="201">
        <f>SUM(In:Out!N36)</f>
        <v>125000</v>
      </c>
      <c r="O36" s="201">
        <f>SUM(In:Out!O36)</f>
        <v>125000</v>
      </c>
      <c r="P36" s="201">
        <f>SUM(In:Out!P36)</f>
        <v>125000</v>
      </c>
      <c r="Q36" s="201">
        <f>SUM(In:Out!Q36)</f>
        <v>125000</v>
      </c>
      <c r="R36" s="201">
        <f>SUM(In:Out!R36)</f>
        <v>125000</v>
      </c>
      <c r="S36" s="201">
        <f>SUM(In:Out!S36)</f>
        <v>125000</v>
      </c>
      <c r="T36" s="201">
        <f>SUM(In:Out!T36)</f>
        <v>125000</v>
      </c>
      <c r="U36" s="201">
        <f>SUM(In:Out!U36)</f>
        <v>125000</v>
      </c>
      <c r="V36" s="201">
        <f>SUM(In:Out!V36)</f>
        <v>125000</v>
      </c>
      <c r="W36" s="201">
        <f>SUM(In:Out!W36)</f>
        <v>125000</v>
      </c>
      <c r="X36" s="201">
        <f>SUM(In:Out!X36)</f>
        <v>125000</v>
      </c>
      <c r="Y36" s="201">
        <f>SUM(In:Out!Y36)</f>
        <v>125000</v>
      </c>
      <c r="Z36" s="201">
        <f>SUM(In:Out!Z36)</f>
        <v>125000</v>
      </c>
    </row>
    <row r="37" spans="2:26" x14ac:dyDescent="0.2">
      <c r="B37" s="1" t="s">
        <v>77</v>
      </c>
      <c r="C37" s="201"/>
      <c r="D37" s="233"/>
      <c r="E37" s="208"/>
      <c r="G37" s="201">
        <f>SUM(In:Out!G37)</f>
        <v>37500</v>
      </c>
      <c r="H37" s="201">
        <f>SUM(In:Out!H37)</f>
        <v>37500</v>
      </c>
      <c r="I37" s="201">
        <f>SUM(In:Out!I37)</f>
        <v>37500</v>
      </c>
      <c r="J37" s="201">
        <f>SUM(In:Out!J37)</f>
        <v>37500</v>
      </c>
      <c r="K37" s="201">
        <f>SUM(In:Out!K37)</f>
        <v>37500</v>
      </c>
      <c r="L37" s="201">
        <f>SUM(In:Out!L37)</f>
        <v>37500</v>
      </c>
      <c r="M37" s="201">
        <f>SUM(In:Out!M37)</f>
        <v>37500</v>
      </c>
      <c r="N37" s="201">
        <f>SUM(In:Out!N37)</f>
        <v>37500</v>
      </c>
      <c r="O37" s="201">
        <f>SUM(In:Out!O37)</f>
        <v>37500</v>
      </c>
      <c r="P37" s="201">
        <f>SUM(In:Out!P37)</f>
        <v>37500</v>
      </c>
      <c r="Q37" s="201">
        <f>SUM(In:Out!Q37)</f>
        <v>37500</v>
      </c>
      <c r="R37" s="201">
        <f>SUM(In:Out!R37)</f>
        <v>37500</v>
      </c>
      <c r="S37" s="201">
        <f>SUM(In:Out!S37)</f>
        <v>37500</v>
      </c>
      <c r="T37" s="201">
        <f>SUM(In:Out!T37)</f>
        <v>37500</v>
      </c>
      <c r="U37" s="201">
        <f>SUM(In:Out!U37)</f>
        <v>37500</v>
      </c>
      <c r="V37" s="201">
        <f>SUM(In:Out!V37)</f>
        <v>37500</v>
      </c>
      <c r="W37" s="201">
        <f>SUM(In:Out!W37)</f>
        <v>37500</v>
      </c>
      <c r="X37" s="201">
        <f>SUM(In:Out!X37)</f>
        <v>37500</v>
      </c>
      <c r="Y37" s="201">
        <f>SUM(In:Out!Y37)</f>
        <v>37500</v>
      </c>
      <c r="Z37" s="201">
        <f>SUM(In:Out!Z37)</f>
        <v>37500</v>
      </c>
    </row>
    <row r="38" spans="2:26" x14ac:dyDescent="0.2">
      <c r="B38" s="67" t="s">
        <v>204</v>
      </c>
      <c r="C38" s="236"/>
      <c r="D38" s="237"/>
      <c r="E38" s="213"/>
      <c r="G38" s="201">
        <f>SUM(In:Out!G38)</f>
        <v>162500</v>
      </c>
      <c r="H38" s="201">
        <f>SUM(In:Out!H38)</f>
        <v>162500</v>
      </c>
      <c r="I38" s="201">
        <f>SUM(In:Out!I38)</f>
        <v>162500</v>
      </c>
      <c r="J38" s="201">
        <f>SUM(In:Out!J38)</f>
        <v>162500</v>
      </c>
      <c r="K38" s="201">
        <f>SUM(In:Out!K38)</f>
        <v>162500</v>
      </c>
      <c r="L38" s="201">
        <f>SUM(In:Out!L38)</f>
        <v>162500</v>
      </c>
      <c r="M38" s="201">
        <f>SUM(In:Out!M38)</f>
        <v>162500</v>
      </c>
      <c r="N38" s="201">
        <f>SUM(In:Out!N38)</f>
        <v>162500</v>
      </c>
      <c r="O38" s="201">
        <f>SUM(In:Out!O38)</f>
        <v>162500</v>
      </c>
      <c r="P38" s="201">
        <f>SUM(In:Out!P38)</f>
        <v>162500</v>
      </c>
      <c r="Q38" s="201">
        <f>SUM(In:Out!Q38)</f>
        <v>162500</v>
      </c>
      <c r="R38" s="201">
        <f>SUM(In:Out!R38)</f>
        <v>162500</v>
      </c>
      <c r="S38" s="201">
        <f>SUM(In:Out!S38)</f>
        <v>162500</v>
      </c>
      <c r="T38" s="201">
        <f>SUM(In:Out!T38)</f>
        <v>162500</v>
      </c>
      <c r="U38" s="201">
        <f>SUM(In:Out!U38)</f>
        <v>162500</v>
      </c>
      <c r="V38" s="201">
        <f>SUM(In:Out!V38)</f>
        <v>162500</v>
      </c>
      <c r="W38" s="201">
        <f>SUM(In:Out!W38)</f>
        <v>162500</v>
      </c>
      <c r="X38" s="201">
        <f>SUM(In:Out!X38)</f>
        <v>162500</v>
      </c>
      <c r="Y38" s="201">
        <f>SUM(In:Out!Y38)</f>
        <v>162500</v>
      </c>
      <c r="Z38" s="201">
        <f>SUM(In:Out!Z38)</f>
        <v>162500</v>
      </c>
    </row>
    <row r="39" spans="2:26" x14ac:dyDescent="0.2">
      <c r="C39" s="234"/>
      <c r="D39" s="233"/>
      <c r="E39" s="213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</row>
    <row r="40" spans="2:26" x14ac:dyDescent="0.2">
      <c r="B40" s="67" t="s">
        <v>205</v>
      </c>
      <c r="C40" s="236"/>
      <c r="D40" s="237"/>
      <c r="E40" s="213"/>
      <c r="G40" s="206">
        <f>G10-G23-G27-G34-G38</f>
        <v>808019.44506212487</v>
      </c>
      <c r="H40" s="206">
        <f t="shared" ref="H40:Z40" si="1">H10-H23-H27-H34-H38</f>
        <v>814713.38054930139</v>
      </c>
      <c r="I40" s="206">
        <f t="shared" si="1"/>
        <v>821455.7899844537</v>
      </c>
      <c r="J40" s="206">
        <f t="shared" si="1"/>
        <v>828247.07086016517</v>
      </c>
      <c r="K40" s="206">
        <f t="shared" si="1"/>
        <v>835087.62417055585</v>
      </c>
      <c r="L40" s="206">
        <f t="shared" si="1"/>
        <v>841977.85444344557</v>
      </c>
      <c r="M40" s="206">
        <f t="shared" si="1"/>
        <v>848918.16977283615</v>
      </c>
      <c r="N40" s="206">
        <f t="shared" si="1"/>
        <v>855908.98185168603</v>
      </c>
      <c r="O40" s="206">
        <f t="shared" si="1"/>
        <v>862950.70600500586</v>
      </c>
      <c r="P40" s="206">
        <f t="shared" si="1"/>
        <v>870043.7612232567</v>
      </c>
      <c r="Q40" s="206">
        <f t="shared" si="1"/>
        <v>877188.57019607129</v>
      </c>
      <c r="R40" s="206">
        <f t="shared" si="1"/>
        <v>884385.55934628821</v>
      </c>
      <c r="S40" s="206">
        <f t="shared" si="1"/>
        <v>891635.15886431164</v>
      </c>
      <c r="T40" s="206">
        <f t="shared" si="1"/>
        <v>898937.80274279229</v>
      </c>
      <c r="U40" s="206">
        <f t="shared" si="1"/>
        <v>906293.92881163536</v>
      </c>
      <c r="V40" s="206">
        <f t="shared" si="1"/>
        <v>913703.9787733464</v>
      </c>
      <c r="W40" s="206">
        <f t="shared" si="1"/>
        <v>921168.39823869779</v>
      </c>
      <c r="X40" s="206">
        <f t="shared" si="1"/>
        <v>928687.63676274987</v>
      </c>
      <c r="Y40" s="206">
        <f t="shared" si="1"/>
        <v>936262.14788119541</v>
      </c>
      <c r="Z40" s="206">
        <f t="shared" si="1"/>
        <v>943892.38914705743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6473-1BB2-4FB8-8E2D-9C4C9BB307F0}">
  <sheetPr>
    <tabColor rgb="FF00B0F0"/>
  </sheetPr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FA71-BB70-4125-9A74-AF0DDBD3FA4D}">
  <sheetPr>
    <tabColor rgb="FF92D050"/>
  </sheetPr>
  <dimension ref="B2:Z40"/>
  <sheetViews>
    <sheetView topLeftCell="B19" zoomScaleNormal="100" workbookViewId="0">
      <selection activeCell="C6" sqref="C6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3" width="8.5703125" style="1" bestFit="1" customWidth="1"/>
    <col min="4" max="4" width="9.85546875" style="1" bestFit="1" customWidth="1"/>
    <col min="5" max="5" width="10.85546875" style="1" bestFit="1" customWidth="1"/>
    <col min="6" max="6" width="1.7109375" style="1" customWidth="1"/>
    <col min="7" max="26" width="8.570312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5" spans="2:26" x14ac:dyDescent="0.2">
      <c r="B5" s="229" t="s">
        <v>220</v>
      </c>
      <c r="C5" s="230" t="s">
        <v>82</v>
      </c>
    </row>
    <row r="6" spans="2:26" x14ac:dyDescent="0.2">
      <c r="B6" s="229" t="s">
        <v>221</v>
      </c>
      <c r="C6" s="232">
        <f>VLOOKUP($C$5,Inputs!$B$10:$C$14,2,FALSE)</f>
        <v>22100</v>
      </c>
    </row>
    <row r="7" spans="2:26" x14ac:dyDescent="0.2">
      <c r="B7" s="197" t="s">
        <v>209</v>
      </c>
      <c r="C7" s="231">
        <f>VLOOKUP($C$5,Inputs!$B$10:$D$14,3,FALSE)</f>
        <v>0.02</v>
      </c>
    </row>
    <row r="8" spans="2:26" x14ac:dyDescent="0.2">
      <c r="B8" s="197"/>
      <c r="C8" s="198"/>
      <c r="G8" s="199" t="s">
        <v>6</v>
      </c>
      <c r="H8" s="199"/>
      <c r="I8" s="199"/>
      <c r="J8" s="199"/>
      <c r="K8" s="199" t="s">
        <v>7</v>
      </c>
      <c r="L8" s="199"/>
      <c r="M8" s="199"/>
      <c r="N8" s="199"/>
      <c r="O8" s="199" t="s">
        <v>8</v>
      </c>
      <c r="P8" s="199"/>
      <c r="Q8" s="199"/>
      <c r="R8" s="199"/>
      <c r="S8" s="199" t="s">
        <v>9</v>
      </c>
      <c r="T8" s="199"/>
      <c r="U8" s="199"/>
      <c r="V8" s="199"/>
      <c r="W8" s="199" t="s">
        <v>10</v>
      </c>
      <c r="X8" s="199"/>
      <c r="Y8" s="199"/>
      <c r="Z8" s="199"/>
    </row>
    <row r="9" spans="2:26" x14ac:dyDescent="0.2">
      <c r="C9" s="200" t="s">
        <v>210</v>
      </c>
      <c r="D9" s="200" t="s">
        <v>211</v>
      </c>
      <c r="E9" s="200" t="s">
        <v>212</v>
      </c>
      <c r="G9" s="200" t="s">
        <v>11</v>
      </c>
      <c r="H9" s="200" t="s">
        <v>12</v>
      </c>
      <c r="I9" s="200" t="s">
        <v>13</v>
      </c>
      <c r="J9" s="200" t="s">
        <v>14</v>
      </c>
      <c r="K9" s="200" t="s">
        <v>11</v>
      </c>
      <c r="L9" s="200" t="s">
        <v>12</v>
      </c>
      <c r="M9" s="200" t="s">
        <v>13</v>
      </c>
      <c r="N9" s="200" t="s">
        <v>14</v>
      </c>
      <c r="O9" s="200" t="s">
        <v>11</v>
      </c>
      <c r="P9" s="200" t="s">
        <v>12</v>
      </c>
      <c r="Q9" s="200" t="s">
        <v>13</v>
      </c>
      <c r="R9" s="200" t="s">
        <v>14</v>
      </c>
      <c r="S9" s="200" t="s">
        <v>11</v>
      </c>
      <c r="T9" s="200" t="s">
        <v>12</v>
      </c>
      <c r="U9" s="200" t="s">
        <v>13</v>
      </c>
      <c r="V9" s="200" t="s">
        <v>14</v>
      </c>
      <c r="W9" s="200" t="s">
        <v>11</v>
      </c>
      <c r="X9" s="200" t="s">
        <v>12</v>
      </c>
      <c r="Y9" s="200" t="s">
        <v>13</v>
      </c>
      <c r="Z9" s="200" t="s">
        <v>14</v>
      </c>
    </row>
    <row r="10" spans="2:26" x14ac:dyDescent="0.2">
      <c r="B10" s="33" t="s">
        <v>15</v>
      </c>
      <c r="C10" s="201">
        <f>INDEX(ExistingTable,MATCH($B10,ExistingRow,0),MATCH(C$5,ExistingColumns,0))/4</f>
        <v>287300</v>
      </c>
      <c r="D10" s="202">
        <f>C10/$C$10</f>
        <v>1</v>
      </c>
      <c r="G10" s="201">
        <f>$C$10*(1+$C$7/4)</f>
        <v>288736.49999999994</v>
      </c>
      <c r="H10" s="201">
        <f>G10*(1+$C$7/4)</f>
        <v>290180.18249999994</v>
      </c>
      <c r="I10" s="201">
        <f t="shared" ref="I10:Z10" si="0">H10*(1+$C$7/4)</f>
        <v>291631.08341249992</v>
      </c>
      <c r="J10" s="201">
        <f t="shared" si="0"/>
        <v>293089.23882956238</v>
      </c>
      <c r="K10" s="201">
        <f t="shared" si="0"/>
        <v>294554.68502371019</v>
      </c>
      <c r="L10" s="201">
        <f t="shared" si="0"/>
        <v>296027.45844882872</v>
      </c>
      <c r="M10" s="201">
        <f t="shared" si="0"/>
        <v>297507.59574107284</v>
      </c>
      <c r="N10" s="201">
        <f t="shared" si="0"/>
        <v>298995.13371977815</v>
      </c>
      <c r="O10" s="201">
        <f t="shared" si="0"/>
        <v>300490.10938837699</v>
      </c>
      <c r="P10" s="201">
        <f t="shared" si="0"/>
        <v>301992.55993531883</v>
      </c>
      <c r="Q10" s="201">
        <f t="shared" si="0"/>
        <v>303502.52273499541</v>
      </c>
      <c r="R10" s="201">
        <f t="shared" si="0"/>
        <v>305020.03534867032</v>
      </c>
      <c r="S10" s="201">
        <f t="shared" si="0"/>
        <v>306545.13552541367</v>
      </c>
      <c r="T10" s="201">
        <f t="shared" si="0"/>
        <v>308077.86120304069</v>
      </c>
      <c r="U10" s="201">
        <f t="shared" si="0"/>
        <v>309618.25050905586</v>
      </c>
      <c r="V10" s="201">
        <f t="shared" si="0"/>
        <v>311166.3417616011</v>
      </c>
      <c r="W10" s="201">
        <f t="shared" si="0"/>
        <v>312722.17347040906</v>
      </c>
      <c r="X10" s="201">
        <f t="shared" si="0"/>
        <v>314285.78433776106</v>
      </c>
      <c r="Y10" s="201">
        <f t="shared" si="0"/>
        <v>315857.21325944981</v>
      </c>
      <c r="Z10" s="201">
        <f t="shared" si="0"/>
        <v>317436.49932574702</v>
      </c>
    </row>
    <row r="11" spans="2:26" x14ac:dyDescent="0.2">
      <c r="B11" s="33"/>
      <c r="C11" s="201"/>
      <c r="D11" s="202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2:26" x14ac:dyDescent="0.2">
      <c r="B12" s="1" t="s">
        <v>66</v>
      </c>
      <c r="C12" s="201">
        <f>INDEX(ExistingTable,MATCH($B12,ExistingRow,0),MATCH(C$5,ExistingColumns,0))/4</f>
        <v>23375</v>
      </c>
      <c r="D12" s="204">
        <f t="shared" ref="D12:D40" si="1">C12/$C$10</f>
        <v>8.1360946745562129E-2</v>
      </c>
      <c r="E12" s="205" t="str">
        <f>VLOOKUP($B12,Inputs!$B$60:$C$76,2,FALSE)</f>
        <v>Variable</v>
      </c>
      <c r="G12" s="203">
        <f>IF($E12="Variable",G$10*$D12,$C12)</f>
        <v>23491.874999999996</v>
      </c>
      <c r="H12" s="203">
        <f t="shared" ref="H12:Z13" si="2">IF($E12="Variable",H$10*$D12,$C12)</f>
        <v>23609.334374999995</v>
      </c>
      <c r="I12" s="203">
        <f t="shared" si="2"/>
        <v>23727.381046874994</v>
      </c>
      <c r="J12" s="203">
        <f t="shared" si="2"/>
        <v>23846.017952109367</v>
      </c>
      <c r="K12" s="203">
        <f t="shared" si="2"/>
        <v>23965.248041869912</v>
      </c>
      <c r="L12" s="203">
        <f t="shared" si="2"/>
        <v>24085.074282079258</v>
      </c>
      <c r="M12" s="203">
        <f t="shared" si="2"/>
        <v>24205.499653489653</v>
      </c>
      <c r="N12" s="203">
        <f t="shared" si="2"/>
        <v>24326.527151757098</v>
      </c>
      <c r="O12" s="203">
        <f t="shared" si="2"/>
        <v>24448.15978751588</v>
      </c>
      <c r="P12" s="203">
        <f t="shared" si="2"/>
        <v>24570.400586453456</v>
      </c>
      <c r="Q12" s="203">
        <f t="shared" si="2"/>
        <v>24693.25258938572</v>
      </c>
      <c r="R12" s="203">
        <f t="shared" si="2"/>
        <v>24816.718852332644</v>
      </c>
      <c r="S12" s="203">
        <f t="shared" si="2"/>
        <v>24940.802446594309</v>
      </c>
      <c r="T12" s="203">
        <f t="shared" si="2"/>
        <v>25065.506458827276</v>
      </c>
      <c r="U12" s="203">
        <f t="shared" si="2"/>
        <v>25190.83399112141</v>
      </c>
      <c r="V12" s="203">
        <f t="shared" si="2"/>
        <v>25316.788161077013</v>
      </c>
      <c r="W12" s="203">
        <f t="shared" si="2"/>
        <v>25443.372101882393</v>
      </c>
      <c r="X12" s="203">
        <f t="shared" si="2"/>
        <v>25570.588962391801</v>
      </c>
      <c r="Y12" s="203">
        <f t="shared" si="2"/>
        <v>25698.441907203756</v>
      </c>
      <c r="Z12" s="203">
        <f t="shared" si="2"/>
        <v>25826.934116739772</v>
      </c>
    </row>
    <row r="13" spans="2:26" x14ac:dyDescent="0.2">
      <c r="B13" s="1" t="s">
        <v>69</v>
      </c>
      <c r="C13" s="201">
        <f>INDEX(ExistingTable,MATCH($B13,ExistingRow,0),MATCH(C$5,ExistingColumns,0))/4</f>
        <v>101556</v>
      </c>
      <c r="D13" s="204">
        <f t="shared" si="1"/>
        <v>0.3534841628959276</v>
      </c>
      <c r="E13" s="205" t="str">
        <f>VLOOKUP($B13,Inputs!$B$60:$C$76,2,FALSE)</f>
        <v>Variable</v>
      </c>
      <c r="G13" s="203">
        <f>IF($E13="Variable",G$10*$D13,$C13)</f>
        <v>102063.77999999998</v>
      </c>
      <c r="H13" s="203">
        <f t="shared" si="2"/>
        <v>102574.09889999998</v>
      </c>
      <c r="I13" s="203">
        <f t="shared" si="2"/>
        <v>103086.96939449997</v>
      </c>
      <c r="J13" s="203">
        <f t="shared" si="2"/>
        <v>103602.40424147245</v>
      </c>
      <c r="K13" s="203">
        <f t="shared" si="2"/>
        <v>104120.41626267982</v>
      </c>
      <c r="L13" s="203">
        <f t="shared" si="2"/>
        <v>104641.01834399322</v>
      </c>
      <c r="M13" s="203">
        <f t="shared" si="2"/>
        <v>105164.22343571317</v>
      </c>
      <c r="N13" s="203">
        <f t="shared" si="2"/>
        <v>105690.04455289172</v>
      </c>
      <c r="O13" s="203">
        <f t="shared" si="2"/>
        <v>106218.49477565616</v>
      </c>
      <c r="P13" s="203">
        <f t="shared" si="2"/>
        <v>106749.58724953442</v>
      </c>
      <c r="Q13" s="203">
        <f t="shared" si="2"/>
        <v>107283.33518578208</v>
      </c>
      <c r="R13" s="203">
        <f t="shared" si="2"/>
        <v>107819.75186171097</v>
      </c>
      <c r="S13" s="203">
        <f t="shared" si="2"/>
        <v>108358.85062101953</v>
      </c>
      <c r="T13" s="203">
        <f t="shared" si="2"/>
        <v>108900.64487412461</v>
      </c>
      <c r="U13" s="203">
        <f t="shared" si="2"/>
        <v>109445.14809849522</v>
      </c>
      <c r="V13" s="203">
        <f t="shared" si="2"/>
        <v>109992.37383898768</v>
      </c>
      <c r="W13" s="203">
        <f t="shared" si="2"/>
        <v>110542.33570818261</v>
      </c>
      <c r="X13" s="203">
        <f t="shared" si="2"/>
        <v>111095.0473867235</v>
      </c>
      <c r="Y13" s="203">
        <f t="shared" si="2"/>
        <v>111650.5226236571</v>
      </c>
      <c r="Z13" s="203">
        <f t="shared" si="2"/>
        <v>112208.77523677537</v>
      </c>
    </row>
    <row r="14" spans="2:26" x14ac:dyDescent="0.2">
      <c r="B14" s="67" t="s">
        <v>199</v>
      </c>
      <c r="C14" s="206">
        <f>SUM(C12:C13)</f>
        <v>124931</v>
      </c>
      <c r="D14" s="207">
        <f t="shared" si="1"/>
        <v>0.43484510964148976</v>
      </c>
      <c r="E14" s="208"/>
      <c r="G14" s="206">
        <f>SUM(G12:G13)</f>
        <v>125555.65499999998</v>
      </c>
      <c r="H14" s="206">
        <f t="shared" ref="H14:Z14" si="3">SUM(H12:H13)</f>
        <v>126183.43327499997</v>
      </c>
      <c r="I14" s="206">
        <f t="shared" si="3"/>
        <v>126814.35044137496</v>
      </c>
      <c r="J14" s="206">
        <f t="shared" si="3"/>
        <v>127448.42219358182</v>
      </c>
      <c r="K14" s="206">
        <f t="shared" si="3"/>
        <v>128085.66430454973</v>
      </c>
      <c r="L14" s="206">
        <f t="shared" si="3"/>
        <v>128726.09262607247</v>
      </c>
      <c r="M14" s="206">
        <f t="shared" si="3"/>
        <v>129369.72308920282</v>
      </c>
      <c r="N14" s="206">
        <f t="shared" si="3"/>
        <v>130016.57170464881</v>
      </c>
      <c r="O14" s="206">
        <f t="shared" si="3"/>
        <v>130666.65456317204</v>
      </c>
      <c r="P14" s="206">
        <f t="shared" si="3"/>
        <v>131319.98783598788</v>
      </c>
      <c r="Q14" s="206">
        <f t="shared" si="3"/>
        <v>131976.58777516781</v>
      </c>
      <c r="R14" s="206">
        <f t="shared" si="3"/>
        <v>132636.47071404362</v>
      </c>
      <c r="S14" s="206">
        <f t="shared" si="3"/>
        <v>133299.65306761384</v>
      </c>
      <c r="T14" s="206">
        <f t="shared" si="3"/>
        <v>133966.15133295188</v>
      </c>
      <c r="U14" s="206">
        <f t="shared" si="3"/>
        <v>134635.98208961662</v>
      </c>
      <c r="V14" s="206">
        <f t="shared" si="3"/>
        <v>135309.16200006468</v>
      </c>
      <c r="W14" s="206">
        <f t="shared" si="3"/>
        <v>135985.70781006501</v>
      </c>
      <c r="X14" s="206">
        <f t="shared" si="3"/>
        <v>136665.63634911529</v>
      </c>
      <c r="Y14" s="206">
        <f t="shared" si="3"/>
        <v>137348.96453086086</v>
      </c>
      <c r="Z14" s="206">
        <f t="shared" si="3"/>
        <v>138035.70935351515</v>
      </c>
    </row>
    <row r="15" spans="2:26" x14ac:dyDescent="0.2">
      <c r="C15" s="203"/>
      <c r="D15" s="204"/>
      <c r="E15" s="208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spans="2:26" x14ac:dyDescent="0.2">
      <c r="B16" s="1" t="s">
        <v>1</v>
      </c>
      <c r="C16" s="201">
        <f t="shared" ref="C16:C21" si="4">INDEX(ExistingTable,MATCH($B16,ExistingRow,0),MATCH(C$5,ExistingColumns,0))/4</f>
        <v>9619.6869999999999</v>
      </c>
      <c r="D16" s="210">
        <f t="shared" si="1"/>
        <v>3.3483073442394706E-2</v>
      </c>
      <c r="E16" s="205" t="str">
        <f>VLOOKUP($B16,Inputs!$B$60:$C$76,2,FALSE)</f>
        <v>Variable</v>
      </c>
      <c r="G16" s="209">
        <f t="shared" ref="G16:V21" si="5">IF($E16="Variable",G$10*$D16,$C16)</f>
        <v>9667.785434999998</v>
      </c>
      <c r="H16" s="209">
        <f t="shared" si="5"/>
        <v>9716.1243621749963</v>
      </c>
      <c r="I16" s="209">
        <f t="shared" si="5"/>
        <v>9764.7049839858719</v>
      </c>
      <c r="J16" s="209">
        <f t="shared" si="5"/>
        <v>9813.5285089057998</v>
      </c>
      <c r="K16" s="209">
        <f t="shared" si="5"/>
        <v>9862.5961514503288</v>
      </c>
      <c r="L16" s="209">
        <f t="shared" si="5"/>
        <v>9911.9091322075801</v>
      </c>
      <c r="M16" s="209">
        <f t="shared" si="5"/>
        <v>9961.4686778686173</v>
      </c>
      <c r="N16" s="209">
        <f t="shared" si="5"/>
        <v>10011.276021257958</v>
      </c>
      <c r="O16" s="209">
        <f t="shared" si="5"/>
        <v>10061.332401364245</v>
      </c>
      <c r="P16" s="209">
        <f t="shared" si="5"/>
        <v>10111.639063371065</v>
      </c>
      <c r="Q16" s="209">
        <f t="shared" si="5"/>
        <v>10162.19725868792</v>
      </c>
      <c r="R16" s="209">
        <f t="shared" si="5"/>
        <v>10213.008244981358</v>
      </c>
      <c r="S16" s="209">
        <f t="shared" si="5"/>
        <v>10264.073286206265</v>
      </c>
      <c r="T16" s="209">
        <f t="shared" si="5"/>
        <v>10315.393652637295</v>
      </c>
      <c r="U16" s="209">
        <f t="shared" si="5"/>
        <v>10366.97062090048</v>
      </c>
      <c r="V16" s="209">
        <f t="shared" si="5"/>
        <v>10418.805474004981</v>
      </c>
      <c r="W16" s="209">
        <f t="shared" ref="W16:Z21" si="6">IF($E16="Variable",W$10*$D16,$C16)</f>
        <v>10470.899501375005</v>
      </c>
      <c r="X16" s="209">
        <f t="shared" si="6"/>
        <v>10523.253998881877</v>
      </c>
      <c r="Y16" s="209">
        <f t="shared" si="6"/>
        <v>10575.870268876284</v>
      </c>
      <c r="Z16" s="209">
        <f t="shared" si="6"/>
        <v>10628.749620220666</v>
      </c>
    </row>
    <row r="17" spans="2:26" x14ac:dyDescent="0.2">
      <c r="B17" s="1" t="s">
        <v>0</v>
      </c>
      <c r="C17" s="201">
        <f t="shared" si="4"/>
        <v>5750</v>
      </c>
      <c r="D17" s="210">
        <f t="shared" si="1"/>
        <v>2.0013922728854855E-2</v>
      </c>
      <c r="E17" s="205" t="str">
        <f>VLOOKUP($B17,Inputs!$B$60:$C$76,2,FALSE)</f>
        <v>Fixed</v>
      </c>
      <c r="G17" s="209">
        <f t="shared" si="5"/>
        <v>5750</v>
      </c>
      <c r="H17" s="209">
        <f t="shared" si="5"/>
        <v>5750</v>
      </c>
      <c r="I17" s="209">
        <f t="shared" si="5"/>
        <v>5750</v>
      </c>
      <c r="J17" s="209">
        <f t="shared" si="5"/>
        <v>5750</v>
      </c>
      <c r="K17" s="209">
        <f t="shared" si="5"/>
        <v>5750</v>
      </c>
      <c r="L17" s="209">
        <f t="shared" si="5"/>
        <v>5750</v>
      </c>
      <c r="M17" s="209">
        <f t="shared" si="5"/>
        <v>5750</v>
      </c>
      <c r="N17" s="209">
        <f t="shared" si="5"/>
        <v>5750</v>
      </c>
      <c r="O17" s="209">
        <f t="shared" si="5"/>
        <v>5750</v>
      </c>
      <c r="P17" s="209">
        <f t="shared" si="5"/>
        <v>5750</v>
      </c>
      <c r="Q17" s="209">
        <f t="shared" si="5"/>
        <v>5750</v>
      </c>
      <c r="R17" s="209">
        <f t="shared" si="5"/>
        <v>5750</v>
      </c>
      <c r="S17" s="209">
        <f t="shared" si="5"/>
        <v>5750</v>
      </c>
      <c r="T17" s="209">
        <f t="shared" si="5"/>
        <v>5750</v>
      </c>
      <c r="U17" s="209">
        <f t="shared" si="5"/>
        <v>5750</v>
      </c>
      <c r="V17" s="209">
        <f t="shared" si="5"/>
        <v>5750</v>
      </c>
      <c r="W17" s="209">
        <f t="shared" si="6"/>
        <v>5750</v>
      </c>
      <c r="X17" s="209">
        <f t="shared" si="6"/>
        <v>5750</v>
      </c>
      <c r="Y17" s="209">
        <f t="shared" si="6"/>
        <v>5750</v>
      </c>
      <c r="Z17" s="209">
        <f t="shared" si="6"/>
        <v>5750</v>
      </c>
    </row>
    <row r="18" spans="2:26" x14ac:dyDescent="0.2">
      <c r="B18" s="1" t="s">
        <v>2</v>
      </c>
      <c r="C18" s="201">
        <f t="shared" si="4"/>
        <v>2810.9474999999998</v>
      </c>
      <c r="D18" s="210">
        <f t="shared" si="1"/>
        <v>9.7840149669335182E-3</v>
      </c>
      <c r="E18" s="205" t="str">
        <f>VLOOKUP($B18,Inputs!$B$60:$C$76,2,FALSE)</f>
        <v>Variable</v>
      </c>
      <c r="G18" s="209">
        <f t="shared" si="5"/>
        <v>2825.0022374999994</v>
      </c>
      <c r="H18" s="209">
        <f t="shared" si="5"/>
        <v>2839.1272486874991</v>
      </c>
      <c r="I18" s="209">
        <f t="shared" si="5"/>
        <v>2853.3228849309367</v>
      </c>
      <c r="J18" s="209">
        <f t="shared" si="5"/>
        <v>2867.5894993555908</v>
      </c>
      <c r="K18" s="209">
        <f t="shared" si="5"/>
        <v>2881.9274468523686</v>
      </c>
      <c r="L18" s="209">
        <f t="shared" si="5"/>
        <v>2896.3370840866305</v>
      </c>
      <c r="M18" s="209">
        <f t="shared" si="5"/>
        <v>2910.8187695070633</v>
      </c>
      <c r="N18" s="209">
        <f t="shared" si="5"/>
        <v>2925.3728633545979</v>
      </c>
      <c r="O18" s="209">
        <f t="shared" si="5"/>
        <v>2939.9997276713707</v>
      </c>
      <c r="P18" s="209">
        <f t="shared" si="5"/>
        <v>2954.6997263097269</v>
      </c>
      <c r="Q18" s="209">
        <f t="shared" si="5"/>
        <v>2969.4732249412755</v>
      </c>
      <c r="R18" s="209">
        <f t="shared" si="5"/>
        <v>2984.3205910659813</v>
      </c>
      <c r="S18" s="209">
        <f t="shared" si="5"/>
        <v>2999.2421940213112</v>
      </c>
      <c r="T18" s="209">
        <f t="shared" si="5"/>
        <v>3014.2384049914172</v>
      </c>
      <c r="U18" s="209">
        <f t="shared" si="5"/>
        <v>3029.309597016374</v>
      </c>
      <c r="V18" s="209">
        <f t="shared" si="5"/>
        <v>3044.4561450014553</v>
      </c>
      <c r="W18" s="209">
        <f t="shared" si="6"/>
        <v>3059.6784257264621</v>
      </c>
      <c r="X18" s="209">
        <f t="shared" si="6"/>
        <v>3074.9768178550939</v>
      </c>
      <c r="Y18" s="209">
        <f t="shared" si="6"/>
        <v>3090.3517019443689</v>
      </c>
      <c r="Z18" s="209">
        <f t="shared" si="6"/>
        <v>3105.8034604540903</v>
      </c>
    </row>
    <row r="19" spans="2:26" x14ac:dyDescent="0.2">
      <c r="B19" s="1" t="s">
        <v>3</v>
      </c>
      <c r="C19" s="201">
        <f t="shared" si="4"/>
        <v>2810.9474999999998</v>
      </c>
      <c r="D19" s="210">
        <f t="shared" si="1"/>
        <v>9.7840149669335182E-3</v>
      </c>
      <c r="E19" s="205" t="str">
        <f>VLOOKUP($B19,Inputs!$B$60:$C$76,2,FALSE)</f>
        <v>Variable</v>
      </c>
      <c r="G19" s="209">
        <f t="shared" si="5"/>
        <v>2825.0022374999994</v>
      </c>
      <c r="H19" s="209">
        <f t="shared" si="5"/>
        <v>2839.1272486874991</v>
      </c>
      <c r="I19" s="209">
        <f t="shared" si="5"/>
        <v>2853.3228849309367</v>
      </c>
      <c r="J19" s="209">
        <f t="shared" si="5"/>
        <v>2867.5894993555908</v>
      </c>
      <c r="K19" s="209">
        <f t="shared" si="5"/>
        <v>2881.9274468523686</v>
      </c>
      <c r="L19" s="209">
        <f t="shared" si="5"/>
        <v>2896.3370840866305</v>
      </c>
      <c r="M19" s="209">
        <f t="shared" si="5"/>
        <v>2910.8187695070633</v>
      </c>
      <c r="N19" s="209">
        <f t="shared" si="5"/>
        <v>2925.3728633545979</v>
      </c>
      <c r="O19" s="209">
        <f t="shared" si="5"/>
        <v>2939.9997276713707</v>
      </c>
      <c r="P19" s="209">
        <f t="shared" si="5"/>
        <v>2954.6997263097269</v>
      </c>
      <c r="Q19" s="209">
        <f t="shared" si="5"/>
        <v>2969.4732249412755</v>
      </c>
      <c r="R19" s="209">
        <f t="shared" si="5"/>
        <v>2984.3205910659813</v>
      </c>
      <c r="S19" s="209">
        <f t="shared" si="5"/>
        <v>2999.2421940213112</v>
      </c>
      <c r="T19" s="209">
        <f t="shared" si="5"/>
        <v>3014.2384049914172</v>
      </c>
      <c r="U19" s="209">
        <f t="shared" si="5"/>
        <v>3029.309597016374</v>
      </c>
      <c r="V19" s="209">
        <f t="shared" si="5"/>
        <v>3044.4561450014553</v>
      </c>
      <c r="W19" s="209">
        <f t="shared" si="6"/>
        <v>3059.6784257264621</v>
      </c>
      <c r="X19" s="209">
        <f t="shared" si="6"/>
        <v>3074.9768178550939</v>
      </c>
      <c r="Y19" s="209">
        <f t="shared" si="6"/>
        <v>3090.3517019443689</v>
      </c>
      <c r="Z19" s="209">
        <f t="shared" si="6"/>
        <v>3105.8034604540903</v>
      </c>
    </row>
    <row r="20" spans="2:26" x14ac:dyDescent="0.2">
      <c r="B20" s="1" t="s">
        <v>16</v>
      </c>
      <c r="C20" s="201">
        <f t="shared" si="4"/>
        <v>2810.9474999999998</v>
      </c>
      <c r="D20" s="210">
        <f t="shared" si="1"/>
        <v>9.7840149669335182E-3</v>
      </c>
      <c r="E20" s="205" t="str">
        <f>VLOOKUP($B20,Inputs!$B$60:$C$76,2,FALSE)</f>
        <v>Variable</v>
      </c>
      <c r="G20" s="209">
        <f t="shared" si="5"/>
        <v>2825.0022374999994</v>
      </c>
      <c r="H20" s="209">
        <f t="shared" si="5"/>
        <v>2839.1272486874991</v>
      </c>
      <c r="I20" s="209">
        <f t="shared" si="5"/>
        <v>2853.3228849309367</v>
      </c>
      <c r="J20" s="209">
        <f t="shared" si="5"/>
        <v>2867.5894993555908</v>
      </c>
      <c r="K20" s="209">
        <f t="shared" si="5"/>
        <v>2881.9274468523686</v>
      </c>
      <c r="L20" s="209">
        <f t="shared" si="5"/>
        <v>2896.3370840866305</v>
      </c>
      <c r="M20" s="209">
        <f t="shared" si="5"/>
        <v>2910.8187695070633</v>
      </c>
      <c r="N20" s="209">
        <f t="shared" si="5"/>
        <v>2925.3728633545979</v>
      </c>
      <c r="O20" s="209">
        <f t="shared" si="5"/>
        <v>2939.9997276713707</v>
      </c>
      <c r="P20" s="209">
        <f t="shared" si="5"/>
        <v>2954.6997263097269</v>
      </c>
      <c r="Q20" s="209">
        <f t="shared" si="5"/>
        <v>2969.4732249412755</v>
      </c>
      <c r="R20" s="209">
        <f t="shared" si="5"/>
        <v>2984.3205910659813</v>
      </c>
      <c r="S20" s="209">
        <f t="shared" si="5"/>
        <v>2999.2421940213112</v>
      </c>
      <c r="T20" s="209">
        <f t="shared" si="5"/>
        <v>3014.2384049914172</v>
      </c>
      <c r="U20" s="209">
        <f t="shared" si="5"/>
        <v>3029.309597016374</v>
      </c>
      <c r="V20" s="209">
        <f t="shared" si="5"/>
        <v>3044.4561450014553</v>
      </c>
      <c r="W20" s="209">
        <f t="shared" si="6"/>
        <v>3059.6784257264621</v>
      </c>
      <c r="X20" s="209">
        <f t="shared" si="6"/>
        <v>3074.9768178550939</v>
      </c>
      <c r="Y20" s="209">
        <f t="shared" si="6"/>
        <v>3090.3517019443689</v>
      </c>
      <c r="Z20" s="209">
        <f t="shared" si="6"/>
        <v>3105.8034604540903</v>
      </c>
    </row>
    <row r="21" spans="2:26" x14ac:dyDescent="0.2">
      <c r="B21" s="1" t="s">
        <v>4</v>
      </c>
      <c r="C21" s="201">
        <f t="shared" si="4"/>
        <v>5621.8949999999995</v>
      </c>
      <c r="D21" s="210">
        <f t="shared" si="1"/>
        <v>1.9568029933867036E-2</v>
      </c>
      <c r="E21" s="205" t="str">
        <f>VLOOKUP($B21,Inputs!$B$60:$C$76,2,FALSE)</f>
        <v>Variable</v>
      </c>
      <c r="G21" s="209">
        <f t="shared" si="5"/>
        <v>5650.0044749999988</v>
      </c>
      <c r="H21" s="209">
        <f t="shared" si="5"/>
        <v>5678.2544973749982</v>
      </c>
      <c r="I21" s="209">
        <f t="shared" si="5"/>
        <v>5706.6457698618733</v>
      </c>
      <c r="J21" s="209">
        <f t="shared" si="5"/>
        <v>5735.1789987111815</v>
      </c>
      <c r="K21" s="209">
        <f t="shared" si="5"/>
        <v>5763.8548937047372</v>
      </c>
      <c r="L21" s="209">
        <f t="shared" si="5"/>
        <v>5792.674168173261</v>
      </c>
      <c r="M21" s="209">
        <f t="shared" si="5"/>
        <v>5821.6375390141266</v>
      </c>
      <c r="N21" s="209">
        <f t="shared" si="5"/>
        <v>5850.7457267091959</v>
      </c>
      <c r="O21" s="209">
        <f t="shared" si="5"/>
        <v>5879.9994553427414</v>
      </c>
      <c r="P21" s="209">
        <f t="shared" si="5"/>
        <v>5909.3994526194538</v>
      </c>
      <c r="Q21" s="209">
        <f t="shared" si="5"/>
        <v>5938.946449882551</v>
      </c>
      <c r="R21" s="209">
        <f t="shared" si="5"/>
        <v>5968.6411821319625</v>
      </c>
      <c r="S21" s="209">
        <f t="shared" si="5"/>
        <v>5998.4843880426224</v>
      </c>
      <c r="T21" s="209">
        <f t="shared" si="5"/>
        <v>6028.4768099828343</v>
      </c>
      <c r="U21" s="209">
        <f t="shared" si="5"/>
        <v>6058.6191940327481</v>
      </c>
      <c r="V21" s="209">
        <f t="shared" si="5"/>
        <v>6088.9122900029106</v>
      </c>
      <c r="W21" s="209">
        <f t="shared" si="6"/>
        <v>6119.3568514529243</v>
      </c>
      <c r="X21" s="209">
        <f t="shared" si="6"/>
        <v>6149.9536357101879</v>
      </c>
      <c r="Y21" s="209">
        <f t="shared" si="6"/>
        <v>6180.7034038887377</v>
      </c>
      <c r="Z21" s="209">
        <f t="shared" si="6"/>
        <v>6211.6069209081807</v>
      </c>
    </row>
    <row r="22" spans="2:26" x14ac:dyDescent="0.2">
      <c r="B22" s="67" t="s">
        <v>200</v>
      </c>
      <c r="C22" s="206">
        <f>SUM(C16:C21)</f>
        <v>29424.424499999997</v>
      </c>
      <c r="D22" s="207">
        <f t="shared" si="1"/>
        <v>0.10241707100591715</v>
      </c>
      <c r="E22" s="208"/>
      <c r="G22" s="206">
        <f>SUM(G16:G21)</f>
        <v>29542.796622499998</v>
      </c>
      <c r="H22" s="206">
        <f t="shared" ref="H22:Z22" si="7">SUM(H16:H21)</f>
        <v>29661.76060561249</v>
      </c>
      <c r="I22" s="206">
        <f t="shared" si="7"/>
        <v>29781.319408640557</v>
      </c>
      <c r="J22" s="206">
        <f t="shared" si="7"/>
        <v>29901.476005683755</v>
      </c>
      <c r="K22" s="206">
        <f t="shared" si="7"/>
        <v>30022.233385712174</v>
      </c>
      <c r="L22" s="206">
        <f t="shared" si="7"/>
        <v>30143.59455264073</v>
      </c>
      <c r="M22" s="206">
        <f t="shared" si="7"/>
        <v>30265.562525403933</v>
      </c>
      <c r="N22" s="206">
        <f t="shared" si="7"/>
        <v>30388.140338030949</v>
      </c>
      <c r="O22" s="206">
        <f t="shared" si="7"/>
        <v>30511.331039721095</v>
      </c>
      <c r="P22" s="206">
        <f t="shared" si="7"/>
        <v>30635.137694919697</v>
      </c>
      <c r="Q22" s="206">
        <f t="shared" si="7"/>
        <v>30759.563383394303</v>
      </c>
      <c r="R22" s="206">
        <f t="shared" si="7"/>
        <v>30884.611200311265</v>
      </c>
      <c r="S22" s="206">
        <f t="shared" si="7"/>
        <v>31010.284256312818</v>
      </c>
      <c r="T22" s="206">
        <f t="shared" si="7"/>
        <v>31136.585677594383</v>
      </c>
      <c r="U22" s="206">
        <f t="shared" si="7"/>
        <v>31263.51860598235</v>
      </c>
      <c r="V22" s="206">
        <f t="shared" si="7"/>
        <v>31391.086199012258</v>
      </c>
      <c r="W22" s="206">
        <f t="shared" si="7"/>
        <v>31519.291630007316</v>
      </c>
      <c r="X22" s="206">
        <f t="shared" si="7"/>
        <v>31648.13808815735</v>
      </c>
      <c r="Y22" s="206">
        <f t="shared" si="7"/>
        <v>31777.628778598126</v>
      </c>
      <c r="Z22" s="206">
        <f t="shared" si="7"/>
        <v>31907.766922491119</v>
      </c>
    </row>
    <row r="23" spans="2:26" x14ac:dyDescent="0.2">
      <c r="B23" s="67" t="s">
        <v>201</v>
      </c>
      <c r="C23" s="211">
        <f>C14+C22</f>
        <v>154355.42449999999</v>
      </c>
      <c r="D23" s="212">
        <f t="shared" si="1"/>
        <v>0.53726218064740683</v>
      </c>
      <c r="E23" s="208"/>
      <c r="G23" s="211">
        <f>G22+G14</f>
        <v>155098.45162249997</v>
      </c>
      <c r="H23" s="211">
        <f t="shared" ref="H23:Z23" si="8">H22+H14</f>
        <v>155845.19388061247</v>
      </c>
      <c r="I23" s="211">
        <f t="shared" si="8"/>
        <v>156595.66985001552</v>
      </c>
      <c r="J23" s="211">
        <f t="shared" si="8"/>
        <v>157349.89819926559</v>
      </c>
      <c r="K23" s="211">
        <f t="shared" si="8"/>
        <v>158107.89769026192</v>
      </c>
      <c r="L23" s="211">
        <f t="shared" si="8"/>
        <v>158869.68717871321</v>
      </c>
      <c r="M23" s="211">
        <f t="shared" si="8"/>
        <v>159635.28561460675</v>
      </c>
      <c r="N23" s="211">
        <f t="shared" si="8"/>
        <v>160404.71204267978</v>
      </c>
      <c r="O23" s="211">
        <f t="shared" si="8"/>
        <v>161177.98560289314</v>
      </c>
      <c r="P23" s="211">
        <f t="shared" si="8"/>
        <v>161955.12553090756</v>
      </c>
      <c r="Q23" s="211">
        <f t="shared" si="8"/>
        <v>162736.1511585621</v>
      </c>
      <c r="R23" s="211">
        <f t="shared" si="8"/>
        <v>163521.08191435487</v>
      </c>
      <c r="S23" s="211">
        <f t="shared" si="8"/>
        <v>164309.93732392666</v>
      </c>
      <c r="T23" s="211">
        <f t="shared" si="8"/>
        <v>165102.73701054626</v>
      </c>
      <c r="U23" s="211">
        <f t="shared" si="8"/>
        <v>165899.50069559898</v>
      </c>
      <c r="V23" s="211">
        <f t="shared" si="8"/>
        <v>166700.24819907694</v>
      </c>
      <c r="W23" s="211">
        <f t="shared" si="8"/>
        <v>167504.99944007234</v>
      </c>
      <c r="X23" s="211">
        <f t="shared" si="8"/>
        <v>168313.77443727263</v>
      </c>
      <c r="Y23" s="211">
        <f t="shared" si="8"/>
        <v>169126.59330945899</v>
      </c>
      <c r="Z23" s="211">
        <f t="shared" si="8"/>
        <v>169943.47627600626</v>
      </c>
    </row>
    <row r="24" spans="2:26" x14ac:dyDescent="0.2">
      <c r="C24" s="209"/>
      <c r="D24" s="210"/>
      <c r="E24" s="208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2:26" x14ac:dyDescent="0.2">
      <c r="B25" s="1" t="s">
        <v>71</v>
      </c>
      <c r="C25" s="201">
        <f>INDEX(ExistingTable,MATCH($B25,ExistingRow,0),MATCH(C$5,ExistingColumns,0))/4</f>
        <v>74698</v>
      </c>
      <c r="D25" s="210">
        <f t="shared" si="1"/>
        <v>0.26</v>
      </c>
      <c r="E25" s="205" t="str">
        <f>VLOOKUP($B25,Inputs!$B$60:$C$76,2,FALSE)</f>
        <v>Variable</v>
      </c>
      <c r="G25" s="209">
        <f>IF($E25="Variable",G$10*$D25,$C25)</f>
        <v>75071.489999999991</v>
      </c>
      <c r="H25" s="209">
        <f t="shared" ref="H25:Z26" si="9">IF($E25="Variable",H$10*$D25,$C25)</f>
        <v>75446.847449999987</v>
      </c>
      <c r="I25" s="209">
        <f t="shared" si="9"/>
        <v>75824.081687249985</v>
      </c>
      <c r="J25" s="209">
        <f t="shared" si="9"/>
        <v>76203.202095686225</v>
      </c>
      <c r="K25" s="209">
        <f t="shared" si="9"/>
        <v>76584.218106164655</v>
      </c>
      <c r="L25" s="209">
        <f t="shared" si="9"/>
        <v>76967.139196695469</v>
      </c>
      <c r="M25" s="209">
        <f t="shared" si="9"/>
        <v>77351.974892678947</v>
      </c>
      <c r="N25" s="209">
        <f t="shared" si="9"/>
        <v>77738.734767142319</v>
      </c>
      <c r="O25" s="209">
        <f t="shared" si="9"/>
        <v>78127.428440978023</v>
      </c>
      <c r="P25" s="209">
        <f t="shared" si="9"/>
        <v>78518.065583182892</v>
      </c>
      <c r="Q25" s="209">
        <f t="shared" si="9"/>
        <v>78910.655911098802</v>
      </c>
      <c r="R25" s="209">
        <f t="shared" si="9"/>
        <v>79305.209190654292</v>
      </c>
      <c r="S25" s="209">
        <f t="shared" si="9"/>
        <v>79701.735236607565</v>
      </c>
      <c r="T25" s="209">
        <f t="shared" si="9"/>
        <v>80100.243912790582</v>
      </c>
      <c r="U25" s="209">
        <f t="shared" si="9"/>
        <v>80500.745132354525</v>
      </c>
      <c r="V25" s="209">
        <f t="shared" si="9"/>
        <v>80903.24885801629</v>
      </c>
      <c r="W25" s="209">
        <f t="shared" si="9"/>
        <v>81307.765102306366</v>
      </c>
      <c r="X25" s="209">
        <f t="shared" si="9"/>
        <v>81714.303927817877</v>
      </c>
      <c r="Y25" s="209">
        <f t="shared" si="9"/>
        <v>82122.875447456958</v>
      </c>
      <c r="Z25" s="209">
        <f t="shared" si="9"/>
        <v>82533.489824694232</v>
      </c>
    </row>
    <row r="26" spans="2:26" x14ac:dyDescent="0.2">
      <c r="B26" s="1" t="s">
        <v>72</v>
      </c>
      <c r="C26" s="201">
        <f>INDEX(ExistingTable,MATCH($B26,ExistingRow,0),MATCH(C$5,ExistingColumns,0))/4</f>
        <v>8619</v>
      </c>
      <c r="D26" s="210">
        <f t="shared" si="1"/>
        <v>0.03</v>
      </c>
      <c r="E26" s="205" t="str">
        <f>VLOOKUP($B26,Inputs!$B$60:$C$76,2,FALSE)</f>
        <v>Variable</v>
      </c>
      <c r="G26" s="209">
        <f>IF($E26="Variable",G$10*$D26,$C26)</f>
        <v>8662.0949999999975</v>
      </c>
      <c r="H26" s="209">
        <f t="shared" si="9"/>
        <v>8705.4054749999978</v>
      </c>
      <c r="I26" s="209">
        <f t="shared" si="9"/>
        <v>8748.9325023749971</v>
      </c>
      <c r="J26" s="209">
        <f t="shared" si="9"/>
        <v>8792.6771648868707</v>
      </c>
      <c r="K26" s="209">
        <f t="shared" si="9"/>
        <v>8836.640550711305</v>
      </c>
      <c r="L26" s="209">
        <f t="shared" si="9"/>
        <v>8880.8237534648615</v>
      </c>
      <c r="M26" s="209">
        <f t="shared" si="9"/>
        <v>8925.2278722321844</v>
      </c>
      <c r="N26" s="209">
        <f t="shared" si="9"/>
        <v>8969.8540115933447</v>
      </c>
      <c r="O26" s="209">
        <f t="shared" si="9"/>
        <v>9014.7032816513092</v>
      </c>
      <c r="P26" s="209">
        <f t="shared" si="9"/>
        <v>9059.7767980595654</v>
      </c>
      <c r="Q26" s="209">
        <f t="shared" si="9"/>
        <v>9105.0756820498627</v>
      </c>
      <c r="R26" s="209">
        <f t="shared" si="9"/>
        <v>9150.6010604601088</v>
      </c>
      <c r="S26" s="209">
        <f t="shared" si="9"/>
        <v>9196.3540657624089</v>
      </c>
      <c r="T26" s="209">
        <f t="shared" si="9"/>
        <v>9242.3358360912207</v>
      </c>
      <c r="U26" s="209">
        <f t="shared" si="9"/>
        <v>9288.5475152716754</v>
      </c>
      <c r="V26" s="209">
        <f t="shared" si="9"/>
        <v>9334.9902528480325</v>
      </c>
      <c r="W26" s="209">
        <f t="shared" si="9"/>
        <v>9381.6652041122707</v>
      </c>
      <c r="X26" s="209">
        <f t="shared" si="9"/>
        <v>9428.5735301328314</v>
      </c>
      <c r="Y26" s="209">
        <f t="shared" si="9"/>
        <v>9475.7163977834934</v>
      </c>
      <c r="Z26" s="209">
        <f t="shared" si="9"/>
        <v>9523.0949797724097</v>
      </c>
    </row>
    <row r="27" spans="2:26" x14ac:dyDescent="0.2">
      <c r="B27" s="67" t="s">
        <v>202</v>
      </c>
      <c r="C27" s="206">
        <f>SUM(C25:C26)</f>
        <v>83317</v>
      </c>
      <c r="D27" s="207">
        <f t="shared" si="1"/>
        <v>0.28999999999999998</v>
      </c>
      <c r="E27" s="208"/>
      <c r="G27" s="206">
        <f>SUM(G25:G26)</f>
        <v>83733.584999999992</v>
      </c>
      <c r="H27" s="206">
        <f t="shared" ref="H27:Z27" si="10">SUM(H25:H26)</f>
        <v>84152.252924999979</v>
      </c>
      <c r="I27" s="206">
        <f t="shared" si="10"/>
        <v>84573.014189624984</v>
      </c>
      <c r="J27" s="206">
        <f t="shared" si="10"/>
        <v>84995.8792605731</v>
      </c>
      <c r="K27" s="206">
        <f t="shared" si="10"/>
        <v>85420.858656875964</v>
      </c>
      <c r="L27" s="206">
        <f t="shared" si="10"/>
        <v>85847.962950160334</v>
      </c>
      <c r="M27" s="206">
        <f t="shared" si="10"/>
        <v>86277.202764911126</v>
      </c>
      <c r="N27" s="206">
        <f t="shared" si="10"/>
        <v>86708.588778735662</v>
      </c>
      <c r="O27" s="206">
        <f t="shared" si="10"/>
        <v>87142.131722629332</v>
      </c>
      <c r="P27" s="206">
        <f t="shared" si="10"/>
        <v>87577.842381242459</v>
      </c>
      <c r="Q27" s="206">
        <f t="shared" si="10"/>
        <v>88015.731593148666</v>
      </c>
      <c r="R27" s="206">
        <f t="shared" si="10"/>
        <v>88455.810251114395</v>
      </c>
      <c r="S27" s="206">
        <f t="shared" si="10"/>
        <v>88898.089302369975</v>
      </c>
      <c r="T27" s="206">
        <f t="shared" si="10"/>
        <v>89342.579748881806</v>
      </c>
      <c r="U27" s="206">
        <f t="shared" si="10"/>
        <v>89789.292647626193</v>
      </c>
      <c r="V27" s="206">
        <f t="shared" si="10"/>
        <v>90238.239110864321</v>
      </c>
      <c r="W27" s="206">
        <f t="shared" si="10"/>
        <v>90689.430306418639</v>
      </c>
      <c r="X27" s="206">
        <f t="shared" si="10"/>
        <v>91142.877457950701</v>
      </c>
      <c r="Y27" s="206">
        <f t="shared" si="10"/>
        <v>91598.591845240444</v>
      </c>
      <c r="Z27" s="206">
        <f t="shared" si="10"/>
        <v>92056.584804466635</v>
      </c>
    </row>
    <row r="28" spans="2:26" x14ac:dyDescent="0.2">
      <c r="C28" s="209"/>
      <c r="D28" s="210"/>
      <c r="E28" s="208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</row>
    <row r="29" spans="2:26" x14ac:dyDescent="0.2">
      <c r="B29" s="1" t="s">
        <v>73</v>
      </c>
      <c r="C29" s="201">
        <f>INDEX(ExistingTable,MATCH($B29,ExistingRow,0),MATCH(C$5,ExistingColumns,0))/4</f>
        <v>4309.5</v>
      </c>
      <c r="D29" s="210">
        <f t="shared" si="1"/>
        <v>1.4999999999999999E-2</v>
      </c>
      <c r="E29" s="205" t="str">
        <f>VLOOKUP($B29,Inputs!$B$60:$C$76,2,FALSE)</f>
        <v>Variable</v>
      </c>
      <c r="G29" s="209">
        <f t="shared" ref="G29:V33" si="11">IF($E29="Variable",G$10*$D29,$C29)</f>
        <v>4331.0474999999988</v>
      </c>
      <c r="H29" s="209">
        <f t="shared" si="11"/>
        <v>4352.7027374999989</v>
      </c>
      <c r="I29" s="209">
        <f t="shared" si="11"/>
        <v>4374.4662511874985</v>
      </c>
      <c r="J29" s="209">
        <f t="shared" si="11"/>
        <v>4396.3385824434354</v>
      </c>
      <c r="K29" s="209">
        <f t="shared" si="11"/>
        <v>4418.3202753556525</v>
      </c>
      <c r="L29" s="209">
        <f t="shared" si="11"/>
        <v>4440.4118767324308</v>
      </c>
      <c r="M29" s="209">
        <f t="shared" si="11"/>
        <v>4462.6139361160922</v>
      </c>
      <c r="N29" s="209">
        <f t="shared" si="11"/>
        <v>4484.9270057966723</v>
      </c>
      <c r="O29" s="209">
        <f t="shared" si="11"/>
        <v>4507.3516408256546</v>
      </c>
      <c r="P29" s="209">
        <f t="shared" si="11"/>
        <v>4529.8883990297827</v>
      </c>
      <c r="Q29" s="209">
        <f t="shared" si="11"/>
        <v>4552.5378410249314</v>
      </c>
      <c r="R29" s="209">
        <f t="shared" si="11"/>
        <v>4575.3005302300544</v>
      </c>
      <c r="S29" s="209">
        <f t="shared" si="11"/>
        <v>4598.1770328812045</v>
      </c>
      <c r="T29" s="209">
        <f t="shared" si="11"/>
        <v>4621.1679180456103</v>
      </c>
      <c r="U29" s="209">
        <f t="shared" si="11"/>
        <v>4644.2737576358377</v>
      </c>
      <c r="V29" s="209">
        <f t="shared" si="11"/>
        <v>4667.4951264240162</v>
      </c>
      <c r="W29" s="209">
        <f t="shared" ref="W29:Z33" si="12">IF($E29="Variable",W$10*$D29,$C29)</f>
        <v>4690.8326020561353</v>
      </c>
      <c r="X29" s="209">
        <f t="shared" si="12"/>
        <v>4714.2867650664157</v>
      </c>
      <c r="Y29" s="209">
        <f t="shared" si="12"/>
        <v>4737.8581988917467</v>
      </c>
      <c r="Z29" s="209">
        <f t="shared" si="12"/>
        <v>4761.5474898862049</v>
      </c>
    </row>
    <row r="30" spans="2:26" x14ac:dyDescent="0.2">
      <c r="B30" s="1" t="s">
        <v>74</v>
      </c>
      <c r="C30" s="201">
        <f>INDEX(ExistingTable,MATCH($B30,ExistingRow,0),MATCH(C$5,ExistingColumns,0))/4</f>
        <v>5746</v>
      </c>
      <c r="D30" s="210">
        <f t="shared" si="1"/>
        <v>0.02</v>
      </c>
      <c r="E30" s="205" t="str">
        <f>VLOOKUP($B30,Inputs!$B$60:$C$76,2,FALSE)</f>
        <v>Variable</v>
      </c>
      <c r="G30" s="209">
        <f t="shared" si="11"/>
        <v>5774.7299999999987</v>
      </c>
      <c r="H30" s="209">
        <f t="shared" si="11"/>
        <v>5803.6036499999991</v>
      </c>
      <c r="I30" s="209">
        <f t="shared" si="11"/>
        <v>5832.6216682499989</v>
      </c>
      <c r="J30" s="209">
        <f t="shared" si="11"/>
        <v>5861.7847765912475</v>
      </c>
      <c r="K30" s="209">
        <f t="shared" si="11"/>
        <v>5891.0937004742036</v>
      </c>
      <c r="L30" s="209">
        <f t="shared" si="11"/>
        <v>5920.5491689765749</v>
      </c>
      <c r="M30" s="209">
        <f t="shared" si="11"/>
        <v>5950.1519148214566</v>
      </c>
      <c r="N30" s="209">
        <f t="shared" si="11"/>
        <v>5979.9026743955628</v>
      </c>
      <c r="O30" s="209">
        <f t="shared" si="11"/>
        <v>6009.8021877675401</v>
      </c>
      <c r="P30" s="209">
        <f t="shared" si="11"/>
        <v>6039.8511987063766</v>
      </c>
      <c r="Q30" s="209">
        <f t="shared" si="11"/>
        <v>6070.0504546999082</v>
      </c>
      <c r="R30" s="209">
        <f t="shared" si="11"/>
        <v>6100.4007069734062</v>
      </c>
      <c r="S30" s="209">
        <f t="shared" si="11"/>
        <v>6130.9027105082732</v>
      </c>
      <c r="T30" s="209">
        <f t="shared" si="11"/>
        <v>6161.5572240608144</v>
      </c>
      <c r="U30" s="209">
        <f t="shared" si="11"/>
        <v>6192.3650101811172</v>
      </c>
      <c r="V30" s="209">
        <f t="shared" si="11"/>
        <v>6223.3268352320219</v>
      </c>
      <c r="W30" s="209">
        <f t="shared" si="12"/>
        <v>6254.443469408181</v>
      </c>
      <c r="X30" s="209">
        <f t="shared" si="12"/>
        <v>6285.7156867552212</v>
      </c>
      <c r="Y30" s="209">
        <f t="shared" si="12"/>
        <v>6317.1442651889965</v>
      </c>
      <c r="Z30" s="209">
        <f t="shared" si="12"/>
        <v>6348.7299865149407</v>
      </c>
    </row>
    <row r="31" spans="2:26" x14ac:dyDescent="0.2">
      <c r="B31" s="1" t="s">
        <v>75</v>
      </c>
      <c r="C31" s="201">
        <f>INDEX(ExistingTable,MATCH($B31,ExistingRow,0),MATCH(C$5,ExistingColumns,0))/4</f>
        <v>2011.1000000000001</v>
      </c>
      <c r="D31" s="210">
        <f t="shared" si="1"/>
        <v>7.0000000000000001E-3</v>
      </c>
      <c r="E31" s="205" t="str">
        <f>VLOOKUP($B31,Inputs!$B$60:$C$76,2,FALSE)</f>
        <v>Variable</v>
      </c>
      <c r="G31" s="209">
        <f t="shared" si="11"/>
        <v>2021.1554999999996</v>
      </c>
      <c r="H31" s="209">
        <f t="shared" si="11"/>
        <v>2031.2612774999996</v>
      </c>
      <c r="I31" s="209">
        <f t="shared" si="11"/>
        <v>2041.4175838874994</v>
      </c>
      <c r="J31" s="209">
        <f t="shared" si="11"/>
        <v>2051.6246718069369</v>
      </c>
      <c r="K31" s="209">
        <f t="shared" si="11"/>
        <v>2061.8827951659714</v>
      </c>
      <c r="L31" s="209">
        <f t="shared" si="11"/>
        <v>2072.192209141801</v>
      </c>
      <c r="M31" s="209">
        <f t="shared" si="11"/>
        <v>2082.5531701875097</v>
      </c>
      <c r="N31" s="209">
        <f t="shared" si="11"/>
        <v>2092.9659360384471</v>
      </c>
      <c r="O31" s="209">
        <f t="shared" si="11"/>
        <v>2103.4307657186391</v>
      </c>
      <c r="P31" s="209">
        <f t="shared" si="11"/>
        <v>2113.9479195472318</v>
      </c>
      <c r="Q31" s="209">
        <f t="shared" si="11"/>
        <v>2124.5176591449681</v>
      </c>
      <c r="R31" s="209">
        <f t="shared" si="11"/>
        <v>2135.1402474406923</v>
      </c>
      <c r="S31" s="209">
        <f t="shared" si="11"/>
        <v>2145.8159486778959</v>
      </c>
      <c r="T31" s="209">
        <f t="shared" si="11"/>
        <v>2156.5450284212848</v>
      </c>
      <c r="U31" s="209">
        <f t="shared" si="11"/>
        <v>2167.3277535633911</v>
      </c>
      <c r="V31" s="209">
        <f t="shared" si="11"/>
        <v>2178.1643923312076</v>
      </c>
      <c r="W31" s="209">
        <f t="shared" si="12"/>
        <v>2189.0552142928636</v>
      </c>
      <c r="X31" s="209">
        <f t="shared" si="12"/>
        <v>2200.0004903643276</v>
      </c>
      <c r="Y31" s="209">
        <f t="shared" si="12"/>
        <v>2211.0004928161488</v>
      </c>
      <c r="Z31" s="209">
        <f t="shared" si="12"/>
        <v>2222.055495280229</v>
      </c>
    </row>
    <row r="32" spans="2:26" x14ac:dyDescent="0.2">
      <c r="B32" s="1" t="s">
        <v>76</v>
      </c>
      <c r="C32" s="201">
        <f>INDEX(ExistingTable,MATCH($B32,ExistingRow,0),MATCH(C$5,ExistingColumns,0))/4</f>
        <v>4000</v>
      </c>
      <c r="D32" s="210">
        <f t="shared" si="1"/>
        <v>1.3922728854855551E-2</v>
      </c>
      <c r="E32" s="205" t="str">
        <f>VLOOKUP($B32,Inputs!$B$60:$C$76,2,FALSE)</f>
        <v>Fixed</v>
      </c>
      <c r="G32" s="209">
        <f t="shared" si="11"/>
        <v>4000</v>
      </c>
      <c r="H32" s="209">
        <f t="shared" si="11"/>
        <v>4000</v>
      </c>
      <c r="I32" s="209">
        <f t="shared" si="11"/>
        <v>4000</v>
      </c>
      <c r="J32" s="209">
        <f t="shared" si="11"/>
        <v>4000</v>
      </c>
      <c r="K32" s="209">
        <f t="shared" si="11"/>
        <v>4000</v>
      </c>
      <c r="L32" s="209">
        <f t="shared" si="11"/>
        <v>4000</v>
      </c>
      <c r="M32" s="209">
        <f t="shared" si="11"/>
        <v>4000</v>
      </c>
      <c r="N32" s="209">
        <f t="shared" si="11"/>
        <v>4000</v>
      </c>
      <c r="O32" s="209">
        <f t="shared" si="11"/>
        <v>4000</v>
      </c>
      <c r="P32" s="209">
        <f t="shared" si="11"/>
        <v>4000</v>
      </c>
      <c r="Q32" s="209">
        <f t="shared" si="11"/>
        <v>4000</v>
      </c>
      <c r="R32" s="209">
        <f t="shared" si="11"/>
        <v>4000</v>
      </c>
      <c r="S32" s="209">
        <f t="shared" si="11"/>
        <v>4000</v>
      </c>
      <c r="T32" s="209">
        <f t="shared" si="11"/>
        <v>4000</v>
      </c>
      <c r="U32" s="209">
        <f t="shared" si="11"/>
        <v>4000</v>
      </c>
      <c r="V32" s="209">
        <f t="shared" si="11"/>
        <v>4000</v>
      </c>
      <c r="W32" s="209">
        <f t="shared" si="12"/>
        <v>4000</v>
      </c>
      <c r="X32" s="209">
        <f t="shared" si="12"/>
        <v>4000</v>
      </c>
      <c r="Y32" s="209">
        <f t="shared" si="12"/>
        <v>4000</v>
      </c>
      <c r="Z32" s="209">
        <f t="shared" si="12"/>
        <v>4000</v>
      </c>
    </row>
    <row r="33" spans="2:26" x14ac:dyDescent="0.2">
      <c r="B33" s="1" t="s">
        <v>43</v>
      </c>
      <c r="C33" s="201">
        <f>INDEX(ExistingTable,MATCH($B33,ExistingRow,0),MATCH(C$5,ExistingColumns,0))/4</f>
        <v>20750</v>
      </c>
      <c r="D33" s="210">
        <f t="shared" si="1"/>
        <v>7.2224155934563175E-2</v>
      </c>
      <c r="E33" s="205" t="str">
        <f>VLOOKUP($B33,Inputs!$B$60:$C$76,2,FALSE)</f>
        <v>Fixed</v>
      </c>
      <c r="G33" s="209">
        <f t="shared" si="11"/>
        <v>20750</v>
      </c>
      <c r="H33" s="209">
        <f t="shared" si="11"/>
        <v>20750</v>
      </c>
      <c r="I33" s="209">
        <f t="shared" si="11"/>
        <v>20750</v>
      </c>
      <c r="J33" s="209">
        <f t="shared" si="11"/>
        <v>20750</v>
      </c>
      <c r="K33" s="209">
        <f t="shared" si="11"/>
        <v>20750</v>
      </c>
      <c r="L33" s="209">
        <f t="shared" si="11"/>
        <v>20750</v>
      </c>
      <c r="M33" s="209">
        <f t="shared" si="11"/>
        <v>20750</v>
      </c>
      <c r="N33" s="209">
        <f t="shared" si="11"/>
        <v>20750</v>
      </c>
      <c r="O33" s="209">
        <f t="shared" si="11"/>
        <v>20750</v>
      </c>
      <c r="P33" s="209">
        <f t="shared" si="11"/>
        <v>20750</v>
      </c>
      <c r="Q33" s="209">
        <f t="shared" si="11"/>
        <v>20750</v>
      </c>
      <c r="R33" s="209">
        <f t="shared" si="11"/>
        <v>20750</v>
      </c>
      <c r="S33" s="209">
        <f t="shared" si="11"/>
        <v>20750</v>
      </c>
      <c r="T33" s="209">
        <f t="shared" si="11"/>
        <v>20750</v>
      </c>
      <c r="U33" s="209">
        <f t="shared" si="11"/>
        <v>20750</v>
      </c>
      <c r="V33" s="209">
        <f t="shared" si="11"/>
        <v>20750</v>
      </c>
      <c r="W33" s="209">
        <f t="shared" si="12"/>
        <v>20750</v>
      </c>
      <c r="X33" s="209">
        <f t="shared" si="12"/>
        <v>20750</v>
      </c>
      <c r="Y33" s="209">
        <f t="shared" si="12"/>
        <v>20750</v>
      </c>
      <c r="Z33" s="209">
        <f t="shared" si="12"/>
        <v>20750</v>
      </c>
    </row>
    <row r="34" spans="2:26" x14ac:dyDescent="0.2">
      <c r="B34" s="67" t="s">
        <v>203</v>
      </c>
      <c r="C34" s="206">
        <f>SUM(C29:C33)</f>
        <v>36816.6</v>
      </c>
      <c r="D34" s="207">
        <f t="shared" si="1"/>
        <v>0.12814688478941871</v>
      </c>
      <c r="E34" s="208"/>
      <c r="G34" s="206">
        <f>SUM(G29:G33)</f>
        <v>36876.932999999997</v>
      </c>
      <c r="H34" s="206">
        <f t="shared" ref="H34:Z34" si="13">SUM(H29:H33)</f>
        <v>36937.567664999995</v>
      </c>
      <c r="I34" s="206">
        <f t="shared" si="13"/>
        <v>36998.505503324996</v>
      </c>
      <c r="J34" s="206">
        <f t="shared" si="13"/>
        <v>37059.74803084162</v>
      </c>
      <c r="K34" s="206">
        <f t="shared" si="13"/>
        <v>37121.296770995825</v>
      </c>
      <c r="L34" s="206">
        <f t="shared" si="13"/>
        <v>37183.153254850811</v>
      </c>
      <c r="M34" s="206">
        <f t="shared" si="13"/>
        <v>37245.319021125062</v>
      </c>
      <c r="N34" s="206">
        <f t="shared" si="13"/>
        <v>37307.79561623068</v>
      </c>
      <c r="O34" s="206">
        <f t="shared" si="13"/>
        <v>37370.584594311833</v>
      </c>
      <c r="P34" s="206">
        <f t="shared" si="13"/>
        <v>37433.68751728339</v>
      </c>
      <c r="Q34" s="206">
        <f t="shared" si="13"/>
        <v>37497.10595486981</v>
      </c>
      <c r="R34" s="206">
        <f t="shared" si="13"/>
        <v>37560.841484644152</v>
      </c>
      <c r="S34" s="206">
        <f t="shared" si="13"/>
        <v>37624.895692067374</v>
      </c>
      <c r="T34" s="206">
        <f t="shared" si="13"/>
        <v>37689.270170527714</v>
      </c>
      <c r="U34" s="206">
        <f t="shared" si="13"/>
        <v>37753.966521380346</v>
      </c>
      <c r="V34" s="206">
        <f t="shared" si="13"/>
        <v>37818.986353987246</v>
      </c>
      <c r="W34" s="206">
        <f t="shared" si="13"/>
        <v>37884.33128575718</v>
      </c>
      <c r="X34" s="206">
        <f t="shared" si="13"/>
        <v>37950.002942185965</v>
      </c>
      <c r="Y34" s="206">
        <f t="shared" si="13"/>
        <v>38016.002956896889</v>
      </c>
      <c r="Z34" s="206">
        <f t="shared" si="13"/>
        <v>38082.332971681375</v>
      </c>
    </row>
    <row r="35" spans="2:26" x14ac:dyDescent="0.2">
      <c r="C35" s="209"/>
      <c r="D35" s="210"/>
      <c r="E35" s="208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spans="2:26" x14ac:dyDescent="0.2">
      <c r="B36" s="1" t="s">
        <v>42</v>
      </c>
      <c r="C36" s="201">
        <f>INDEX(ExistingTable,MATCH($B36,ExistingRow,0),MATCH(C$5,ExistingColumns,0))/4</f>
        <v>25000</v>
      </c>
      <c r="D36" s="210">
        <f t="shared" si="1"/>
        <v>8.7017055342847205E-2</v>
      </c>
      <c r="E36" s="205" t="str">
        <f>VLOOKUP($B36,Inputs!$B$60:$C$76,2,FALSE)</f>
        <v>Fixed</v>
      </c>
      <c r="G36" s="209">
        <f t="shared" ref="G36:V37" si="14">IF($E36="Variable",G$10*$D36,$C36)</f>
        <v>25000</v>
      </c>
      <c r="H36" s="209">
        <f t="shared" si="14"/>
        <v>25000</v>
      </c>
      <c r="I36" s="209">
        <f t="shared" si="14"/>
        <v>25000</v>
      </c>
      <c r="J36" s="209">
        <f t="shared" si="14"/>
        <v>25000</v>
      </c>
      <c r="K36" s="209">
        <f t="shared" si="14"/>
        <v>25000</v>
      </c>
      <c r="L36" s="209">
        <f t="shared" si="14"/>
        <v>25000</v>
      </c>
      <c r="M36" s="209">
        <f t="shared" si="14"/>
        <v>25000</v>
      </c>
      <c r="N36" s="209">
        <f t="shared" si="14"/>
        <v>25000</v>
      </c>
      <c r="O36" s="209">
        <f t="shared" si="14"/>
        <v>25000</v>
      </c>
      <c r="P36" s="209">
        <f t="shared" si="14"/>
        <v>25000</v>
      </c>
      <c r="Q36" s="209">
        <f t="shared" si="14"/>
        <v>25000</v>
      </c>
      <c r="R36" s="209">
        <f t="shared" si="14"/>
        <v>25000</v>
      </c>
      <c r="S36" s="209">
        <f t="shared" si="14"/>
        <v>25000</v>
      </c>
      <c r="T36" s="209">
        <f t="shared" si="14"/>
        <v>25000</v>
      </c>
      <c r="U36" s="209">
        <f t="shared" si="14"/>
        <v>25000</v>
      </c>
      <c r="V36" s="209">
        <f t="shared" si="14"/>
        <v>25000</v>
      </c>
      <c r="W36" s="209">
        <f t="shared" ref="W36:Z37" si="15">IF($E36="Variable",W$10*$D36,$C36)</f>
        <v>25000</v>
      </c>
      <c r="X36" s="209">
        <f t="shared" si="15"/>
        <v>25000</v>
      </c>
      <c r="Y36" s="209">
        <f t="shared" si="15"/>
        <v>25000</v>
      </c>
      <c r="Z36" s="209">
        <f t="shared" si="15"/>
        <v>25000</v>
      </c>
    </row>
    <row r="37" spans="2:26" x14ac:dyDescent="0.2">
      <c r="B37" s="1" t="s">
        <v>77</v>
      </c>
      <c r="C37" s="201">
        <f>INDEX(ExistingTable,MATCH($B37,ExistingRow,0),MATCH(C$5,ExistingColumns,0))/4</f>
        <v>7500</v>
      </c>
      <c r="D37" s="210">
        <f t="shared" si="1"/>
        <v>2.610511660285416E-2</v>
      </c>
      <c r="E37" s="205" t="str">
        <f>VLOOKUP($B37,Inputs!$B$60:$C$76,2,FALSE)</f>
        <v>Fixed</v>
      </c>
      <c r="G37" s="209">
        <f t="shared" si="14"/>
        <v>7500</v>
      </c>
      <c r="H37" s="209">
        <f t="shared" si="14"/>
        <v>7500</v>
      </c>
      <c r="I37" s="209">
        <f t="shared" si="14"/>
        <v>7500</v>
      </c>
      <c r="J37" s="209">
        <f t="shared" si="14"/>
        <v>7500</v>
      </c>
      <c r="K37" s="209">
        <f t="shared" si="14"/>
        <v>7500</v>
      </c>
      <c r="L37" s="209">
        <f t="shared" si="14"/>
        <v>7500</v>
      </c>
      <c r="M37" s="209">
        <f t="shared" si="14"/>
        <v>7500</v>
      </c>
      <c r="N37" s="209">
        <f t="shared" si="14"/>
        <v>7500</v>
      </c>
      <c r="O37" s="209">
        <f t="shared" si="14"/>
        <v>7500</v>
      </c>
      <c r="P37" s="209">
        <f t="shared" si="14"/>
        <v>7500</v>
      </c>
      <c r="Q37" s="209">
        <f t="shared" si="14"/>
        <v>7500</v>
      </c>
      <c r="R37" s="209">
        <f t="shared" si="14"/>
        <v>7500</v>
      </c>
      <c r="S37" s="209">
        <f t="shared" si="14"/>
        <v>7500</v>
      </c>
      <c r="T37" s="209">
        <f t="shared" si="14"/>
        <v>7500</v>
      </c>
      <c r="U37" s="209">
        <f t="shared" si="14"/>
        <v>7500</v>
      </c>
      <c r="V37" s="209">
        <f t="shared" si="14"/>
        <v>7500</v>
      </c>
      <c r="W37" s="209">
        <f t="shared" si="15"/>
        <v>7500</v>
      </c>
      <c r="X37" s="209">
        <f t="shared" si="15"/>
        <v>7500</v>
      </c>
      <c r="Y37" s="209">
        <f t="shared" si="15"/>
        <v>7500</v>
      </c>
      <c r="Z37" s="209">
        <f t="shared" si="15"/>
        <v>7500</v>
      </c>
    </row>
    <row r="38" spans="2:26" x14ac:dyDescent="0.2">
      <c r="B38" s="67" t="s">
        <v>204</v>
      </c>
      <c r="C38" s="206">
        <f>SUM(C36:C37)</f>
        <v>32500</v>
      </c>
      <c r="D38" s="207">
        <f t="shared" si="1"/>
        <v>0.11312217194570136</v>
      </c>
      <c r="E38" s="213"/>
      <c r="G38" s="206">
        <f>SUM(G36:G37)</f>
        <v>32500</v>
      </c>
      <c r="H38" s="206">
        <f t="shared" ref="H38:Z38" si="16">SUM(H36:H37)</f>
        <v>32500</v>
      </c>
      <c r="I38" s="206">
        <f t="shared" si="16"/>
        <v>32500</v>
      </c>
      <c r="J38" s="206">
        <f t="shared" si="16"/>
        <v>32500</v>
      </c>
      <c r="K38" s="206">
        <f t="shared" si="16"/>
        <v>32500</v>
      </c>
      <c r="L38" s="206">
        <f t="shared" si="16"/>
        <v>32500</v>
      </c>
      <c r="M38" s="206">
        <f t="shared" si="16"/>
        <v>32500</v>
      </c>
      <c r="N38" s="206">
        <f t="shared" si="16"/>
        <v>32500</v>
      </c>
      <c r="O38" s="206">
        <f t="shared" si="16"/>
        <v>32500</v>
      </c>
      <c r="P38" s="206">
        <f t="shared" si="16"/>
        <v>32500</v>
      </c>
      <c r="Q38" s="206">
        <f t="shared" si="16"/>
        <v>32500</v>
      </c>
      <c r="R38" s="206">
        <f t="shared" si="16"/>
        <v>32500</v>
      </c>
      <c r="S38" s="206">
        <f t="shared" si="16"/>
        <v>32500</v>
      </c>
      <c r="T38" s="206">
        <f t="shared" si="16"/>
        <v>32500</v>
      </c>
      <c r="U38" s="206">
        <f t="shared" si="16"/>
        <v>32500</v>
      </c>
      <c r="V38" s="206">
        <f t="shared" si="16"/>
        <v>32500</v>
      </c>
      <c r="W38" s="206">
        <f t="shared" si="16"/>
        <v>32500</v>
      </c>
      <c r="X38" s="206">
        <f t="shared" si="16"/>
        <v>32500</v>
      </c>
      <c r="Y38" s="206">
        <f t="shared" si="16"/>
        <v>32500</v>
      </c>
      <c r="Z38" s="206">
        <f t="shared" si="16"/>
        <v>32500</v>
      </c>
    </row>
    <row r="39" spans="2:26" x14ac:dyDescent="0.2">
      <c r="C39" s="209"/>
      <c r="D39" s="210"/>
      <c r="E39" s="213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</row>
    <row r="40" spans="2:26" x14ac:dyDescent="0.2">
      <c r="B40" s="67" t="s">
        <v>205</v>
      </c>
      <c r="C40" s="206">
        <f>C10-C23-C27-C34-C38</f>
        <v>-19689.024499999992</v>
      </c>
      <c r="D40" s="207">
        <f t="shared" si="1"/>
        <v>-6.8531237382526949E-2</v>
      </c>
      <c r="E40" s="213"/>
      <c r="G40" s="206">
        <f>G10-G23-G27-G34-G38</f>
        <v>-19472.469622500015</v>
      </c>
      <c r="H40" s="206">
        <f t="shared" ref="H40:Z40" si="17">H10-H23-H27-H34-H38</f>
        <v>-19254.831970612504</v>
      </c>
      <c r="I40" s="206">
        <f t="shared" si="17"/>
        <v>-19036.106130465574</v>
      </c>
      <c r="J40" s="206">
        <f t="shared" si="17"/>
        <v>-18816.286661117927</v>
      </c>
      <c r="K40" s="206">
        <f t="shared" si="17"/>
        <v>-18595.368094423517</v>
      </c>
      <c r="L40" s="206">
        <f t="shared" si="17"/>
        <v>-18373.344934895635</v>
      </c>
      <c r="M40" s="206">
        <f t="shared" si="17"/>
        <v>-18150.211659570094</v>
      </c>
      <c r="N40" s="206">
        <f t="shared" si="17"/>
        <v>-17925.962717867966</v>
      </c>
      <c r="O40" s="206">
        <f t="shared" si="17"/>
        <v>-17700.592531457311</v>
      </c>
      <c r="P40" s="206">
        <f t="shared" si="17"/>
        <v>-17474.095494114583</v>
      </c>
      <c r="Q40" s="206">
        <f t="shared" si="17"/>
        <v>-17246.465971585174</v>
      </c>
      <c r="R40" s="206">
        <f t="shared" si="17"/>
        <v>-17017.698301443095</v>
      </c>
      <c r="S40" s="206">
        <f t="shared" si="17"/>
        <v>-16787.786792950334</v>
      </c>
      <c r="T40" s="206">
        <f t="shared" si="17"/>
        <v>-16556.725726915087</v>
      </c>
      <c r="U40" s="206">
        <f t="shared" si="17"/>
        <v>-16324.509355549664</v>
      </c>
      <c r="V40" s="206">
        <f t="shared" si="17"/>
        <v>-16091.131902327412</v>
      </c>
      <c r="W40" s="206">
        <f t="shared" si="17"/>
        <v>-15856.587561839093</v>
      </c>
      <c r="X40" s="206">
        <f t="shared" si="17"/>
        <v>-15620.870499648241</v>
      </c>
      <c r="Y40" s="206">
        <f t="shared" si="17"/>
        <v>-15383.974852146508</v>
      </c>
      <c r="Z40" s="206">
        <f t="shared" si="17"/>
        <v>-15145.894726407249</v>
      </c>
    </row>
  </sheetData>
  <dataValidations count="1">
    <dataValidation type="list" allowBlank="1" showInputMessage="1" showErrorMessage="1" sqref="C5" xr:uid="{CDA15867-6C5E-4308-B35C-568351A97799}">
      <formula1>StoreList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73C1-B9BB-4E3E-B1A6-06EA4535F1B9}">
  <sheetPr>
    <tabColor rgb="FF92D050"/>
  </sheetPr>
  <dimension ref="B2:Z40"/>
  <sheetViews>
    <sheetView topLeftCell="A28" zoomScaleNormal="100" workbookViewId="0">
      <selection activeCell="H28" sqref="H28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3" width="8.5703125" style="1" bestFit="1" customWidth="1"/>
    <col min="4" max="4" width="9.85546875" style="1" bestFit="1" customWidth="1"/>
    <col min="5" max="5" width="10.85546875" style="1" bestFit="1" customWidth="1"/>
    <col min="6" max="6" width="1.7109375" style="1" customWidth="1"/>
    <col min="7" max="26" width="8.570312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5" spans="2:26" x14ac:dyDescent="0.2">
      <c r="B5" s="229" t="s">
        <v>220</v>
      </c>
      <c r="C5" s="230" t="s">
        <v>83</v>
      </c>
    </row>
    <row r="6" spans="2:26" x14ac:dyDescent="0.2">
      <c r="B6" s="229" t="s">
        <v>221</v>
      </c>
      <c r="C6" s="232">
        <f>VLOOKUP($C$5,Inputs!$B$10:$C$14,2,FALSE)</f>
        <v>33700</v>
      </c>
    </row>
    <row r="7" spans="2:26" x14ac:dyDescent="0.2">
      <c r="B7" s="197" t="s">
        <v>209</v>
      </c>
      <c r="C7" s="231">
        <f>VLOOKUP($C$5,Inputs!$B$10:$D$14,3,FALSE)</f>
        <v>0.03</v>
      </c>
    </row>
    <row r="8" spans="2:26" x14ac:dyDescent="0.2">
      <c r="B8" s="197"/>
      <c r="C8" s="198"/>
      <c r="G8" s="199" t="s">
        <v>6</v>
      </c>
      <c r="H8" s="199"/>
      <c r="I8" s="199"/>
      <c r="J8" s="199"/>
      <c r="K8" s="199" t="s">
        <v>7</v>
      </c>
      <c r="L8" s="199"/>
      <c r="M8" s="199"/>
      <c r="N8" s="199"/>
      <c r="O8" s="199" t="s">
        <v>8</v>
      </c>
      <c r="P8" s="199"/>
      <c r="Q8" s="199"/>
      <c r="R8" s="199"/>
      <c r="S8" s="199" t="s">
        <v>9</v>
      </c>
      <c r="T8" s="199"/>
      <c r="U8" s="199"/>
      <c r="V8" s="199"/>
      <c r="W8" s="199" t="s">
        <v>10</v>
      </c>
      <c r="X8" s="199"/>
      <c r="Y8" s="199"/>
      <c r="Z8" s="199"/>
    </row>
    <row r="9" spans="2:26" x14ac:dyDescent="0.2">
      <c r="C9" s="200" t="s">
        <v>210</v>
      </c>
      <c r="D9" s="200" t="s">
        <v>211</v>
      </c>
      <c r="E9" s="200" t="s">
        <v>212</v>
      </c>
      <c r="G9" s="200" t="s">
        <v>11</v>
      </c>
      <c r="H9" s="200" t="s">
        <v>12</v>
      </c>
      <c r="I9" s="200" t="s">
        <v>13</v>
      </c>
      <c r="J9" s="200" t="s">
        <v>14</v>
      </c>
      <c r="K9" s="200" t="s">
        <v>11</v>
      </c>
      <c r="L9" s="200" t="s">
        <v>12</v>
      </c>
      <c r="M9" s="200" t="s">
        <v>13</v>
      </c>
      <c r="N9" s="200" t="s">
        <v>14</v>
      </c>
      <c r="O9" s="200" t="s">
        <v>11</v>
      </c>
      <c r="P9" s="200" t="s">
        <v>12</v>
      </c>
      <c r="Q9" s="200" t="s">
        <v>13</v>
      </c>
      <c r="R9" s="200" t="s">
        <v>14</v>
      </c>
      <c r="S9" s="200" t="s">
        <v>11</v>
      </c>
      <c r="T9" s="200" t="s">
        <v>12</v>
      </c>
      <c r="U9" s="200" t="s">
        <v>13</v>
      </c>
      <c r="V9" s="200" t="s">
        <v>14</v>
      </c>
      <c r="W9" s="200" t="s">
        <v>11</v>
      </c>
      <c r="X9" s="200" t="s">
        <v>12</v>
      </c>
      <c r="Y9" s="200" t="s">
        <v>13</v>
      </c>
      <c r="Z9" s="200" t="s">
        <v>14</v>
      </c>
    </row>
    <row r="10" spans="2:26" x14ac:dyDescent="0.2">
      <c r="B10" s="33" t="s">
        <v>15</v>
      </c>
      <c r="C10" s="201">
        <f>INDEX(ExistingTable,MATCH($B10,ExistingRow,0),MATCH(C$5,ExistingColumns,0))/4</f>
        <v>438100</v>
      </c>
      <c r="D10" s="202">
        <f>C10/$C$10</f>
        <v>1</v>
      </c>
      <c r="G10" s="201">
        <f>$C$10*(1+$C$7/4)</f>
        <v>441385.75</v>
      </c>
      <c r="H10" s="201">
        <f>G10*(1+$C$7/4)</f>
        <v>444696.143125</v>
      </c>
      <c r="I10" s="201">
        <f t="shared" ref="I10:Z10" si="0">H10*(1+$C$7/4)</f>
        <v>448031.36419843754</v>
      </c>
      <c r="J10" s="201">
        <f t="shared" si="0"/>
        <v>451391.59942992585</v>
      </c>
      <c r="K10" s="201">
        <f t="shared" si="0"/>
        <v>454777.03642565029</v>
      </c>
      <c r="L10" s="201">
        <f t="shared" si="0"/>
        <v>458187.86419884273</v>
      </c>
      <c r="M10" s="201">
        <f t="shared" si="0"/>
        <v>461624.27318033407</v>
      </c>
      <c r="N10" s="201">
        <f t="shared" si="0"/>
        <v>465086.45522918663</v>
      </c>
      <c r="O10" s="201">
        <f t="shared" si="0"/>
        <v>468574.60364340554</v>
      </c>
      <c r="P10" s="201">
        <f t="shared" si="0"/>
        <v>472088.9131707311</v>
      </c>
      <c r="Q10" s="201">
        <f t="shared" si="0"/>
        <v>475629.58001951163</v>
      </c>
      <c r="R10" s="201">
        <f t="shared" si="0"/>
        <v>479196.801869658</v>
      </c>
      <c r="S10" s="201">
        <f t="shared" si="0"/>
        <v>482790.77788368048</v>
      </c>
      <c r="T10" s="201">
        <f t="shared" si="0"/>
        <v>486411.70871780813</v>
      </c>
      <c r="U10" s="201">
        <f t="shared" si="0"/>
        <v>490059.79653319169</v>
      </c>
      <c r="V10" s="201">
        <f t="shared" si="0"/>
        <v>493735.24500719068</v>
      </c>
      <c r="W10" s="201">
        <f t="shared" si="0"/>
        <v>497438.25934474461</v>
      </c>
      <c r="X10" s="201">
        <f t="shared" si="0"/>
        <v>501169.04628983024</v>
      </c>
      <c r="Y10" s="201">
        <f t="shared" si="0"/>
        <v>504927.81413700397</v>
      </c>
      <c r="Z10" s="201">
        <f t="shared" si="0"/>
        <v>508714.7727430315</v>
      </c>
    </row>
    <row r="11" spans="2:26" x14ac:dyDescent="0.2">
      <c r="B11" s="33"/>
      <c r="C11" s="201"/>
      <c r="D11" s="202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2:26" x14ac:dyDescent="0.2">
      <c r="B12" s="1" t="s">
        <v>66</v>
      </c>
      <c r="C12" s="201">
        <f>INDEX(ExistingTable,MATCH($B12,ExistingRow,0),MATCH(C$5,ExistingColumns,0))/4</f>
        <v>23375</v>
      </c>
      <c r="D12" s="204">
        <f t="shared" ref="D12:D40" si="1">C12/$C$10</f>
        <v>5.3355398310887925E-2</v>
      </c>
      <c r="E12" s="205" t="str">
        <f>VLOOKUP($B12,Inputs!$B$60:$C$76,2,FALSE)</f>
        <v>Variable</v>
      </c>
      <c r="G12" s="203">
        <f>IF($E12="Variable",G$10*$D12,$C12)</f>
        <v>23550.3125</v>
      </c>
      <c r="H12" s="203">
        <f t="shared" ref="H12:Z13" si="2">IF($E12="Variable",H$10*$D12,$C12)</f>
        <v>23726.939843749999</v>
      </c>
      <c r="I12" s="203">
        <f t="shared" si="2"/>
        <v>23904.891892578125</v>
      </c>
      <c r="J12" s="203">
        <f t="shared" si="2"/>
        <v>24084.178581772463</v>
      </c>
      <c r="K12" s="203">
        <f t="shared" si="2"/>
        <v>24264.809921135758</v>
      </c>
      <c r="L12" s="203">
        <f t="shared" si="2"/>
        <v>24446.795995544278</v>
      </c>
      <c r="M12" s="203">
        <f t="shared" si="2"/>
        <v>24630.146965510863</v>
      </c>
      <c r="N12" s="203">
        <f t="shared" si="2"/>
        <v>24814.873067752196</v>
      </c>
      <c r="O12" s="203">
        <f t="shared" si="2"/>
        <v>25000.984615760339</v>
      </c>
      <c r="P12" s="203">
        <f t="shared" si="2"/>
        <v>25188.492000378541</v>
      </c>
      <c r="Q12" s="203">
        <f t="shared" si="2"/>
        <v>25377.405690381383</v>
      </c>
      <c r="R12" s="203">
        <f t="shared" si="2"/>
        <v>25567.736233059244</v>
      </c>
      <c r="S12" s="203">
        <f t="shared" si="2"/>
        <v>25759.494254807192</v>
      </c>
      <c r="T12" s="203">
        <f t="shared" si="2"/>
        <v>25952.690461718248</v>
      </c>
      <c r="U12" s="203">
        <f t="shared" si="2"/>
        <v>26147.335640181136</v>
      </c>
      <c r="V12" s="203">
        <f t="shared" si="2"/>
        <v>26343.440657482497</v>
      </c>
      <c r="W12" s="203">
        <f t="shared" si="2"/>
        <v>26541.016462413616</v>
      </c>
      <c r="X12" s="203">
        <f t="shared" si="2"/>
        <v>26740.074085881719</v>
      </c>
      <c r="Y12" s="203">
        <f t="shared" si="2"/>
        <v>26940.624641525832</v>
      </c>
      <c r="Z12" s="203">
        <f t="shared" si="2"/>
        <v>27142.679326337278</v>
      </c>
    </row>
    <row r="13" spans="2:26" x14ac:dyDescent="0.2">
      <c r="B13" s="1" t="s">
        <v>69</v>
      </c>
      <c r="C13" s="201">
        <f>INDEX(ExistingTable,MATCH($B13,ExistingRow,0),MATCH(C$5,ExistingColumns,0))/4</f>
        <v>101556</v>
      </c>
      <c r="D13" s="204">
        <f t="shared" si="1"/>
        <v>0.23181008902077152</v>
      </c>
      <c r="E13" s="205" t="str">
        <f>VLOOKUP($B13,Inputs!$B$60:$C$76,2,FALSE)</f>
        <v>Variable</v>
      </c>
      <c r="G13" s="203">
        <f>IF($E13="Variable",G$10*$D13,$C13)</f>
        <v>102317.67</v>
      </c>
      <c r="H13" s="203">
        <f t="shared" si="2"/>
        <v>103085.05252500001</v>
      </c>
      <c r="I13" s="203">
        <f t="shared" si="2"/>
        <v>103858.19041893752</v>
      </c>
      <c r="J13" s="203">
        <f t="shared" si="2"/>
        <v>104637.12684707955</v>
      </c>
      <c r="K13" s="203">
        <f t="shared" si="2"/>
        <v>105421.90529843264</v>
      </c>
      <c r="L13" s="203">
        <f t="shared" si="2"/>
        <v>106212.56958817091</v>
      </c>
      <c r="M13" s="203">
        <f t="shared" si="2"/>
        <v>107009.16386008219</v>
      </c>
      <c r="N13" s="203">
        <f t="shared" si="2"/>
        <v>107811.73258903282</v>
      </c>
      <c r="O13" s="203">
        <f t="shared" si="2"/>
        <v>108620.32058345056</v>
      </c>
      <c r="P13" s="203">
        <f t="shared" si="2"/>
        <v>109434.97298782645</v>
      </c>
      <c r="Q13" s="203">
        <f t="shared" si="2"/>
        <v>110255.73528523516</v>
      </c>
      <c r="R13" s="203">
        <f t="shared" si="2"/>
        <v>111082.65329987444</v>
      </c>
      <c r="S13" s="203">
        <f t="shared" si="2"/>
        <v>111915.77319962351</v>
      </c>
      <c r="T13" s="203">
        <f t="shared" si="2"/>
        <v>112755.14149862069</v>
      </c>
      <c r="U13" s="203">
        <f t="shared" si="2"/>
        <v>113600.80505986034</v>
      </c>
      <c r="V13" s="203">
        <f t="shared" si="2"/>
        <v>114452.8110978093</v>
      </c>
      <c r="W13" s="203">
        <f t="shared" si="2"/>
        <v>115311.20718104288</v>
      </c>
      <c r="X13" s="203">
        <f t="shared" si="2"/>
        <v>116176.04123490071</v>
      </c>
      <c r="Y13" s="203">
        <f t="shared" si="2"/>
        <v>117047.36154416247</v>
      </c>
      <c r="Z13" s="203">
        <f t="shared" si="2"/>
        <v>117925.21675574369</v>
      </c>
    </row>
    <row r="14" spans="2:26" x14ac:dyDescent="0.2">
      <c r="B14" s="67" t="s">
        <v>199</v>
      </c>
      <c r="C14" s="206">
        <f>SUM(C12:C13)</f>
        <v>124931</v>
      </c>
      <c r="D14" s="207">
        <f t="shared" si="1"/>
        <v>0.28516548733165942</v>
      </c>
      <c r="E14" s="208"/>
      <c r="G14" s="206">
        <f>SUM(G12:G13)</f>
        <v>125867.9825</v>
      </c>
      <c r="H14" s="206">
        <f t="shared" ref="H14:Z14" si="3">SUM(H12:H13)</f>
        <v>126811.99236875001</v>
      </c>
      <c r="I14" s="206">
        <f t="shared" si="3"/>
        <v>127763.08231151564</v>
      </c>
      <c r="J14" s="206">
        <f t="shared" si="3"/>
        <v>128721.30542885201</v>
      </c>
      <c r="K14" s="206">
        <f t="shared" si="3"/>
        <v>129686.7152195684</v>
      </c>
      <c r="L14" s="206">
        <f t="shared" si="3"/>
        <v>130659.36558371519</v>
      </c>
      <c r="M14" s="206">
        <f t="shared" si="3"/>
        <v>131639.31082559304</v>
      </c>
      <c r="N14" s="206">
        <f t="shared" si="3"/>
        <v>132626.60565678502</v>
      </c>
      <c r="O14" s="206">
        <f t="shared" si="3"/>
        <v>133621.30519921091</v>
      </c>
      <c r="P14" s="206">
        <f t="shared" si="3"/>
        <v>134623.464988205</v>
      </c>
      <c r="Q14" s="206">
        <f t="shared" si="3"/>
        <v>135633.14097561655</v>
      </c>
      <c r="R14" s="206">
        <f t="shared" si="3"/>
        <v>136650.38953293368</v>
      </c>
      <c r="S14" s="206">
        <f t="shared" si="3"/>
        <v>137675.26745443069</v>
      </c>
      <c r="T14" s="206">
        <f t="shared" si="3"/>
        <v>138707.83196033895</v>
      </c>
      <c r="U14" s="206">
        <f t="shared" si="3"/>
        <v>139748.14070004149</v>
      </c>
      <c r="V14" s="206">
        <f t="shared" si="3"/>
        <v>140796.2517552918</v>
      </c>
      <c r="W14" s="206">
        <f t="shared" si="3"/>
        <v>141852.2236434565</v>
      </c>
      <c r="X14" s="206">
        <f t="shared" si="3"/>
        <v>142916.11532078244</v>
      </c>
      <c r="Y14" s="206">
        <f t="shared" si="3"/>
        <v>143987.98618568829</v>
      </c>
      <c r="Z14" s="206">
        <f t="shared" si="3"/>
        <v>145067.89608208096</v>
      </c>
    </row>
    <row r="15" spans="2:26" x14ac:dyDescent="0.2">
      <c r="C15" s="203"/>
      <c r="D15" s="204"/>
      <c r="E15" s="208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spans="2:26" x14ac:dyDescent="0.2">
      <c r="B16" s="1" t="s">
        <v>1</v>
      </c>
      <c r="C16" s="201">
        <f t="shared" ref="C16:C21" si="4">INDEX(ExistingTable,MATCH($B16,ExistingRow,0),MATCH(C$5,ExistingColumns,0))/4</f>
        <v>9619.6869999999999</v>
      </c>
      <c r="D16" s="210">
        <f t="shared" si="1"/>
        <v>2.1957742524537777E-2</v>
      </c>
      <c r="E16" s="205" t="str">
        <f>VLOOKUP($B16,Inputs!$B$60:$C$76,2,FALSE)</f>
        <v>Variable</v>
      </c>
      <c r="G16" s="209">
        <f t="shared" ref="G16:V21" si="5">IF($E16="Variable",G$10*$D16,$C16)</f>
        <v>9691.8346524999997</v>
      </c>
      <c r="H16" s="209">
        <f t="shared" si="5"/>
        <v>9764.5234123937498</v>
      </c>
      <c r="I16" s="209">
        <f t="shared" si="5"/>
        <v>9837.7573379867044</v>
      </c>
      <c r="J16" s="209">
        <f t="shared" si="5"/>
        <v>9911.5405180216039</v>
      </c>
      <c r="K16" s="209">
        <f t="shared" si="5"/>
        <v>9985.877071906767</v>
      </c>
      <c r="L16" s="209">
        <f t="shared" si="5"/>
        <v>10060.771149946069</v>
      </c>
      <c r="M16" s="209">
        <f t="shared" si="5"/>
        <v>10136.226933570664</v>
      </c>
      <c r="N16" s="209">
        <f t="shared" si="5"/>
        <v>10212.248635572447</v>
      </c>
      <c r="O16" s="209">
        <f t="shared" si="5"/>
        <v>10288.84050033924</v>
      </c>
      <c r="P16" s="209">
        <f t="shared" si="5"/>
        <v>10366.006804091785</v>
      </c>
      <c r="Q16" s="209">
        <f t="shared" si="5"/>
        <v>10443.751855122473</v>
      </c>
      <c r="R16" s="209">
        <f t="shared" si="5"/>
        <v>10522.079994035894</v>
      </c>
      <c r="S16" s="209">
        <f t="shared" si="5"/>
        <v>10600.995593991163</v>
      </c>
      <c r="T16" s="209">
        <f t="shared" si="5"/>
        <v>10680.503060946097</v>
      </c>
      <c r="U16" s="209">
        <f t="shared" si="5"/>
        <v>10760.606833903194</v>
      </c>
      <c r="V16" s="209">
        <f t="shared" si="5"/>
        <v>10841.311385157469</v>
      </c>
      <c r="W16" s="209">
        <f t="shared" ref="W16:Z21" si="6">IF($E16="Variable",W$10*$D16,$C16)</f>
        <v>10922.621220546151</v>
      </c>
      <c r="X16" s="209">
        <f t="shared" si="6"/>
        <v>11004.540879700247</v>
      </c>
      <c r="Y16" s="209">
        <f t="shared" si="6"/>
        <v>11087.074936297999</v>
      </c>
      <c r="Z16" s="209">
        <f t="shared" si="6"/>
        <v>11170.227998320233</v>
      </c>
    </row>
    <row r="17" spans="2:26" x14ac:dyDescent="0.2">
      <c r="B17" s="1" t="s">
        <v>0</v>
      </c>
      <c r="C17" s="201">
        <f t="shared" si="4"/>
        <v>5750</v>
      </c>
      <c r="D17" s="210">
        <f t="shared" si="1"/>
        <v>1.3124857338507189E-2</v>
      </c>
      <c r="E17" s="205" t="str">
        <f>VLOOKUP($B17,Inputs!$B$60:$C$76,2,FALSE)</f>
        <v>Fixed</v>
      </c>
      <c r="G17" s="209">
        <f t="shared" si="5"/>
        <v>5750</v>
      </c>
      <c r="H17" s="209">
        <f t="shared" si="5"/>
        <v>5750</v>
      </c>
      <c r="I17" s="209">
        <f t="shared" si="5"/>
        <v>5750</v>
      </c>
      <c r="J17" s="209">
        <f t="shared" si="5"/>
        <v>5750</v>
      </c>
      <c r="K17" s="209">
        <f t="shared" si="5"/>
        <v>5750</v>
      </c>
      <c r="L17" s="209">
        <f t="shared" si="5"/>
        <v>5750</v>
      </c>
      <c r="M17" s="209">
        <f t="shared" si="5"/>
        <v>5750</v>
      </c>
      <c r="N17" s="209">
        <f t="shared" si="5"/>
        <v>5750</v>
      </c>
      <c r="O17" s="209">
        <f t="shared" si="5"/>
        <v>5750</v>
      </c>
      <c r="P17" s="209">
        <f t="shared" si="5"/>
        <v>5750</v>
      </c>
      <c r="Q17" s="209">
        <f t="shared" si="5"/>
        <v>5750</v>
      </c>
      <c r="R17" s="209">
        <f t="shared" si="5"/>
        <v>5750</v>
      </c>
      <c r="S17" s="209">
        <f t="shared" si="5"/>
        <v>5750</v>
      </c>
      <c r="T17" s="209">
        <f t="shared" si="5"/>
        <v>5750</v>
      </c>
      <c r="U17" s="209">
        <f t="shared" si="5"/>
        <v>5750</v>
      </c>
      <c r="V17" s="209">
        <f t="shared" si="5"/>
        <v>5750</v>
      </c>
      <c r="W17" s="209">
        <f t="shared" si="6"/>
        <v>5750</v>
      </c>
      <c r="X17" s="209">
        <f t="shared" si="6"/>
        <v>5750</v>
      </c>
      <c r="Y17" s="209">
        <f t="shared" si="6"/>
        <v>5750</v>
      </c>
      <c r="Z17" s="209">
        <f t="shared" si="6"/>
        <v>5750</v>
      </c>
    </row>
    <row r="18" spans="2:26" x14ac:dyDescent="0.2">
      <c r="B18" s="1" t="s">
        <v>2</v>
      </c>
      <c r="C18" s="201">
        <f t="shared" si="4"/>
        <v>2810.9474999999998</v>
      </c>
      <c r="D18" s="210">
        <f t="shared" si="1"/>
        <v>6.4162234649623364E-3</v>
      </c>
      <c r="E18" s="205" t="str">
        <f>VLOOKUP($B18,Inputs!$B$60:$C$76,2,FALSE)</f>
        <v>Variable</v>
      </c>
      <c r="G18" s="209">
        <f t="shared" si="5"/>
        <v>2832.0296062499997</v>
      </c>
      <c r="H18" s="209">
        <f t="shared" si="5"/>
        <v>2853.2698282968745</v>
      </c>
      <c r="I18" s="209">
        <f t="shared" si="5"/>
        <v>2874.6693520091012</v>
      </c>
      <c r="J18" s="209">
        <f t="shared" si="5"/>
        <v>2896.2293721491696</v>
      </c>
      <c r="K18" s="209">
        <f t="shared" si="5"/>
        <v>2917.9510924402884</v>
      </c>
      <c r="L18" s="209">
        <f t="shared" si="5"/>
        <v>2939.8357256335912</v>
      </c>
      <c r="M18" s="209">
        <f t="shared" si="5"/>
        <v>2961.8844935758434</v>
      </c>
      <c r="N18" s="209">
        <f t="shared" si="5"/>
        <v>2984.0986272776622</v>
      </c>
      <c r="O18" s="209">
        <f t="shared" si="5"/>
        <v>3006.4793669822448</v>
      </c>
      <c r="P18" s="209">
        <f t="shared" si="5"/>
        <v>3029.027962234612</v>
      </c>
      <c r="Q18" s="209">
        <f t="shared" si="5"/>
        <v>3051.7456719513716</v>
      </c>
      <c r="R18" s="209">
        <f t="shared" si="5"/>
        <v>3074.6337644910072</v>
      </c>
      <c r="S18" s="209">
        <f t="shared" si="5"/>
        <v>3097.6935177246901</v>
      </c>
      <c r="T18" s="209">
        <f t="shared" si="5"/>
        <v>3120.9262191076255</v>
      </c>
      <c r="U18" s="209">
        <f t="shared" si="5"/>
        <v>3144.3331657509329</v>
      </c>
      <c r="V18" s="209">
        <f t="shared" si="5"/>
        <v>3167.9156644940649</v>
      </c>
      <c r="W18" s="209">
        <f t="shared" si="6"/>
        <v>3191.6750319777707</v>
      </c>
      <c r="X18" s="209">
        <f t="shared" si="6"/>
        <v>3215.6125947176042</v>
      </c>
      <c r="Y18" s="209">
        <f t="shared" si="6"/>
        <v>3239.7296891779861</v>
      </c>
      <c r="Z18" s="209">
        <f t="shared" si="6"/>
        <v>3264.027661846821</v>
      </c>
    </row>
    <row r="19" spans="2:26" x14ac:dyDescent="0.2">
      <c r="B19" s="1" t="s">
        <v>3</v>
      </c>
      <c r="C19" s="201">
        <f t="shared" si="4"/>
        <v>2810.9474999999998</v>
      </c>
      <c r="D19" s="210">
        <f t="shared" si="1"/>
        <v>6.4162234649623364E-3</v>
      </c>
      <c r="E19" s="205" t="str">
        <f>VLOOKUP($B19,Inputs!$B$60:$C$76,2,FALSE)</f>
        <v>Variable</v>
      </c>
      <c r="G19" s="209">
        <f t="shared" si="5"/>
        <v>2832.0296062499997</v>
      </c>
      <c r="H19" s="209">
        <f t="shared" si="5"/>
        <v>2853.2698282968745</v>
      </c>
      <c r="I19" s="209">
        <f t="shared" si="5"/>
        <v>2874.6693520091012</v>
      </c>
      <c r="J19" s="209">
        <f t="shared" si="5"/>
        <v>2896.2293721491696</v>
      </c>
      <c r="K19" s="209">
        <f t="shared" si="5"/>
        <v>2917.9510924402884</v>
      </c>
      <c r="L19" s="209">
        <f t="shared" si="5"/>
        <v>2939.8357256335912</v>
      </c>
      <c r="M19" s="209">
        <f t="shared" si="5"/>
        <v>2961.8844935758434</v>
      </c>
      <c r="N19" s="209">
        <f t="shared" si="5"/>
        <v>2984.0986272776622</v>
      </c>
      <c r="O19" s="209">
        <f t="shared" si="5"/>
        <v>3006.4793669822448</v>
      </c>
      <c r="P19" s="209">
        <f t="shared" si="5"/>
        <v>3029.027962234612</v>
      </c>
      <c r="Q19" s="209">
        <f t="shared" si="5"/>
        <v>3051.7456719513716</v>
      </c>
      <c r="R19" s="209">
        <f t="shared" si="5"/>
        <v>3074.6337644910072</v>
      </c>
      <c r="S19" s="209">
        <f t="shared" si="5"/>
        <v>3097.6935177246901</v>
      </c>
      <c r="T19" s="209">
        <f t="shared" si="5"/>
        <v>3120.9262191076255</v>
      </c>
      <c r="U19" s="209">
        <f t="shared" si="5"/>
        <v>3144.3331657509329</v>
      </c>
      <c r="V19" s="209">
        <f t="shared" si="5"/>
        <v>3167.9156644940649</v>
      </c>
      <c r="W19" s="209">
        <f t="shared" si="6"/>
        <v>3191.6750319777707</v>
      </c>
      <c r="X19" s="209">
        <f t="shared" si="6"/>
        <v>3215.6125947176042</v>
      </c>
      <c r="Y19" s="209">
        <f t="shared" si="6"/>
        <v>3239.7296891779861</v>
      </c>
      <c r="Z19" s="209">
        <f t="shared" si="6"/>
        <v>3264.027661846821</v>
      </c>
    </row>
    <row r="20" spans="2:26" x14ac:dyDescent="0.2">
      <c r="B20" s="1" t="s">
        <v>16</v>
      </c>
      <c r="C20" s="201">
        <f t="shared" si="4"/>
        <v>2810.9474999999998</v>
      </c>
      <c r="D20" s="210">
        <f t="shared" si="1"/>
        <v>6.4162234649623364E-3</v>
      </c>
      <c r="E20" s="205" t="str">
        <f>VLOOKUP($B20,Inputs!$B$60:$C$76,2,FALSE)</f>
        <v>Variable</v>
      </c>
      <c r="G20" s="209">
        <f t="shared" si="5"/>
        <v>2832.0296062499997</v>
      </c>
      <c r="H20" s="209">
        <f t="shared" si="5"/>
        <v>2853.2698282968745</v>
      </c>
      <c r="I20" s="209">
        <f t="shared" si="5"/>
        <v>2874.6693520091012</v>
      </c>
      <c r="J20" s="209">
        <f t="shared" si="5"/>
        <v>2896.2293721491696</v>
      </c>
      <c r="K20" s="209">
        <f t="shared" si="5"/>
        <v>2917.9510924402884</v>
      </c>
      <c r="L20" s="209">
        <f t="shared" si="5"/>
        <v>2939.8357256335912</v>
      </c>
      <c r="M20" s="209">
        <f t="shared" si="5"/>
        <v>2961.8844935758434</v>
      </c>
      <c r="N20" s="209">
        <f t="shared" si="5"/>
        <v>2984.0986272776622</v>
      </c>
      <c r="O20" s="209">
        <f t="shared" si="5"/>
        <v>3006.4793669822448</v>
      </c>
      <c r="P20" s="209">
        <f t="shared" si="5"/>
        <v>3029.027962234612</v>
      </c>
      <c r="Q20" s="209">
        <f t="shared" si="5"/>
        <v>3051.7456719513716</v>
      </c>
      <c r="R20" s="209">
        <f t="shared" si="5"/>
        <v>3074.6337644910072</v>
      </c>
      <c r="S20" s="209">
        <f t="shared" si="5"/>
        <v>3097.6935177246901</v>
      </c>
      <c r="T20" s="209">
        <f t="shared" si="5"/>
        <v>3120.9262191076255</v>
      </c>
      <c r="U20" s="209">
        <f t="shared" si="5"/>
        <v>3144.3331657509329</v>
      </c>
      <c r="V20" s="209">
        <f t="shared" si="5"/>
        <v>3167.9156644940649</v>
      </c>
      <c r="W20" s="209">
        <f t="shared" si="6"/>
        <v>3191.6750319777707</v>
      </c>
      <c r="X20" s="209">
        <f t="shared" si="6"/>
        <v>3215.6125947176042</v>
      </c>
      <c r="Y20" s="209">
        <f t="shared" si="6"/>
        <v>3239.7296891779861</v>
      </c>
      <c r="Z20" s="209">
        <f t="shared" si="6"/>
        <v>3264.027661846821</v>
      </c>
    </row>
    <row r="21" spans="2:26" x14ac:dyDescent="0.2">
      <c r="B21" s="1" t="s">
        <v>4</v>
      </c>
      <c r="C21" s="201">
        <f t="shared" si="4"/>
        <v>5621.8949999999995</v>
      </c>
      <c r="D21" s="210">
        <f t="shared" si="1"/>
        <v>1.2832446929924673E-2</v>
      </c>
      <c r="E21" s="205" t="str">
        <f>VLOOKUP($B21,Inputs!$B$60:$C$76,2,FALSE)</f>
        <v>Variable</v>
      </c>
      <c r="G21" s="209">
        <f t="shared" si="5"/>
        <v>5664.0592124999994</v>
      </c>
      <c r="H21" s="209">
        <f t="shared" si="5"/>
        <v>5706.539656593749</v>
      </c>
      <c r="I21" s="209">
        <f t="shared" si="5"/>
        <v>5749.3387040182024</v>
      </c>
      <c r="J21" s="209">
        <f t="shared" si="5"/>
        <v>5792.4587442983393</v>
      </c>
      <c r="K21" s="209">
        <f t="shared" si="5"/>
        <v>5835.9021848805769</v>
      </c>
      <c r="L21" s="209">
        <f t="shared" si="5"/>
        <v>5879.6714512671824</v>
      </c>
      <c r="M21" s="209">
        <f t="shared" si="5"/>
        <v>5923.7689871516868</v>
      </c>
      <c r="N21" s="209">
        <f t="shared" si="5"/>
        <v>5968.1972545553244</v>
      </c>
      <c r="O21" s="209">
        <f t="shared" si="5"/>
        <v>6012.9587339644895</v>
      </c>
      <c r="P21" s="209">
        <f t="shared" si="5"/>
        <v>6058.055924469224</v>
      </c>
      <c r="Q21" s="209">
        <f t="shared" si="5"/>
        <v>6103.4913439027432</v>
      </c>
      <c r="R21" s="209">
        <f t="shared" si="5"/>
        <v>6149.2675289820145</v>
      </c>
      <c r="S21" s="209">
        <f t="shared" si="5"/>
        <v>6195.3870354493802</v>
      </c>
      <c r="T21" s="209">
        <f t="shared" si="5"/>
        <v>6241.8524382152509</v>
      </c>
      <c r="U21" s="209">
        <f t="shared" si="5"/>
        <v>6288.6663315018659</v>
      </c>
      <c r="V21" s="209">
        <f t="shared" si="5"/>
        <v>6335.8313289881298</v>
      </c>
      <c r="W21" s="209">
        <f t="shared" si="6"/>
        <v>6383.3500639555414</v>
      </c>
      <c r="X21" s="209">
        <f t="shared" si="6"/>
        <v>6431.2251894352084</v>
      </c>
      <c r="Y21" s="209">
        <f t="shared" si="6"/>
        <v>6479.4593783559721</v>
      </c>
      <c r="Z21" s="209">
        <f t="shared" si="6"/>
        <v>6528.0553236936421</v>
      </c>
    </row>
    <row r="22" spans="2:26" x14ac:dyDescent="0.2">
      <c r="B22" s="67" t="s">
        <v>200</v>
      </c>
      <c r="C22" s="206">
        <f>SUM(C16:C21)</f>
        <v>29424.424499999997</v>
      </c>
      <c r="D22" s="207">
        <f t="shared" si="1"/>
        <v>6.7163717187856645E-2</v>
      </c>
      <c r="E22" s="208"/>
      <c r="G22" s="206">
        <f>SUM(G16:G21)</f>
        <v>29601.982683749997</v>
      </c>
      <c r="H22" s="206">
        <f t="shared" ref="H22:Z22" si="7">SUM(H16:H21)</f>
        <v>29780.872553878122</v>
      </c>
      <c r="I22" s="206">
        <f t="shared" si="7"/>
        <v>29961.10409803221</v>
      </c>
      <c r="J22" s="206">
        <f t="shared" si="7"/>
        <v>30142.687378767452</v>
      </c>
      <c r="K22" s="206">
        <f t="shared" si="7"/>
        <v>30325.632534108212</v>
      </c>
      <c r="L22" s="206">
        <f t="shared" si="7"/>
        <v>30509.949778114024</v>
      </c>
      <c r="M22" s="206">
        <f t="shared" si="7"/>
        <v>30695.649401449882</v>
      </c>
      <c r="N22" s="206">
        <f t="shared" si="7"/>
        <v>30882.741771960755</v>
      </c>
      <c r="O22" s="206">
        <f t="shared" si="7"/>
        <v>31071.237335250469</v>
      </c>
      <c r="P22" s="206">
        <f t="shared" si="7"/>
        <v>31261.146615264846</v>
      </c>
      <c r="Q22" s="206">
        <f t="shared" si="7"/>
        <v>31452.480214879331</v>
      </c>
      <c r="R22" s="206">
        <f t="shared" si="7"/>
        <v>31645.248816490934</v>
      </c>
      <c r="S22" s="206">
        <f t="shared" si="7"/>
        <v>31839.463182614611</v>
      </c>
      <c r="T22" s="206">
        <f t="shared" si="7"/>
        <v>32035.134156484226</v>
      </c>
      <c r="U22" s="206">
        <f t="shared" si="7"/>
        <v>32232.272662657859</v>
      </c>
      <c r="V22" s="206">
        <f t="shared" si="7"/>
        <v>32430.889707627797</v>
      </c>
      <c r="W22" s="206">
        <f t="shared" si="7"/>
        <v>32630.996380435005</v>
      </c>
      <c r="X22" s="206">
        <f t="shared" si="7"/>
        <v>32832.603853288267</v>
      </c>
      <c r="Y22" s="206">
        <f t="shared" si="7"/>
        <v>33035.72338218792</v>
      </c>
      <c r="Z22" s="206">
        <f t="shared" si="7"/>
        <v>33240.36630755433</v>
      </c>
    </row>
    <row r="23" spans="2:26" x14ac:dyDescent="0.2">
      <c r="B23" s="67" t="s">
        <v>201</v>
      </c>
      <c r="C23" s="211">
        <f>C14+C22</f>
        <v>154355.42449999999</v>
      </c>
      <c r="D23" s="212">
        <f t="shared" si="1"/>
        <v>0.3523292045195161</v>
      </c>
      <c r="E23" s="208"/>
      <c r="G23" s="211">
        <f>G22+G14</f>
        <v>155469.96518375</v>
      </c>
      <c r="H23" s="211">
        <f t="shared" ref="H23:Z23" si="8">H22+H14</f>
        <v>156592.86492262813</v>
      </c>
      <c r="I23" s="211">
        <f t="shared" si="8"/>
        <v>157724.18640954784</v>
      </c>
      <c r="J23" s="211">
        <f t="shared" si="8"/>
        <v>158863.99280761945</v>
      </c>
      <c r="K23" s="211">
        <f t="shared" si="8"/>
        <v>160012.34775367661</v>
      </c>
      <c r="L23" s="211">
        <f t="shared" si="8"/>
        <v>161169.31536182921</v>
      </c>
      <c r="M23" s="211">
        <f t="shared" si="8"/>
        <v>162334.96022704293</v>
      </c>
      <c r="N23" s="211">
        <f t="shared" si="8"/>
        <v>163509.34742874576</v>
      </c>
      <c r="O23" s="211">
        <f t="shared" si="8"/>
        <v>164692.54253446139</v>
      </c>
      <c r="P23" s="211">
        <f t="shared" si="8"/>
        <v>165884.61160346985</v>
      </c>
      <c r="Q23" s="211">
        <f t="shared" si="8"/>
        <v>167085.62119049588</v>
      </c>
      <c r="R23" s="211">
        <f t="shared" si="8"/>
        <v>168295.63834942461</v>
      </c>
      <c r="S23" s="211">
        <f t="shared" si="8"/>
        <v>169514.73063704532</v>
      </c>
      <c r="T23" s="211">
        <f t="shared" si="8"/>
        <v>170742.96611682317</v>
      </c>
      <c r="U23" s="211">
        <f t="shared" si="8"/>
        <v>171980.41336269936</v>
      </c>
      <c r="V23" s="211">
        <f t="shared" si="8"/>
        <v>173227.14146291959</v>
      </c>
      <c r="W23" s="211">
        <f t="shared" si="8"/>
        <v>174483.22002389151</v>
      </c>
      <c r="X23" s="211">
        <f t="shared" si="8"/>
        <v>175748.71917407069</v>
      </c>
      <c r="Y23" s="211">
        <f t="shared" si="8"/>
        <v>177023.70956787621</v>
      </c>
      <c r="Z23" s="211">
        <f t="shared" si="8"/>
        <v>178308.26238963529</v>
      </c>
    </row>
    <row r="24" spans="2:26" x14ac:dyDescent="0.2">
      <c r="C24" s="209"/>
      <c r="D24" s="210"/>
      <c r="E24" s="208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2:26" x14ac:dyDescent="0.2">
      <c r="B25" s="1" t="s">
        <v>71</v>
      </c>
      <c r="C25" s="201">
        <f>INDEX(ExistingTable,MATCH($B25,ExistingRow,0),MATCH(C$5,ExistingColumns,0))/4</f>
        <v>113906</v>
      </c>
      <c r="D25" s="210">
        <f t="shared" si="1"/>
        <v>0.26</v>
      </c>
      <c r="E25" s="205" t="str">
        <f>VLOOKUP($B25,Inputs!$B$60:$C$76,2,FALSE)</f>
        <v>Variable</v>
      </c>
      <c r="G25" s="209">
        <f>IF($E25="Variable",G$10*$D25,$C25)</f>
        <v>114760.295</v>
      </c>
      <c r="H25" s="209">
        <f t="shared" ref="H25:Z26" si="9">IF($E25="Variable",H$10*$D25,$C25)</f>
        <v>115620.99721250001</v>
      </c>
      <c r="I25" s="209">
        <f t="shared" si="9"/>
        <v>116488.15469159377</v>
      </c>
      <c r="J25" s="209">
        <f t="shared" si="9"/>
        <v>117361.81585178072</v>
      </c>
      <c r="K25" s="209">
        <f t="shared" si="9"/>
        <v>118242.02947066908</v>
      </c>
      <c r="L25" s="209">
        <f t="shared" si="9"/>
        <v>119128.84469169911</v>
      </c>
      <c r="M25" s="209">
        <f t="shared" si="9"/>
        <v>120022.31102688686</v>
      </c>
      <c r="N25" s="209">
        <f t="shared" si="9"/>
        <v>120922.47835958852</v>
      </c>
      <c r="O25" s="209">
        <f t="shared" si="9"/>
        <v>121829.39694728545</v>
      </c>
      <c r="P25" s="209">
        <f t="shared" si="9"/>
        <v>122743.11742439009</v>
      </c>
      <c r="Q25" s="209">
        <f t="shared" si="9"/>
        <v>123663.69080507303</v>
      </c>
      <c r="R25" s="209">
        <f t="shared" si="9"/>
        <v>124591.16848611108</v>
      </c>
      <c r="S25" s="209">
        <f t="shared" si="9"/>
        <v>125525.60224975694</v>
      </c>
      <c r="T25" s="209">
        <f t="shared" si="9"/>
        <v>126467.04426663012</v>
      </c>
      <c r="U25" s="209">
        <f t="shared" si="9"/>
        <v>127415.54709862985</v>
      </c>
      <c r="V25" s="209">
        <f t="shared" si="9"/>
        <v>128371.16370186958</v>
      </c>
      <c r="W25" s="209">
        <f t="shared" si="9"/>
        <v>129333.9474296336</v>
      </c>
      <c r="X25" s="209">
        <f t="shared" si="9"/>
        <v>130303.95203535586</v>
      </c>
      <c r="Y25" s="209">
        <f t="shared" si="9"/>
        <v>131281.23167562103</v>
      </c>
      <c r="Z25" s="209">
        <f t="shared" si="9"/>
        <v>132265.84091318821</v>
      </c>
    </row>
    <row r="26" spans="2:26" x14ac:dyDescent="0.2">
      <c r="B26" s="1" t="s">
        <v>72</v>
      </c>
      <c r="C26" s="201">
        <f>INDEX(ExistingTable,MATCH($B26,ExistingRow,0),MATCH(C$5,ExistingColumns,0))/4</f>
        <v>13143</v>
      </c>
      <c r="D26" s="210">
        <f t="shared" si="1"/>
        <v>0.03</v>
      </c>
      <c r="E26" s="205" t="str">
        <f>VLOOKUP($B26,Inputs!$B$60:$C$76,2,FALSE)</f>
        <v>Variable</v>
      </c>
      <c r="G26" s="209">
        <f>IF($E26="Variable",G$10*$D26,$C26)</f>
        <v>13241.5725</v>
      </c>
      <c r="H26" s="209">
        <f t="shared" si="9"/>
        <v>13340.884293749999</v>
      </c>
      <c r="I26" s="209">
        <f t="shared" si="9"/>
        <v>13440.940925953126</v>
      </c>
      <c r="J26" s="209">
        <f t="shared" si="9"/>
        <v>13541.747982897776</v>
      </c>
      <c r="K26" s="209">
        <f t="shared" si="9"/>
        <v>13643.311092769509</v>
      </c>
      <c r="L26" s="209">
        <f t="shared" si="9"/>
        <v>13745.635925965282</v>
      </c>
      <c r="M26" s="209">
        <f t="shared" si="9"/>
        <v>13848.728195410022</v>
      </c>
      <c r="N26" s="209">
        <f t="shared" si="9"/>
        <v>13952.593656875599</v>
      </c>
      <c r="O26" s="209">
        <f t="shared" si="9"/>
        <v>14057.238109302165</v>
      </c>
      <c r="P26" s="209">
        <f t="shared" si="9"/>
        <v>14162.667395121933</v>
      </c>
      <c r="Q26" s="209">
        <f t="shared" si="9"/>
        <v>14268.887400585349</v>
      </c>
      <c r="R26" s="209">
        <f t="shared" si="9"/>
        <v>14375.904056089739</v>
      </c>
      <c r="S26" s="209">
        <f t="shared" si="9"/>
        <v>14483.723336510413</v>
      </c>
      <c r="T26" s="209">
        <f t="shared" si="9"/>
        <v>14592.351261534242</v>
      </c>
      <c r="U26" s="209">
        <f t="shared" si="9"/>
        <v>14701.79389599575</v>
      </c>
      <c r="V26" s="209">
        <f t="shared" si="9"/>
        <v>14812.05735021572</v>
      </c>
      <c r="W26" s="209">
        <f t="shared" si="9"/>
        <v>14923.147780342339</v>
      </c>
      <c r="X26" s="209">
        <f t="shared" si="9"/>
        <v>15035.071388694907</v>
      </c>
      <c r="Y26" s="209">
        <f t="shared" si="9"/>
        <v>15147.834424110119</v>
      </c>
      <c r="Z26" s="209">
        <f t="shared" si="9"/>
        <v>15261.443182290945</v>
      </c>
    </row>
    <row r="27" spans="2:26" x14ac:dyDescent="0.2">
      <c r="B27" s="67" t="s">
        <v>202</v>
      </c>
      <c r="C27" s="206">
        <f>SUM(C25:C26)</f>
        <v>127049</v>
      </c>
      <c r="D27" s="207">
        <f t="shared" si="1"/>
        <v>0.28999999999999998</v>
      </c>
      <c r="E27" s="208"/>
      <c r="G27" s="206">
        <f>SUM(G25:G26)</f>
        <v>128001.86749999999</v>
      </c>
      <c r="H27" s="206">
        <f t="shared" ref="H27:Z27" si="10">SUM(H25:H26)</f>
        <v>128961.88150625001</v>
      </c>
      <c r="I27" s="206">
        <f t="shared" si="10"/>
        <v>129929.09561754689</v>
      </c>
      <c r="J27" s="206">
        <f t="shared" si="10"/>
        <v>130903.5638346785</v>
      </c>
      <c r="K27" s="206">
        <f t="shared" si="10"/>
        <v>131885.3405634386</v>
      </c>
      <c r="L27" s="206">
        <f t="shared" si="10"/>
        <v>132874.48061766441</v>
      </c>
      <c r="M27" s="206">
        <f t="shared" si="10"/>
        <v>133871.03922229688</v>
      </c>
      <c r="N27" s="206">
        <f t="shared" si="10"/>
        <v>134875.07201646411</v>
      </c>
      <c r="O27" s="206">
        <f t="shared" si="10"/>
        <v>135886.63505658761</v>
      </c>
      <c r="P27" s="206">
        <f t="shared" si="10"/>
        <v>136905.78481951202</v>
      </c>
      <c r="Q27" s="206">
        <f t="shared" si="10"/>
        <v>137932.57820565838</v>
      </c>
      <c r="R27" s="206">
        <f t="shared" si="10"/>
        <v>138967.07254220083</v>
      </c>
      <c r="S27" s="206">
        <f t="shared" si="10"/>
        <v>140009.32558626734</v>
      </c>
      <c r="T27" s="206">
        <f t="shared" si="10"/>
        <v>141059.39552816437</v>
      </c>
      <c r="U27" s="206">
        <f t="shared" si="10"/>
        <v>142117.34099462559</v>
      </c>
      <c r="V27" s="206">
        <f t="shared" si="10"/>
        <v>143183.22105208528</v>
      </c>
      <c r="W27" s="206">
        <f t="shared" si="10"/>
        <v>144257.09520997593</v>
      </c>
      <c r="X27" s="206">
        <f t="shared" si="10"/>
        <v>145339.02342405077</v>
      </c>
      <c r="Y27" s="206">
        <f t="shared" si="10"/>
        <v>146429.06609973116</v>
      </c>
      <c r="Z27" s="206">
        <f t="shared" si="10"/>
        <v>147527.28409547915</v>
      </c>
    </row>
    <row r="28" spans="2:26" x14ac:dyDescent="0.2">
      <c r="C28" s="209"/>
      <c r="D28" s="210"/>
      <c r="E28" s="208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</row>
    <row r="29" spans="2:26" x14ac:dyDescent="0.2">
      <c r="B29" s="1" t="s">
        <v>73</v>
      </c>
      <c r="C29" s="201">
        <f>INDEX(ExistingTable,MATCH($B29,ExistingRow,0),MATCH(C$5,ExistingColumns,0))/4</f>
        <v>6571.5</v>
      </c>
      <c r="D29" s="210">
        <f t="shared" si="1"/>
        <v>1.4999999999999999E-2</v>
      </c>
      <c r="E29" s="205" t="str">
        <f>VLOOKUP($B29,Inputs!$B$60:$C$76,2,FALSE)</f>
        <v>Variable</v>
      </c>
      <c r="G29" s="209">
        <f t="shared" ref="G29:V33" si="11">IF($E29="Variable",G$10*$D29,$C29)</f>
        <v>6620.7862500000001</v>
      </c>
      <c r="H29" s="209">
        <f t="shared" si="11"/>
        <v>6670.4421468749997</v>
      </c>
      <c r="I29" s="209">
        <f t="shared" si="11"/>
        <v>6720.4704629765629</v>
      </c>
      <c r="J29" s="209">
        <f t="shared" si="11"/>
        <v>6770.8739914488879</v>
      </c>
      <c r="K29" s="209">
        <f t="shared" si="11"/>
        <v>6821.6555463847544</v>
      </c>
      <c r="L29" s="209">
        <f t="shared" si="11"/>
        <v>6872.8179629826409</v>
      </c>
      <c r="M29" s="209">
        <f t="shared" si="11"/>
        <v>6924.3640977050109</v>
      </c>
      <c r="N29" s="209">
        <f t="shared" si="11"/>
        <v>6976.2968284377994</v>
      </c>
      <c r="O29" s="209">
        <f t="shared" si="11"/>
        <v>7028.6190546510825</v>
      </c>
      <c r="P29" s="209">
        <f t="shared" si="11"/>
        <v>7081.3336975609664</v>
      </c>
      <c r="Q29" s="209">
        <f t="shared" si="11"/>
        <v>7134.4437002926743</v>
      </c>
      <c r="R29" s="209">
        <f t="shared" si="11"/>
        <v>7187.9520280448696</v>
      </c>
      <c r="S29" s="209">
        <f t="shared" si="11"/>
        <v>7241.8616682552065</v>
      </c>
      <c r="T29" s="209">
        <f t="shared" si="11"/>
        <v>7296.1756307671212</v>
      </c>
      <c r="U29" s="209">
        <f t="shared" si="11"/>
        <v>7350.896947997875</v>
      </c>
      <c r="V29" s="209">
        <f t="shared" si="11"/>
        <v>7406.0286751078602</v>
      </c>
      <c r="W29" s="209">
        <f t="shared" ref="W29:Z33" si="12">IF($E29="Variable",W$10*$D29,$C29)</f>
        <v>7461.5738901711693</v>
      </c>
      <c r="X29" s="209">
        <f t="shared" si="12"/>
        <v>7517.5356943474535</v>
      </c>
      <c r="Y29" s="209">
        <f t="shared" si="12"/>
        <v>7573.9172120550593</v>
      </c>
      <c r="Z29" s="209">
        <f t="shared" si="12"/>
        <v>7630.7215911454723</v>
      </c>
    </row>
    <row r="30" spans="2:26" x14ac:dyDescent="0.2">
      <c r="B30" s="1" t="s">
        <v>74</v>
      </c>
      <c r="C30" s="201">
        <f>INDEX(ExistingTable,MATCH($B30,ExistingRow,0),MATCH(C$5,ExistingColumns,0))/4</f>
        <v>8762</v>
      </c>
      <c r="D30" s="210">
        <f t="shared" si="1"/>
        <v>0.02</v>
      </c>
      <c r="E30" s="205" t="str">
        <f>VLOOKUP($B30,Inputs!$B$60:$C$76,2,FALSE)</f>
        <v>Variable</v>
      </c>
      <c r="G30" s="209">
        <f t="shared" si="11"/>
        <v>8827.7150000000001</v>
      </c>
      <c r="H30" s="209">
        <f t="shared" si="11"/>
        <v>8893.9228624999996</v>
      </c>
      <c r="I30" s="209">
        <f t="shared" si="11"/>
        <v>8960.6272839687517</v>
      </c>
      <c r="J30" s="209">
        <f t="shared" si="11"/>
        <v>9027.8319885985165</v>
      </c>
      <c r="K30" s="209">
        <f t="shared" si="11"/>
        <v>9095.5407285130059</v>
      </c>
      <c r="L30" s="209">
        <f t="shared" si="11"/>
        <v>9163.7572839768545</v>
      </c>
      <c r="M30" s="209">
        <f t="shared" si="11"/>
        <v>9232.4854636066812</v>
      </c>
      <c r="N30" s="209">
        <f t="shared" si="11"/>
        <v>9301.7291045837319</v>
      </c>
      <c r="O30" s="209">
        <f t="shared" si="11"/>
        <v>9371.4920728681118</v>
      </c>
      <c r="P30" s="209">
        <f t="shared" si="11"/>
        <v>9441.7782634146224</v>
      </c>
      <c r="Q30" s="209">
        <f t="shared" si="11"/>
        <v>9512.591600390233</v>
      </c>
      <c r="R30" s="209">
        <f t="shared" si="11"/>
        <v>9583.9360373931595</v>
      </c>
      <c r="S30" s="209">
        <f t="shared" si="11"/>
        <v>9655.8155576736099</v>
      </c>
      <c r="T30" s="209">
        <f t="shared" si="11"/>
        <v>9728.2341743561628</v>
      </c>
      <c r="U30" s="209">
        <f t="shared" si="11"/>
        <v>9801.1959306638346</v>
      </c>
      <c r="V30" s="209">
        <f t="shared" si="11"/>
        <v>9874.7049001438136</v>
      </c>
      <c r="W30" s="209">
        <f t="shared" si="12"/>
        <v>9948.7651868948924</v>
      </c>
      <c r="X30" s="209">
        <f t="shared" si="12"/>
        <v>10023.380925796604</v>
      </c>
      <c r="Y30" s="209">
        <f t="shared" si="12"/>
        <v>10098.556282740079</v>
      </c>
      <c r="Z30" s="209">
        <f t="shared" si="12"/>
        <v>10174.29545486063</v>
      </c>
    </row>
    <row r="31" spans="2:26" x14ac:dyDescent="0.2">
      <c r="B31" s="1" t="s">
        <v>75</v>
      </c>
      <c r="C31" s="201">
        <f>INDEX(ExistingTable,MATCH($B31,ExistingRow,0),MATCH(C$5,ExistingColumns,0))/4</f>
        <v>3066.7000000000003</v>
      </c>
      <c r="D31" s="210">
        <f t="shared" si="1"/>
        <v>7.000000000000001E-3</v>
      </c>
      <c r="E31" s="205" t="str">
        <f>VLOOKUP($B31,Inputs!$B$60:$C$76,2,FALSE)</f>
        <v>Variable</v>
      </c>
      <c r="G31" s="209">
        <f t="shared" si="11"/>
        <v>3089.7002500000003</v>
      </c>
      <c r="H31" s="209">
        <f t="shared" si="11"/>
        <v>3112.8730018750007</v>
      </c>
      <c r="I31" s="209">
        <f t="shared" si="11"/>
        <v>3136.2195493890631</v>
      </c>
      <c r="J31" s="209">
        <f t="shared" si="11"/>
        <v>3159.7411960094814</v>
      </c>
      <c r="K31" s="209">
        <f t="shared" si="11"/>
        <v>3183.4392549795525</v>
      </c>
      <c r="L31" s="209">
        <f t="shared" si="11"/>
        <v>3207.3150493918997</v>
      </c>
      <c r="M31" s="209">
        <f t="shared" si="11"/>
        <v>3231.3699122623389</v>
      </c>
      <c r="N31" s="209">
        <f t="shared" si="11"/>
        <v>3255.6051866043067</v>
      </c>
      <c r="O31" s="209">
        <f t="shared" si="11"/>
        <v>3280.0222255038393</v>
      </c>
      <c r="P31" s="209">
        <f t="shared" si="11"/>
        <v>3304.6223921951182</v>
      </c>
      <c r="Q31" s="209">
        <f t="shared" si="11"/>
        <v>3329.407060136582</v>
      </c>
      <c r="R31" s="209">
        <f t="shared" si="11"/>
        <v>3354.3776130876063</v>
      </c>
      <c r="S31" s="209">
        <f t="shared" si="11"/>
        <v>3379.5354451857638</v>
      </c>
      <c r="T31" s="209">
        <f t="shared" si="11"/>
        <v>3404.8819610246574</v>
      </c>
      <c r="U31" s="209">
        <f t="shared" si="11"/>
        <v>3430.4185757323426</v>
      </c>
      <c r="V31" s="209">
        <f t="shared" si="11"/>
        <v>3456.1467150503354</v>
      </c>
      <c r="W31" s="209">
        <f t="shared" si="12"/>
        <v>3482.0678154132129</v>
      </c>
      <c r="X31" s="209">
        <f t="shared" si="12"/>
        <v>3508.183324028812</v>
      </c>
      <c r="Y31" s="209">
        <f t="shared" si="12"/>
        <v>3534.4946989590285</v>
      </c>
      <c r="Z31" s="209">
        <f t="shared" si="12"/>
        <v>3561.0034092012211</v>
      </c>
    </row>
    <row r="32" spans="2:26" x14ac:dyDescent="0.2">
      <c r="B32" s="1" t="s">
        <v>76</v>
      </c>
      <c r="C32" s="201">
        <f>INDEX(ExistingTable,MATCH($B32,ExistingRow,0),MATCH(C$5,ExistingColumns,0))/4</f>
        <v>4000</v>
      </c>
      <c r="D32" s="210">
        <f t="shared" si="1"/>
        <v>9.1303355398310894E-3</v>
      </c>
      <c r="E32" s="205" t="str">
        <f>VLOOKUP($B32,Inputs!$B$60:$C$76,2,FALSE)</f>
        <v>Fixed</v>
      </c>
      <c r="G32" s="209">
        <f t="shared" si="11"/>
        <v>4000</v>
      </c>
      <c r="H32" s="209">
        <f t="shared" si="11"/>
        <v>4000</v>
      </c>
      <c r="I32" s="209">
        <f t="shared" si="11"/>
        <v>4000</v>
      </c>
      <c r="J32" s="209">
        <f t="shared" si="11"/>
        <v>4000</v>
      </c>
      <c r="K32" s="209">
        <f t="shared" si="11"/>
        <v>4000</v>
      </c>
      <c r="L32" s="209">
        <f t="shared" si="11"/>
        <v>4000</v>
      </c>
      <c r="M32" s="209">
        <f t="shared" si="11"/>
        <v>4000</v>
      </c>
      <c r="N32" s="209">
        <f t="shared" si="11"/>
        <v>4000</v>
      </c>
      <c r="O32" s="209">
        <f t="shared" si="11"/>
        <v>4000</v>
      </c>
      <c r="P32" s="209">
        <f t="shared" si="11"/>
        <v>4000</v>
      </c>
      <c r="Q32" s="209">
        <f t="shared" si="11"/>
        <v>4000</v>
      </c>
      <c r="R32" s="209">
        <f t="shared" si="11"/>
        <v>4000</v>
      </c>
      <c r="S32" s="209">
        <f t="shared" si="11"/>
        <v>4000</v>
      </c>
      <c r="T32" s="209">
        <f t="shared" si="11"/>
        <v>4000</v>
      </c>
      <c r="U32" s="209">
        <f t="shared" si="11"/>
        <v>4000</v>
      </c>
      <c r="V32" s="209">
        <f t="shared" si="11"/>
        <v>4000</v>
      </c>
      <c r="W32" s="209">
        <f t="shared" si="12"/>
        <v>4000</v>
      </c>
      <c r="X32" s="209">
        <f t="shared" si="12"/>
        <v>4000</v>
      </c>
      <c r="Y32" s="209">
        <f t="shared" si="12"/>
        <v>4000</v>
      </c>
      <c r="Z32" s="209">
        <f t="shared" si="12"/>
        <v>4000</v>
      </c>
    </row>
    <row r="33" spans="2:26" x14ac:dyDescent="0.2">
      <c r="B33" s="1" t="s">
        <v>43</v>
      </c>
      <c r="C33" s="201">
        <f>INDEX(ExistingTable,MATCH($B33,ExistingRow,0),MATCH(C$5,ExistingColumns,0))/4</f>
        <v>20750</v>
      </c>
      <c r="D33" s="210">
        <f t="shared" si="1"/>
        <v>4.736361561287377E-2</v>
      </c>
      <c r="E33" s="205" t="str">
        <f>VLOOKUP($B33,Inputs!$B$60:$C$76,2,FALSE)</f>
        <v>Fixed</v>
      </c>
      <c r="G33" s="209">
        <f t="shared" si="11"/>
        <v>20750</v>
      </c>
      <c r="H33" s="209">
        <f t="shared" si="11"/>
        <v>20750</v>
      </c>
      <c r="I33" s="209">
        <f t="shared" si="11"/>
        <v>20750</v>
      </c>
      <c r="J33" s="209">
        <f t="shared" si="11"/>
        <v>20750</v>
      </c>
      <c r="K33" s="209">
        <f t="shared" si="11"/>
        <v>20750</v>
      </c>
      <c r="L33" s="209">
        <f t="shared" si="11"/>
        <v>20750</v>
      </c>
      <c r="M33" s="209">
        <f t="shared" si="11"/>
        <v>20750</v>
      </c>
      <c r="N33" s="209">
        <f t="shared" si="11"/>
        <v>20750</v>
      </c>
      <c r="O33" s="209">
        <f t="shared" si="11"/>
        <v>20750</v>
      </c>
      <c r="P33" s="209">
        <f t="shared" si="11"/>
        <v>20750</v>
      </c>
      <c r="Q33" s="209">
        <f t="shared" si="11"/>
        <v>20750</v>
      </c>
      <c r="R33" s="209">
        <f t="shared" si="11"/>
        <v>20750</v>
      </c>
      <c r="S33" s="209">
        <f t="shared" si="11"/>
        <v>20750</v>
      </c>
      <c r="T33" s="209">
        <f t="shared" si="11"/>
        <v>20750</v>
      </c>
      <c r="U33" s="209">
        <f t="shared" si="11"/>
        <v>20750</v>
      </c>
      <c r="V33" s="209">
        <f t="shared" si="11"/>
        <v>20750</v>
      </c>
      <c r="W33" s="209">
        <f t="shared" si="12"/>
        <v>20750</v>
      </c>
      <c r="X33" s="209">
        <f t="shared" si="12"/>
        <v>20750</v>
      </c>
      <c r="Y33" s="209">
        <f t="shared" si="12"/>
        <v>20750</v>
      </c>
      <c r="Z33" s="209">
        <f t="shared" si="12"/>
        <v>20750</v>
      </c>
    </row>
    <row r="34" spans="2:26" x14ac:dyDescent="0.2">
      <c r="B34" s="67" t="s">
        <v>203</v>
      </c>
      <c r="C34" s="206">
        <f>SUM(C29:C33)</f>
        <v>43150.2</v>
      </c>
      <c r="D34" s="207">
        <f t="shared" si="1"/>
        <v>9.8493951152704859E-2</v>
      </c>
      <c r="E34" s="208"/>
      <c r="G34" s="206">
        <f>SUM(G29:G33)</f>
        <v>43288.201500000003</v>
      </c>
      <c r="H34" s="206">
        <f t="shared" ref="H34:Z34" si="13">SUM(H29:H33)</f>
        <v>43427.238011249996</v>
      </c>
      <c r="I34" s="206">
        <f t="shared" si="13"/>
        <v>43567.317296334375</v>
      </c>
      <c r="J34" s="206">
        <f t="shared" si="13"/>
        <v>43708.447176056885</v>
      </c>
      <c r="K34" s="206">
        <f t="shared" si="13"/>
        <v>43850.635529877312</v>
      </c>
      <c r="L34" s="206">
        <f t="shared" si="13"/>
        <v>43993.890296351397</v>
      </c>
      <c r="M34" s="206">
        <f t="shared" si="13"/>
        <v>44138.219473574034</v>
      </c>
      <c r="N34" s="206">
        <f t="shared" si="13"/>
        <v>44283.631119625832</v>
      </c>
      <c r="O34" s="206">
        <f t="shared" si="13"/>
        <v>44430.133353023033</v>
      </c>
      <c r="P34" s="206">
        <f t="shared" si="13"/>
        <v>44577.734353170701</v>
      </c>
      <c r="Q34" s="206">
        <f t="shared" si="13"/>
        <v>44726.442360819492</v>
      </c>
      <c r="R34" s="206">
        <f t="shared" si="13"/>
        <v>44876.26567852564</v>
      </c>
      <c r="S34" s="206">
        <f t="shared" si="13"/>
        <v>45027.212671114583</v>
      </c>
      <c r="T34" s="206">
        <f t="shared" si="13"/>
        <v>45179.291766147944</v>
      </c>
      <c r="U34" s="206">
        <f t="shared" si="13"/>
        <v>45332.511454394051</v>
      </c>
      <c r="V34" s="206">
        <f t="shared" si="13"/>
        <v>45486.880290302011</v>
      </c>
      <c r="W34" s="206">
        <f t="shared" si="13"/>
        <v>45642.406892479274</v>
      </c>
      <c r="X34" s="206">
        <f t="shared" si="13"/>
        <v>45799.099944172864</v>
      </c>
      <c r="Y34" s="206">
        <f t="shared" si="13"/>
        <v>45956.968193754161</v>
      </c>
      <c r="Z34" s="206">
        <f t="shared" si="13"/>
        <v>46116.020455207326</v>
      </c>
    </row>
    <row r="35" spans="2:26" x14ac:dyDescent="0.2">
      <c r="C35" s="209"/>
      <c r="D35" s="210"/>
      <c r="E35" s="208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spans="2:26" x14ac:dyDescent="0.2">
      <c r="B36" s="1" t="s">
        <v>42</v>
      </c>
      <c r="C36" s="201">
        <f>INDEX(ExistingTable,MATCH($B36,ExistingRow,0),MATCH(C$5,ExistingColumns,0))/4</f>
        <v>25000</v>
      </c>
      <c r="D36" s="210">
        <f t="shared" si="1"/>
        <v>5.7064597123944308E-2</v>
      </c>
      <c r="E36" s="205" t="str">
        <f>VLOOKUP($B36,Inputs!$B$60:$C$76,2,FALSE)</f>
        <v>Fixed</v>
      </c>
      <c r="G36" s="209">
        <f t="shared" ref="G36:V37" si="14">IF($E36="Variable",G$10*$D36,$C36)</f>
        <v>25000</v>
      </c>
      <c r="H36" s="209">
        <f t="shared" si="14"/>
        <v>25000</v>
      </c>
      <c r="I36" s="209">
        <f t="shared" si="14"/>
        <v>25000</v>
      </c>
      <c r="J36" s="209">
        <f t="shared" si="14"/>
        <v>25000</v>
      </c>
      <c r="K36" s="209">
        <f t="shared" si="14"/>
        <v>25000</v>
      </c>
      <c r="L36" s="209">
        <f t="shared" si="14"/>
        <v>25000</v>
      </c>
      <c r="M36" s="209">
        <f t="shared" si="14"/>
        <v>25000</v>
      </c>
      <c r="N36" s="209">
        <f t="shared" si="14"/>
        <v>25000</v>
      </c>
      <c r="O36" s="209">
        <f t="shared" si="14"/>
        <v>25000</v>
      </c>
      <c r="P36" s="209">
        <f t="shared" si="14"/>
        <v>25000</v>
      </c>
      <c r="Q36" s="209">
        <f t="shared" si="14"/>
        <v>25000</v>
      </c>
      <c r="R36" s="209">
        <f t="shared" si="14"/>
        <v>25000</v>
      </c>
      <c r="S36" s="209">
        <f t="shared" si="14"/>
        <v>25000</v>
      </c>
      <c r="T36" s="209">
        <f t="shared" si="14"/>
        <v>25000</v>
      </c>
      <c r="U36" s="209">
        <f t="shared" si="14"/>
        <v>25000</v>
      </c>
      <c r="V36" s="209">
        <f t="shared" si="14"/>
        <v>25000</v>
      </c>
      <c r="W36" s="209">
        <f t="shared" ref="W36:Z37" si="15">IF($E36="Variable",W$10*$D36,$C36)</f>
        <v>25000</v>
      </c>
      <c r="X36" s="209">
        <f t="shared" si="15"/>
        <v>25000</v>
      </c>
      <c r="Y36" s="209">
        <f t="shared" si="15"/>
        <v>25000</v>
      </c>
      <c r="Z36" s="209">
        <f t="shared" si="15"/>
        <v>25000</v>
      </c>
    </row>
    <row r="37" spans="2:26" x14ac:dyDescent="0.2">
      <c r="B37" s="1" t="s">
        <v>77</v>
      </c>
      <c r="C37" s="201">
        <f>INDEX(ExistingTable,MATCH($B37,ExistingRow,0),MATCH(C$5,ExistingColumns,0))/4</f>
        <v>7500</v>
      </c>
      <c r="D37" s="210">
        <f t="shared" si="1"/>
        <v>1.7119379137183293E-2</v>
      </c>
      <c r="E37" s="205" t="str">
        <f>VLOOKUP($B37,Inputs!$B$60:$C$76,2,FALSE)</f>
        <v>Fixed</v>
      </c>
      <c r="G37" s="209">
        <f t="shared" si="14"/>
        <v>7500</v>
      </c>
      <c r="H37" s="209">
        <f t="shared" si="14"/>
        <v>7500</v>
      </c>
      <c r="I37" s="209">
        <f t="shared" si="14"/>
        <v>7500</v>
      </c>
      <c r="J37" s="209">
        <f t="shared" si="14"/>
        <v>7500</v>
      </c>
      <c r="K37" s="209">
        <f t="shared" si="14"/>
        <v>7500</v>
      </c>
      <c r="L37" s="209">
        <f t="shared" si="14"/>
        <v>7500</v>
      </c>
      <c r="M37" s="209">
        <f t="shared" si="14"/>
        <v>7500</v>
      </c>
      <c r="N37" s="209">
        <f t="shared" si="14"/>
        <v>7500</v>
      </c>
      <c r="O37" s="209">
        <f t="shared" si="14"/>
        <v>7500</v>
      </c>
      <c r="P37" s="209">
        <f t="shared" si="14"/>
        <v>7500</v>
      </c>
      <c r="Q37" s="209">
        <f t="shared" si="14"/>
        <v>7500</v>
      </c>
      <c r="R37" s="209">
        <f t="shared" si="14"/>
        <v>7500</v>
      </c>
      <c r="S37" s="209">
        <f t="shared" si="14"/>
        <v>7500</v>
      </c>
      <c r="T37" s="209">
        <f t="shared" si="14"/>
        <v>7500</v>
      </c>
      <c r="U37" s="209">
        <f t="shared" si="14"/>
        <v>7500</v>
      </c>
      <c r="V37" s="209">
        <f t="shared" si="14"/>
        <v>7500</v>
      </c>
      <c r="W37" s="209">
        <f t="shared" si="15"/>
        <v>7500</v>
      </c>
      <c r="X37" s="209">
        <f t="shared" si="15"/>
        <v>7500</v>
      </c>
      <c r="Y37" s="209">
        <f t="shared" si="15"/>
        <v>7500</v>
      </c>
      <c r="Z37" s="209">
        <f t="shared" si="15"/>
        <v>7500</v>
      </c>
    </row>
    <row r="38" spans="2:26" x14ac:dyDescent="0.2">
      <c r="B38" s="67" t="s">
        <v>204</v>
      </c>
      <c r="C38" s="206">
        <f>SUM(C36:C37)</f>
        <v>32500</v>
      </c>
      <c r="D38" s="207">
        <f t="shared" si="1"/>
        <v>7.418397626112759E-2</v>
      </c>
      <c r="E38" s="213"/>
      <c r="G38" s="206">
        <f>SUM(G36:G37)</f>
        <v>32500</v>
      </c>
      <c r="H38" s="206">
        <f t="shared" ref="H38:Z38" si="16">SUM(H36:H37)</f>
        <v>32500</v>
      </c>
      <c r="I38" s="206">
        <f t="shared" si="16"/>
        <v>32500</v>
      </c>
      <c r="J38" s="206">
        <f t="shared" si="16"/>
        <v>32500</v>
      </c>
      <c r="K38" s="206">
        <f t="shared" si="16"/>
        <v>32500</v>
      </c>
      <c r="L38" s="206">
        <f t="shared" si="16"/>
        <v>32500</v>
      </c>
      <c r="M38" s="206">
        <f t="shared" si="16"/>
        <v>32500</v>
      </c>
      <c r="N38" s="206">
        <f t="shared" si="16"/>
        <v>32500</v>
      </c>
      <c r="O38" s="206">
        <f t="shared" si="16"/>
        <v>32500</v>
      </c>
      <c r="P38" s="206">
        <f t="shared" si="16"/>
        <v>32500</v>
      </c>
      <c r="Q38" s="206">
        <f t="shared" si="16"/>
        <v>32500</v>
      </c>
      <c r="R38" s="206">
        <f t="shared" si="16"/>
        <v>32500</v>
      </c>
      <c r="S38" s="206">
        <f t="shared" si="16"/>
        <v>32500</v>
      </c>
      <c r="T38" s="206">
        <f t="shared" si="16"/>
        <v>32500</v>
      </c>
      <c r="U38" s="206">
        <f t="shared" si="16"/>
        <v>32500</v>
      </c>
      <c r="V38" s="206">
        <f t="shared" si="16"/>
        <v>32500</v>
      </c>
      <c r="W38" s="206">
        <f t="shared" si="16"/>
        <v>32500</v>
      </c>
      <c r="X38" s="206">
        <f t="shared" si="16"/>
        <v>32500</v>
      </c>
      <c r="Y38" s="206">
        <f t="shared" si="16"/>
        <v>32500</v>
      </c>
      <c r="Z38" s="206">
        <f t="shared" si="16"/>
        <v>32500</v>
      </c>
    </row>
    <row r="39" spans="2:26" x14ac:dyDescent="0.2">
      <c r="C39" s="209"/>
      <c r="D39" s="210"/>
      <c r="E39" s="213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</row>
    <row r="40" spans="2:26" x14ac:dyDescent="0.2">
      <c r="B40" s="67" t="s">
        <v>205</v>
      </c>
      <c r="C40" s="206">
        <f>C10-C23-C27-C34-C38</f>
        <v>81045.375500000038</v>
      </c>
      <c r="D40" s="207">
        <f t="shared" si="1"/>
        <v>0.18499286806665155</v>
      </c>
      <c r="E40" s="213"/>
      <c r="G40" s="206">
        <f>G10-G23-G27-G34-G38</f>
        <v>82125.715816249984</v>
      </c>
      <c r="H40" s="206">
        <f t="shared" ref="H40:Z40" si="17">H10-H23-H27-H34-H38</f>
        <v>83214.158684871902</v>
      </c>
      <c r="I40" s="206">
        <f t="shared" si="17"/>
        <v>84310.764875008492</v>
      </c>
      <c r="J40" s="206">
        <f t="shared" si="17"/>
        <v>85415.595611571014</v>
      </c>
      <c r="K40" s="206">
        <f t="shared" si="17"/>
        <v>86528.712578657738</v>
      </c>
      <c r="L40" s="206">
        <f t="shared" si="17"/>
        <v>87650.17792299774</v>
      </c>
      <c r="M40" s="206">
        <f t="shared" si="17"/>
        <v>88780.054257420197</v>
      </c>
      <c r="N40" s="206">
        <f t="shared" si="17"/>
        <v>89918.404664350921</v>
      </c>
      <c r="O40" s="206">
        <f t="shared" si="17"/>
        <v>91065.292699333484</v>
      </c>
      <c r="P40" s="206">
        <f t="shared" si="17"/>
        <v>92220.782394578506</v>
      </c>
      <c r="Q40" s="206">
        <f t="shared" si="17"/>
        <v>93384.938262537849</v>
      </c>
      <c r="R40" s="206">
        <f t="shared" si="17"/>
        <v>94557.825299506891</v>
      </c>
      <c r="S40" s="206">
        <f t="shared" si="17"/>
        <v>95739.508989253271</v>
      </c>
      <c r="T40" s="206">
        <f t="shared" si="17"/>
        <v>96930.055306672672</v>
      </c>
      <c r="U40" s="206">
        <f t="shared" si="17"/>
        <v>98129.530721472722</v>
      </c>
      <c r="V40" s="206">
        <f t="shared" si="17"/>
        <v>99338.002201883792</v>
      </c>
      <c r="W40" s="206">
        <f t="shared" si="17"/>
        <v>100555.53721839786</v>
      </c>
      <c r="X40" s="206">
        <f t="shared" si="17"/>
        <v>101782.20374753591</v>
      </c>
      <c r="Y40" s="206">
        <f t="shared" si="17"/>
        <v>103018.07027564244</v>
      </c>
      <c r="Z40" s="206">
        <f t="shared" si="17"/>
        <v>104263.20580270971</v>
      </c>
    </row>
  </sheetData>
  <dataValidations count="1">
    <dataValidation type="list" allowBlank="1" showInputMessage="1" showErrorMessage="1" sqref="C5" xr:uid="{BBBEAE4E-80A3-472E-84CD-4A020445178E}">
      <formula1>StoreList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E8A9-B48F-4DC5-9614-4B500799FAD8}">
  <sheetPr>
    <tabColor rgb="FF92D050"/>
  </sheetPr>
  <dimension ref="B2:Z40"/>
  <sheetViews>
    <sheetView topLeftCell="A4" zoomScaleNormal="100" workbookViewId="0">
      <selection activeCell="C5" sqref="C5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3" width="8.5703125" style="1" bestFit="1" customWidth="1"/>
    <col min="4" max="4" width="9.85546875" style="1" bestFit="1" customWidth="1"/>
    <col min="5" max="5" width="10.85546875" style="1" bestFit="1" customWidth="1"/>
    <col min="6" max="6" width="1.7109375" style="1" customWidth="1"/>
    <col min="7" max="26" width="8.570312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5" spans="2:26" x14ac:dyDescent="0.2">
      <c r="B5" s="229" t="s">
        <v>220</v>
      </c>
      <c r="C5" s="230" t="s">
        <v>84</v>
      </c>
    </row>
    <row r="6" spans="2:26" x14ac:dyDescent="0.2">
      <c r="B6" s="229" t="s">
        <v>221</v>
      </c>
      <c r="C6" s="232">
        <f>VLOOKUP($C$5,Inputs!$B$10:$C$14,2,FALSE)</f>
        <v>47100</v>
      </c>
    </row>
    <row r="7" spans="2:26" x14ac:dyDescent="0.2">
      <c r="B7" s="197" t="s">
        <v>209</v>
      </c>
      <c r="C7" s="231">
        <f>VLOOKUP($C$5,Inputs!$B$10:$D$14,3,FALSE)</f>
        <v>0.04</v>
      </c>
    </row>
    <row r="8" spans="2:26" x14ac:dyDescent="0.2">
      <c r="B8" s="197"/>
      <c r="C8" s="198"/>
      <c r="G8" s="199" t="s">
        <v>6</v>
      </c>
      <c r="H8" s="199"/>
      <c r="I8" s="199"/>
      <c r="J8" s="199"/>
      <c r="K8" s="199" t="s">
        <v>7</v>
      </c>
      <c r="L8" s="199"/>
      <c r="M8" s="199"/>
      <c r="N8" s="199"/>
      <c r="O8" s="199" t="s">
        <v>8</v>
      </c>
      <c r="P8" s="199"/>
      <c r="Q8" s="199"/>
      <c r="R8" s="199"/>
      <c r="S8" s="199" t="s">
        <v>9</v>
      </c>
      <c r="T8" s="199"/>
      <c r="U8" s="199"/>
      <c r="V8" s="199"/>
      <c r="W8" s="199" t="s">
        <v>10</v>
      </c>
      <c r="X8" s="199"/>
      <c r="Y8" s="199"/>
      <c r="Z8" s="199"/>
    </row>
    <row r="9" spans="2:26" x14ac:dyDescent="0.2">
      <c r="C9" s="200" t="s">
        <v>210</v>
      </c>
      <c r="D9" s="200" t="s">
        <v>211</v>
      </c>
      <c r="E9" s="200" t="s">
        <v>212</v>
      </c>
      <c r="G9" s="200" t="s">
        <v>11</v>
      </c>
      <c r="H9" s="200" t="s">
        <v>12</v>
      </c>
      <c r="I9" s="200" t="s">
        <v>13</v>
      </c>
      <c r="J9" s="200" t="s">
        <v>14</v>
      </c>
      <c r="K9" s="200" t="s">
        <v>11</v>
      </c>
      <c r="L9" s="200" t="s">
        <v>12</v>
      </c>
      <c r="M9" s="200" t="s">
        <v>13</v>
      </c>
      <c r="N9" s="200" t="s">
        <v>14</v>
      </c>
      <c r="O9" s="200" t="s">
        <v>11</v>
      </c>
      <c r="P9" s="200" t="s">
        <v>12</v>
      </c>
      <c r="Q9" s="200" t="s">
        <v>13</v>
      </c>
      <c r="R9" s="200" t="s">
        <v>14</v>
      </c>
      <c r="S9" s="200" t="s">
        <v>11</v>
      </c>
      <c r="T9" s="200" t="s">
        <v>12</v>
      </c>
      <c r="U9" s="200" t="s">
        <v>13</v>
      </c>
      <c r="V9" s="200" t="s">
        <v>14</v>
      </c>
      <c r="W9" s="200" t="s">
        <v>11</v>
      </c>
      <c r="X9" s="200" t="s">
        <v>12</v>
      </c>
      <c r="Y9" s="200" t="s">
        <v>13</v>
      </c>
      <c r="Z9" s="200" t="s">
        <v>14</v>
      </c>
    </row>
    <row r="10" spans="2:26" x14ac:dyDescent="0.2">
      <c r="B10" s="33" t="s">
        <v>15</v>
      </c>
      <c r="C10" s="201">
        <f>INDEX(ExistingTable,MATCH($B10,ExistingRow,0),MATCH(C$5,ExistingColumns,0))/4</f>
        <v>612300</v>
      </c>
      <c r="D10" s="202">
        <f>C10/$C$10</f>
        <v>1</v>
      </c>
      <c r="G10" s="201">
        <f>$C$10*(1+$C$7/4)</f>
        <v>618423</v>
      </c>
      <c r="H10" s="201">
        <f>G10*(1+$C$7/4)</f>
        <v>624607.23</v>
      </c>
      <c r="I10" s="201">
        <f t="shared" ref="I10:Z10" si="0">H10*(1+$C$7/4)</f>
        <v>630853.30229999998</v>
      </c>
      <c r="J10" s="201">
        <f t="shared" si="0"/>
        <v>637161.83532299998</v>
      </c>
      <c r="K10" s="201">
        <f t="shared" si="0"/>
        <v>643533.45367622992</v>
      </c>
      <c r="L10" s="201">
        <f t="shared" si="0"/>
        <v>649968.78821299225</v>
      </c>
      <c r="M10" s="201">
        <f t="shared" si="0"/>
        <v>656468.47609512217</v>
      </c>
      <c r="N10" s="201">
        <f t="shared" si="0"/>
        <v>663033.16085607337</v>
      </c>
      <c r="O10" s="201">
        <f t="shared" si="0"/>
        <v>669663.49246463412</v>
      </c>
      <c r="P10" s="201">
        <f t="shared" si="0"/>
        <v>676360.12738928047</v>
      </c>
      <c r="Q10" s="201">
        <f t="shared" si="0"/>
        <v>683123.72866317327</v>
      </c>
      <c r="R10" s="201">
        <f t="shared" si="0"/>
        <v>689954.96594980499</v>
      </c>
      <c r="S10" s="201">
        <f t="shared" si="0"/>
        <v>696854.51560930302</v>
      </c>
      <c r="T10" s="201">
        <f t="shared" si="0"/>
        <v>703823.06076539611</v>
      </c>
      <c r="U10" s="201">
        <f t="shared" si="0"/>
        <v>710861.29137305007</v>
      </c>
      <c r="V10" s="201">
        <f t="shared" si="0"/>
        <v>717969.90428678063</v>
      </c>
      <c r="W10" s="201">
        <f t="shared" si="0"/>
        <v>725149.6033296485</v>
      </c>
      <c r="X10" s="201">
        <f t="shared" si="0"/>
        <v>732401.09936294495</v>
      </c>
      <c r="Y10" s="201">
        <f t="shared" si="0"/>
        <v>739725.11035657441</v>
      </c>
      <c r="Z10" s="201">
        <f t="shared" si="0"/>
        <v>747122.36146014021</v>
      </c>
    </row>
    <row r="11" spans="2:26" x14ac:dyDescent="0.2">
      <c r="B11" s="33"/>
      <c r="C11" s="201"/>
      <c r="D11" s="202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2:26" x14ac:dyDescent="0.2">
      <c r="B12" s="1" t="s">
        <v>66</v>
      </c>
      <c r="C12" s="201">
        <f>INDEX(ExistingTable,MATCH($B12,ExistingRow,0),MATCH(C$5,ExistingColumns,0))/4</f>
        <v>23375</v>
      </c>
      <c r="D12" s="204">
        <f t="shared" ref="D12:D40" si="1">C12/$C$10</f>
        <v>3.8175730850890086E-2</v>
      </c>
      <c r="E12" s="205" t="str">
        <f>VLOOKUP($B12,Inputs!$B$60:$C$76,2,FALSE)</f>
        <v>Variable</v>
      </c>
      <c r="G12" s="203">
        <f>IF($E12="Variable",G$10*$D12,$C12)</f>
        <v>23608.75</v>
      </c>
      <c r="H12" s="203">
        <f t="shared" ref="H12:Z13" si="2">IF($E12="Variable",H$10*$D12,$C12)</f>
        <v>23844.837499999998</v>
      </c>
      <c r="I12" s="203">
        <f t="shared" si="2"/>
        <v>24083.285874999998</v>
      </c>
      <c r="J12" s="203">
        <f t="shared" si="2"/>
        <v>24324.118733749998</v>
      </c>
      <c r="K12" s="203">
        <f t="shared" si="2"/>
        <v>24567.359921087496</v>
      </c>
      <c r="L12" s="203">
        <f t="shared" si="2"/>
        <v>24813.033520298373</v>
      </c>
      <c r="M12" s="203">
        <f t="shared" si="2"/>
        <v>25061.163855501356</v>
      </c>
      <c r="N12" s="203">
        <f t="shared" si="2"/>
        <v>25311.775494056368</v>
      </c>
      <c r="O12" s="203">
        <f t="shared" si="2"/>
        <v>25564.893248996934</v>
      </c>
      <c r="P12" s="203">
        <f t="shared" si="2"/>
        <v>25820.542181486904</v>
      </c>
      <c r="Q12" s="203">
        <f t="shared" si="2"/>
        <v>26078.74760330177</v>
      </c>
      <c r="R12" s="203">
        <f t="shared" si="2"/>
        <v>26339.53507933479</v>
      </c>
      <c r="S12" s="203">
        <f t="shared" si="2"/>
        <v>26602.930430128137</v>
      </c>
      <c r="T12" s="203">
        <f t="shared" si="2"/>
        <v>26868.95973442942</v>
      </c>
      <c r="U12" s="203">
        <f t="shared" si="2"/>
        <v>27137.649331773715</v>
      </c>
      <c r="V12" s="203">
        <f t="shared" si="2"/>
        <v>27409.025825091452</v>
      </c>
      <c r="W12" s="203">
        <f t="shared" si="2"/>
        <v>27683.116083342371</v>
      </c>
      <c r="X12" s="203">
        <f t="shared" si="2"/>
        <v>27959.947244175793</v>
      </c>
      <c r="Y12" s="203">
        <f t="shared" si="2"/>
        <v>28239.546716617551</v>
      </c>
      <c r="Z12" s="203">
        <f t="shared" si="2"/>
        <v>28521.942183783729</v>
      </c>
    </row>
    <row r="13" spans="2:26" x14ac:dyDescent="0.2">
      <c r="B13" s="1" t="s">
        <v>69</v>
      </c>
      <c r="C13" s="201">
        <f>INDEX(ExistingTable,MATCH($B13,ExistingRow,0),MATCH(C$5,ExistingColumns,0))/4</f>
        <v>101556</v>
      </c>
      <c r="D13" s="204">
        <f t="shared" si="1"/>
        <v>0.16585987261146498</v>
      </c>
      <c r="E13" s="205" t="str">
        <f>VLOOKUP($B13,Inputs!$B$60:$C$76,2,FALSE)</f>
        <v>Variable</v>
      </c>
      <c r="G13" s="203">
        <f>IF($E13="Variable",G$10*$D13,$C13)</f>
        <v>102571.56000000001</v>
      </c>
      <c r="H13" s="203">
        <f t="shared" si="2"/>
        <v>103597.27560000001</v>
      </c>
      <c r="I13" s="203">
        <f t="shared" si="2"/>
        <v>104633.24835600001</v>
      </c>
      <c r="J13" s="203">
        <f t="shared" si="2"/>
        <v>105679.58083956</v>
      </c>
      <c r="K13" s="203">
        <f t="shared" si="2"/>
        <v>106736.37664795559</v>
      </c>
      <c r="L13" s="203">
        <f t="shared" si="2"/>
        <v>107803.74041443516</v>
      </c>
      <c r="M13" s="203">
        <f t="shared" si="2"/>
        <v>108881.7778185795</v>
      </c>
      <c r="N13" s="203">
        <f t="shared" si="2"/>
        <v>109970.5955967653</v>
      </c>
      <c r="O13" s="203">
        <f t="shared" si="2"/>
        <v>111070.30155273296</v>
      </c>
      <c r="P13" s="203">
        <f t="shared" si="2"/>
        <v>112181.00456826028</v>
      </c>
      <c r="Q13" s="203">
        <f t="shared" si="2"/>
        <v>113302.81461394289</v>
      </c>
      <c r="R13" s="203">
        <f t="shared" si="2"/>
        <v>114435.84276008232</v>
      </c>
      <c r="S13" s="203">
        <f t="shared" si="2"/>
        <v>115580.20118768314</v>
      </c>
      <c r="T13" s="203">
        <f t="shared" si="2"/>
        <v>116736.00319955997</v>
      </c>
      <c r="U13" s="203">
        <f t="shared" si="2"/>
        <v>117903.36323155557</v>
      </c>
      <c r="V13" s="203">
        <f t="shared" si="2"/>
        <v>119082.39686387114</v>
      </c>
      <c r="W13" s="203">
        <f t="shared" si="2"/>
        <v>120273.22083250986</v>
      </c>
      <c r="X13" s="203">
        <f t="shared" si="2"/>
        <v>121475.95304083495</v>
      </c>
      <c r="Y13" s="203">
        <f t="shared" si="2"/>
        <v>122690.7125712433</v>
      </c>
      <c r="Z13" s="203">
        <f t="shared" si="2"/>
        <v>123917.61969695575</v>
      </c>
    </row>
    <row r="14" spans="2:26" x14ac:dyDescent="0.2">
      <c r="B14" s="67" t="s">
        <v>199</v>
      </c>
      <c r="C14" s="206">
        <f>SUM(C12:C13)</f>
        <v>124931</v>
      </c>
      <c r="D14" s="207">
        <f t="shared" si="1"/>
        <v>0.20403560346235505</v>
      </c>
      <c r="E14" s="208"/>
      <c r="G14" s="206">
        <f>SUM(G12:G13)</f>
        <v>126180.31000000001</v>
      </c>
      <c r="H14" s="206">
        <f t="shared" ref="H14:Z14" si="3">SUM(H12:H13)</f>
        <v>127442.1131</v>
      </c>
      <c r="I14" s="206">
        <f t="shared" si="3"/>
        <v>128716.53423100001</v>
      </c>
      <c r="J14" s="206">
        <f t="shared" si="3"/>
        <v>130003.69957331</v>
      </c>
      <c r="K14" s="206">
        <f t="shared" si="3"/>
        <v>131303.73656904307</v>
      </c>
      <c r="L14" s="206">
        <f t="shared" si="3"/>
        <v>132616.77393473353</v>
      </c>
      <c r="M14" s="206">
        <f t="shared" si="3"/>
        <v>133942.94167408085</v>
      </c>
      <c r="N14" s="206">
        <f t="shared" si="3"/>
        <v>135282.37109082166</v>
      </c>
      <c r="O14" s="206">
        <f t="shared" si="3"/>
        <v>136635.1948017299</v>
      </c>
      <c r="P14" s="206">
        <f t="shared" si="3"/>
        <v>138001.54674974718</v>
      </c>
      <c r="Q14" s="206">
        <f t="shared" si="3"/>
        <v>139381.56221724465</v>
      </c>
      <c r="R14" s="206">
        <f t="shared" si="3"/>
        <v>140775.37783941711</v>
      </c>
      <c r="S14" s="206">
        <f t="shared" si="3"/>
        <v>142183.13161781128</v>
      </c>
      <c r="T14" s="206">
        <f t="shared" si="3"/>
        <v>143604.96293398939</v>
      </c>
      <c r="U14" s="206">
        <f t="shared" si="3"/>
        <v>145041.01256332928</v>
      </c>
      <c r="V14" s="206">
        <f t="shared" si="3"/>
        <v>146491.4226889626</v>
      </c>
      <c r="W14" s="206">
        <f t="shared" si="3"/>
        <v>147956.33691585224</v>
      </c>
      <c r="X14" s="206">
        <f t="shared" si="3"/>
        <v>149435.90028501075</v>
      </c>
      <c r="Y14" s="206">
        <f t="shared" si="3"/>
        <v>150930.25928786086</v>
      </c>
      <c r="Z14" s="206">
        <f t="shared" si="3"/>
        <v>152439.56188073946</v>
      </c>
    </row>
    <row r="15" spans="2:26" x14ac:dyDescent="0.2">
      <c r="C15" s="203"/>
      <c r="D15" s="204"/>
      <c r="E15" s="208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spans="2:26" x14ac:dyDescent="0.2">
      <c r="B16" s="1" t="s">
        <v>1</v>
      </c>
      <c r="C16" s="201">
        <f t="shared" ref="C16:C21" si="4">INDEX(ExistingTable,MATCH($B16,ExistingRow,0),MATCH(C$5,ExistingColumns,0))/4</f>
        <v>9619.6869999999999</v>
      </c>
      <c r="D16" s="210">
        <f t="shared" si="1"/>
        <v>1.5710741466601338E-2</v>
      </c>
      <c r="E16" s="205" t="str">
        <f>VLOOKUP($B16,Inputs!$B$60:$C$76,2,FALSE)</f>
        <v>Variable</v>
      </c>
      <c r="G16" s="209">
        <f t="shared" ref="G16:V21" si="5">IF($E16="Variable",G$10*$D16,$C16)</f>
        <v>9715.8838699999997</v>
      </c>
      <c r="H16" s="209">
        <f t="shared" si="5"/>
        <v>9813.0427086999989</v>
      </c>
      <c r="I16" s="209">
        <f t="shared" si="5"/>
        <v>9911.1731357869994</v>
      </c>
      <c r="J16" s="209">
        <f t="shared" si="5"/>
        <v>10010.284867144868</v>
      </c>
      <c r="K16" s="209">
        <f t="shared" si="5"/>
        <v>10110.387715816316</v>
      </c>
      <c r="L16" s="209">
        <f t="shared" si="5"/>
        <v>10211.49159297448</v>
      </c>
      <c r="M16" s="209">
        <f t="shared" si="5"/>
        <v>10313.606508904224</v>
      </c>
      <c r="N16" s="209">
        <f t="shared" si="5"/>
        <v>10416.742573993266</v>
      </c>
      <c r="O16" s="209">
        <f t="shared" si="5"/>
        <v>10520.9099997332</v>
      </c>
      <c r="P16" s="209">
        <f t="shared" si="5"/>
        <v>10626.119099730531</v>
      </c>
      <c r="Q16" s="209">
        <f t="shared" si="5"/>
        <v>10732.380290727837</v>
      </c>
      <c r="R16" s="209">
        <f t="shared" si="5"/>
        <v>10839.704093635115</v>
      </c>
      <c r="S16" s="209">
        <f t="shared" si="5"/>
        <v>10948.101134571467</v>
      </c>
      <c r="T16" s="209">
        <f t="shared" si="5"/>
        <v>11057.582145917182</v>
      </c>
      <c r="U16" s="209">
        <f t="shared" si="5"/>
        <v>11168.157967376354</v>
      </c>
      <c r="V16" s="209">
        <f t="shared" si="5"/>
        <v>11279.839547050118</v>
      </c>
      <c r="W16" s="209">
        <f t="shared" ref="W16:Z21" si="6">IF($E16="Variable",W$10*$D16,$C16)</f>
        <v>11392.63794252062</v>
      </c>
      <c r="X16" s="209">
        <f t="shared" si="6"/>
        <v>11506.564321945825</v>
      </c>
      <c r="Y16" s="209">
        <f t="shared" si="6"/>
        <v>11621.629965165284</v>
      </c>
      <c r="Z16" s="209">
        <f t="shared" si="6"/>
        <v>11737.846264816937</v>
      </c>
    </row>
    <row r="17" spans="2:26" x14ac:dyDescent="0.2">
      <c r="B17" s="1" t="s">
        <v>0</v>
      </c>
      <c r="C17" s="201">
        <f t="shared" si="4"/>
        <v>5750</v>
      </c>
      <c r="D17" s="210">
        <f t="shared" si="1"/>
        <v>9.3908214927323208E-3</v>
      </c>
      <c r="E17" s="205" t="str">
        <f>VLOOKUP($B17,Inputs!$B$60:$C$76,2,FALSE)</f>
        <v>Fixed</v>
      </c>
      <c r="G17" s="209">
        <f t="shared" si="5"/>
        <v>5750</v>
      </c>
      <c r="H17" s="209">
        <f t="shared" si="5"/>
        <v>5750</v>
      </c>
      <c r="I17" s="209">
        <f t="shared" si="5"/>
        <v>5750</v>
      </c>
      <c r="J17" s="209">
        <f t="shared" si="5"/>
        <v>5750</v>
      </c>
      <c r="K17" s="209">
        <f t="shared" si="5"/>
        <v>5750</v>
      </c>
      <c r="L17" s="209">
        <f t="shared" si="5"/>
        <v>5750</v>
      </c>
      <c r="M17" s="209">
        <f t="shared" si="5"/>
        <v>5750</v>
      </c>
      <c r="N17" s="209">
        <f t="shared" si="5"/>
        <v>5750</v>
      </c>
      <c r="O17" s="209">
        <f t="shared" si="5"/>
        <v>5750</v>
      </c>
      <c r="P17" s="209">
        <f t="shared" si="5"/>
        <v>5750</v>
      </c>
      <c r="Q17" s="209">
        <f t="shared" si="5"/>
        <v>5750</v>
      </c>
      <c r="R17" s="209">
        <f t="shared" si="5"/>
        <v>5750</v>
      </c>
      <c r="S17" s="209">
        <f t="shared" si="5"/>
        <v>5750</v>
      </c>
      <c r="T17" s="209">
        <f t="shared" si="5"/>
        <v>5750</v>
      </c>
      <c r="U17" s="209">
        <f t="shared" si="5"/>
        <v>5750</v>
      </c>
      <c r="V17" s="209">
        <f t="shared" si="5"/>
        <v>5750</v>
      </c>
      <c r="W17" s="209">
        <f t="shared" si="6"/>
        <v>5750</v>
      </c>
      <c r="X17" s="209">
        <f t="shared" si="6"/>
        <v>5750</v>
      </c>
      <c r="Y17" s="209">
        <f t="shared" si="6"/>
        <v>5750</v>
      </c>
      <c r="Z17" s="209">
        <f t="shared" si="6"/>
        <v>5750</v>
      </c>
    </row>
    <row r="18" spans="2:26" x14ac:dyDescent="0.2">
      <c r="B18" s="1" t="s">
        <v>2</v>
      </c>
      <c r="C18" s="201">
        <f t="shared" si="4"/>
        <v>2810.9474999999998</v>
      </c>
      <c r="D18" s="210">
        <f t="shared" si="1"/>
        <v>4.5908010779029881E-3</v>
      </c>
      <c r="E18" s="205" t="str">
        <f>VLOOKUP($B18,Inputs!$B$60:$C$76,2,FALSE)</f>
        <v>Variable</v>
      </c>
      <c r="G18" s="209">
        <f t="shared" si="5"/>
        <v>2839.0569749999995</v>
      </c>
      <c r="H18" s="209">
        <f t="shared" si="5"/>
        <v>2867.4475447499995</v>
      </c>
      <c r="I18" s="209">
        <f t="shared" si="5"/>
        <v>2896.1220201974998</v>
      </c>
      <c r="J18" s="209">
        <f t="shared" si="5"/>
        <v>2925.0832403994746</v>
      </c>
      <c r="K18" s="209">
        <f t="shared" si="5"/>
        <v>2954.3340728034691</v>
      </c>
      <c r="L18" s="209">
        <f t="shared" si="5"/>
        <v>2983.8774135315039</v>
      </c>
      <c r="M18" s="209">
        <f t="shared" si="5"/>
        <v>3013.7161876668188</v>
      </c>
      <c r="N18" s="209">
        <f t="shared" si="5"/>
        <v>3043.8533495434872</v>
      </c>
      <c r="O18" s="209">
        <f t="shared" si="5"/>
        <v>3074.2918830389217</v>
      </c>
      <c r="P18" s="209">
        <f t="shared" si="5"/>
        <v>3105.0348018693112</v>
      </c>
      <c r="Q18" s="209">
        <f t="shared" si="5"/>
        <v>3136.0851498880043</v>
      </c>
      <c r="R18" s="209">
        <f t="shared" si="5"/>
        <v>3167.4460013868843</v>
      </c>
      <c r="S18" s="209">
        <f t="shared" si="5"/>
        <v>3199.1204614007529</v>
      </c>
      <c r="T18" s="209">
        <f t="shared" si="5"/>
        <v>3231.1116660147609</v>
      </c>
      <c r="U18" s="209">
        <f t="shared" si="5"/>
        <v>3263.4227826749084</v>
      </c>
      <c r="V18" s="209">
        <f t="shared" si="5"/>
        <v>3296.0570105016577</v>
      </c>
      <c r="W18" s="209">
        <f t="shared" si="6"/>
        <v>3329.0175806066745</v>
      </c>
      <c r="X18" s="209">
        <f t="shared" si="6"/>
        <v>3362.3077564127411</v>
      </c>
      <c r="Y18" s="209">
        <f t="shared" si="6"/>
        <v>3395.9308339768686</v>
      </c>
      <c r="Z18" s="209">
        <f t="shared" si="6"/>
        <v>3429.8901423166376</v>
      </c>
    </row>
    <row r="19" spans="2:26" x14ac:dyDescent="0.2">
      <c r="B19" s="1" t="s">
        <v>3</v>
      </c>
      <c r="C19" s="201">
        <f t="shared" si="4"/>
        <v>2810.9474999999998</v>
      </c>
      <c r="D19" s="210">
        <f t="shared" si="1"/>
        <v>4.5908010779029881E-3</v>
      </c>
      <c r="E19" s="205" t="str">
        <f>VLOOKUP($B19,Inputs!$B$60:$C$76,2,FALSE)</f>
        <v>Variable</v>
      </c>
      <c r="G19" s="209">
        <f t="shared" si="5"/>
        <v>2839.0569749999995</v>
      </c>
      <c r="H19" s="209">
        <f t="shared" si="5"/>
        <v>2867.4475447499995</v>
      </c>
      <c r="I19" s="209">
        <f t="shared" si="5"/>
        <v>2896.1220201974998</v>
      </c>
      <c r="J19" s="209">
        <f t="shared" si="5"/>
        <v>2925.0832403994746</v>
      </c>
      <c r="K19" s="209">
        <f t="shared" si="5"/>
        <v>2954.3340728034691</v>
      </c>
      <c r="L19" s="209">
        <f t="shared" si="5"/>
        <v>2983.8774135315039</v>
      </c>
      <c r="M19" s="209">
        <f t="shared" si="5"/>
        <v>3013.7161876668188</v>
      </c>
      <c r="N19" s="209">
        <f t="shared" si="5"/>
        <v>3043.8533495434872</v>
      </c>
      <c r="O19" s="209">
        <f t="shared" si="5"/>
        <v>3074.2918830389217</v>
      </c>
      <c r="P19" s="209">
        <f t="shared" si="5"/>
        <v>3105.0348018693112</v>
      </c>
      <c r="Q19" s="209">
        <f t="shared" si="5"/>
        <v>3136.0851498880043</v>
      </c>
      <c r="R19" s="209">
        <f t="shared" si="5"/>
        <v>3167.4460013868843</v>
      </c>
      <c r="S19" s="209">
        <f t="shared" si="5"/>
        <v>3199.1204614007529</v>
      </c>
      <c r="T19" s="209">
        <f t="shared" si="5"/>
        <v>3231.1116660147609</v>
      </c>
      <c r="U19" s="209">
        <f t="shared" si="5"/>
        <v>3263.4227826749084</v>
      </c>
      <c r="V19" s="209">
        <f t="shared" si="5"/>
        <v>3296.0570105016577</v>
      </c>
      <c r="W19" s="209">
        <f t="shared" si="6"/>
        <v>3329.0175806066745</v>
      </c>
      <c r="X19" s="209">
        <f t="shared" si="6"/>
        <v>3362.3077564127411</v>
      </c>
      <c r="Y19" s="209">
        <f t="shared" si="6"/>
        <v>3395.9308339768686</v>
      </c>
      <c r="Z19" s="209">
        <f t="shared" si="6"/>
        <v>3429.8901423166376</v>
      </c>
    </row>
    <row r="20" spans="2:26" x14ac:dyDescent="0.2">
      <c r="B20" s="1" t="s">
        <v>16</v>
      </c>
      <c r="C20" s="201">
        <f t="shared" si="4"/>
        <v>2810.9474999999998</v>
      </c>
      <c r="D20" s="210">
        <f t="shared" si="1"/>
        <v>4.5908010779029881E-3</v>
      </c>
      <c r="E20" s="205" t="str">
        <f>VLOOKUP($B20,Inputs!$B$60:$C$76,2,FALSE)</f>
        <v>Variable</v>
      </c>
      <c r="G20" s="209">
        <f t="shared" si="5"/>
        <v>2839.0569749999995</v>
      </c>
      <c r="H20" s="209">
        <f t="shared" si="5"/>
        <v>2867.4475447499995</v>
      </c>
      <c r="I20" s="209">
        <f t="shared" si="5"/>
        <v>2896.1220201974998</v>
      </c>
      <c r="J20" s="209">
        <f t="shared" si="5"/>
        <v>2925.0832403994746</v>
      </c>
      <c r="K20" s="209">
        <f t="shared" si="5"/>
        <v>2954.3340728034691</v>
      </c>
      <c r="L20" s="209">
        <f t="shared" si="5"/>
        <v>2983.8774135315039</v>
      </c>
      <c r="M20" s="209">
        <f t="shared" si="5"/>
        <v>3013.7161876668188</v>
      </c>
      <c r="N20" s="209">
        <f t="shared" si="5"/>
        <v>3043.8533495434872</v>
      </c>
      <c r="O20" s="209">
        <f t="shared" si="5"/>
        <v>3074.2918830389217</v>
      </c>
      <c r="P20" s="209">
        <f t="shared" si="5"/>
        <v>3105.0348018693112</v>
      </c>
      <c r="Q20" s="209">
        <f t="shared" si="5"/>
        <v>3136.0851498880043</v>
      </c>
      <c r="R20" s="209">
        <f t="shared" si="5"/>
        <v>3167.4460013868843</v>
      </c>
      <c r="S20" s="209">
        <f t="shared" si="5"/>
        <v>3199.1204614007529</v>
      </c>
      <c r="T20" s="209">
        <f t="shared" si="5"/>
        <v>3231.1116660147609</v>
      </c>
      <c r="U20" s="209">
        <f t="shared" si="5"/>
        <v>3263.4227826749084</v>
      </c>
      <c r="V20" s="209">
        <f t="shared" si="5"/>
        <v>3296.0570105016577</v>
      </c>
      <c r="W20" s="209">
        <f t="shared" si="6"/>
        <v>3329.0175806066745</v>
      </c>
      <c r="X20" s="209">
        <f t="shared" si="6"/>
        <v>3362.3077564127411</v>
      </c>
      <c r="Y20" s="209">
        <f t="shared" si="6"/>
        <v>3395.9308339768686</v>
      </c>
      <c r="Z20" s="209">
        <f t="shared" si="6"/>
        <v>3429.8901423166376</v>
      </c>
    </row>
    <row r="21" spans="2:26" x14ac:dyDescent="0.2">
      <c r="B21" s="1" t="s">
        <v>4</v>
      </c>
      <c r="C21" s="201">
        <f t="shared" si="4"/>
        <v>5621.8949999999995</v>
      </c>
      <c r="D21" s="210">
        <f t="shared" si="1"/>
        <v>9.1816021558059763E-3</v>
      </c>
      <c r="E21" s="205" t="str">
        <f>VLOOKUP($B21,Inputs!$B$60:$C$76,2,FALSE)</f>
        <v>Variable</v>
      </c>
      <c r="G21" s="209">
        <f t="shared" si="5"/>
        <v>5678.113949999999</v>
      </c>
      <c r="H21" s="209">
        <f t="shared" si="5"/>
        <v>5734.8950894999989</v>
      </c>
      <c r="I21" s="209">
        <f t="shared" si="5"/>
        <v>5792.2440403949995</v>
      </c>
      <c r="J21" s="209">
        <f t="shared" si="5"/>
        <v>5850.1664807989491</v>
      </c>
      <c r="K21" s="209">
        <f t="shared" si="5"/>
        <v>5908.6681456069382</v>
      </c>
      <c r="L21" s="209">
        <f t="shared" si="5"/>
        <v>5967.7548270630077</v>
      </c>
      <c r="M21" s="209">
        <f t="shared" si="5"/>
        <v>6027.4323753336375</v>
      </c>
      <c r="N21" s="209">
        <f t="shared" si="5"/>
        <v>6087.7066990869744</v>
      </c>
      <c r="O21" s="209">
        <f t="shared" si="5"/>
        <v>6148.5837660778434</v>
      </c>
      <c r="P21" s="209">
        <f t="shared" si="5"/>
        <v>6210.0696037386224</v>
      </c>
      <c r="Q21" s="209">
        <f t="shared" si="5"/>
        <v>6272.1702997760085</v>
      </c>
      <c r="R21" s="209">
        <f t="shared" si="5"/>
        <v>6334.8920027737686</v>
      </c>
      <c r="S21" s="209">
        <f t="shared" si="5"/>
        <v>6398.2409228015058</v>
      </c>
      <c r="T21" s="209">
        <f t="shared" si="5"/>
        <v>6462.2233320295218</v>
      </c>
      <c r="U21" s="209">
        <f t="shared" si="5"/>
        <v>6526.8455653498168</v>
      </c>
      <c r="V21" s="209">
        <f t="shared" si="5"/>
        <v>6592.1140210033154</v>
      </c>
      <c r="W21" s="209">
        <f t="shared" si="6"/>
        <v>6658.0351612133491</v>
      </c>
      <c r="X21" s="209">
        <f t="shared" si="6"/>
        <v>6724.6155128254823</v>
      </c>
      <c r="Y21" s="209">
        <f t="shared" si="6"/>
        <v>6791.8616679537372</v>
      </c>
      <c r="Z21" s="209">
        <f t="shared" si="6"/>
        <v>6859.7802846332752</v>
      </c>
    </row>
    <row r="22" spans="2:26" x14ac:dyDescent="0.2">
      <c r="B22" s="67" t="s">
        <v>200</v>
      </c>
      <c r="C22" s="206">
        <f>SUM(C16:C21)</f>
        <v>29424.424499999997</v>
      </c>
      <c r="D22" s="207">
        <f t="shared" si="1"/>
        <v>4.8055568348848603E-2</v>
      </c>
      <c r="E22" s="208"/>
      <c r="G22" s="206">
        <f>SUM(G16:G21)</f>
        <v>29661.168744999995</v>
      </c>
      <c r="H22" s="206">
        <f t="shared" ref="H22:Z22" si="7">SUM(H16:H21)</f>
        <v>29900.280432449999</v>
      </c>
      <c r="I22" s="206">
        <f t="shared" si="7"/>
        <v>30141.7832367745</v>
      </c>
      <c r="J22" s="206">
        <f t="shared" si="7"/>
        <v>30385.70106914224</v>
      </c>
      <c r="K22" s="206">
        <f t="shared" si="7"/>
        <v>30632.058079833656</v>
      </c>
      <c r="L22" s="206">
        <f t="shared" si="7"/>
        <v>30880.878660631999</v>
      </c>
      <c r="M22" s="206">
        <f t="shared" si="7"/>
        <v>31132.187447238313</v>
      </c>
      <c r="N22" s="206">
        <f t="shared" si="7"/>
        <v>31386.009321710699</v>
      </c>
      <c r="O22" s="206">
        <f t="shared" si="7"/>
        <v>31642.369414927809</v>
      </c>
      <c r="P22" s="206">
        <f t="shared" si="7"/>
        <v>31901.293109077087</v>
      </c>
      <c r="Q22" s="206">
        <f t="shared" si="7"/>
        <v>32162.806040167856</v>
      </c>
      <c r="R22" s="206">
        <f t="shared" si="7"/>
        <v>32426.934100569539</v>
      </c>
      <c r="S22" s="206">
        <f t="shared" si="7"/>
        <v>32693.703441575224</v>
      </c>
      <c r="T22" s="206">
        <f t="shared" si="7"/>
        <v>32963.140475990986</v>
      </c>
      <c r="U22" s="206">
        <f t="shared" si="7"/>
        <v>33235.271880750894</v>
      </c>
      <c r="V22" s="206">
        <f t="shared" si="7"/>
        <v>33510.124599558418</v>
      </c>
      <c r="W22" s="206">
        <f t="shared" si="7"/>
        <v>33787.725845554</v>
      </c>
      <c r="X22" s="206">
        <f t="shared" si="7"/>
        <v>34068.103104009533</v>
      </c>
      <c r="Y22" s="206">
        <f t="shared" si="7"/>
        <v>34351.284135049631</v>
      </c>
      <c r="Z22" s="206">
        <f t="shared" si="7"/>
        <v>34637.296976400132</v>
      </c>
    </row>
    <row r="23" spans="2:26" x14ac:dyDescent="0.2">
      <c r="B23" s="67" t="s">
        <v>201</v>
      </c>
      <c r="C23" s="211">
        <f>C14+C22</f>
        <v>154355.42449999999</v>
      </c>
      <c r="D23" s="212">
        <f t="shared" si="1"/>
        <v>0.25209117181120366</v>
      </c>
      <c r="E23" s="208"/>
      <c r="G23" s="211">
        <f>G22+G14</f>
        <v>155841.478745</v>
      </c>
      <c r="H23" s="211">
        <f t="shared" ref="H23:Z23" si="8">H22+H14</f>
        <v>157342.39353244999</v>
      </c>
      <c r="I23" s="211">
        <f t="shared" si="8"/>
        <v>158858.3174677745</v>
      </c>
      <c r="J23" s="211">
        <f t="shared" si="8"/>
        <v>160389.40064245224</v>
      </c>
      <c r="K23" s="211">
        <f t="shared" si="8"/>
        <v>161935.79464887673</v>
      </c>
      <c r="L23" s="211">
        <f t="shared" si="8"/>
        <v>163497.65259536554</v>
      </c>
      <c r="M23" s="211">
        <f t="shared" si="8"/>
        <v>165075.12912131916</v>
      </c>
      <c r="N23" s="211">
        <f t="shared" si="8"/>
        <v>166668.38041253237</v>
      </c>
      <c r="O23" s="211">
        <f t="shared" si="8"/>
        <v>168277.56421665772</v>
      </c>
      <c r="P23" s="211">
        <f t="shared" si="8"/>
        <v>169902.83985882427</v>
      </c>
      <c r="Q23" s="211">
        <f t="shared" si="8"/>
        <v>171544.36825741251</v>
      </c>
      <c r="R23" s="211">
        <f t="shared" si="8"/>
        <v>173202.31193998666</v>
      </c>
      <c r="S23" s="211">
        <f t="shared" si="8"/>
        <v>174876.8350593865</v>
      </c>
      <c r="T23" s="211">
        <f t="shared" si="8"/>
        <v>176568.10340998037</v>
      </c>
      <c r="U23" s="211">
        <f t="shared" si="8"/>
        <v>178276.28444408017</v>
      </c>
      <c r="V23" s="211">
        <f t="shared" si="8"/>
        <v>180001.54728852102</v>
      </c>
      <c r="W23" s="211">
        <f t="shared" si="8"/>
        <v>181744.06276140624</v>
      </c>
      <c r="X23" s="211">
        <f t="shared" si="8"/>
        <v>183504.00338902028</v>
      </c>
      <c r="Y23" s="211">
        <f t="shared" si="8"/>
        <v>185281.5434229105</v>
      </c>
      <c r="Z23" s="211">
        <f t="shared" si="8"/>
        <v>187076.8588571396</v>
      </c>
    </row>
    <row r="24" spans="2:26" x14ac:dyDescent="0.2">
      <c r="C24" s="209"/>
      <c r="D24" s="210"/>
      <c r="E24" s="208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2:26" x14ac:dyDescent="0.2">
      <c r="B25" s="1" t="s">
        <v>71</v>
      </c>
      <c r="C25" s="201">
        <f>INDEX(ExistingTable,MATCH($B25,ExistingRow,0),MATCH(C$5,ExistingColumns,0))/4</f>
        <v>159198</v>
      </c>
      <c r="D25" s="210">
        <f t="shared" si="1"/>
        <v>0.26</v>
      </c>
      <c r="E25" s="205" t="str">
        <f>VLOOKUP($B25,Inputs!$B$60:$C$76,2,FALSE)</f>
        <v>Variable</v>
      </c>
      <c r="G25" s="209">
        <f>IF($E25="Variable",G$10*$D25,$C25)</f>
        <v>160789.98000000001</v>
      </c>
      <c r="H25" s="209">
        <f t="shared" ref="H25:Z26" si="9">IF($E25="Variable",H$10*$D25,$C25)</f>
        <v>162397.8798</v>
      </c>
      <c r="I25" s="209">
        <f t="shared" si="9"/>
        <v>164021.85859799999</v>
      </c>
      <c r="J25" s="209">
        <f t="shared" si="9"/>
        <v>165662.07718398</v>
      </c>
      <c r="K25" s="209">
        <f t="shared" si="9"/>
        <v>167318.69795581978</v>
      </c>
      <c r="L25" s="209">
        <f t="shared" si="9"/>
        <v>168991.88493537798</v>
      </c>
      <c r="M25" s="209">
        <f t="shared" si="9"/>
        <v>170681.80378473178</v>
      </c>
      <c r="N25" s="209">
        <f t="shared" si="9"/>
        <v>172388.62182257909</v>
      </c>
      <c r="O25" s="209">
        <f t="shared" si="9"/>
        <v>174112.50804080488</v>
      </c>
      <c r="P25" s="209">
        <f t="shared" si="9"/>
        <v>175853.63312121292</v>
      </c>
      <c r="Q25" s="209">
        <f t="shared" si="9"/>
        <v>177612.16945242506</v>
      </c>
      <c r="R25" s="209">
        <f t="shared" si="9"/>
        <v>179388.29114694931</v>
      </c>
      <c r="S25" s="209">
        <f t="shared" si="9"/>
        <v>181182.17405841878</v>
      </c>
      <c r="T25" s="209">
        <f t="shared" si="9"/>
        <v>182993.99579900299</v>
      </c>
      <c r="U25" s="209">
        <f t="shared" si="9"/>
        <v>184823.93575699301</v>
      </c>
      <c r="V25" s="209">
        <f t="shared" si="9"/>
        <v>186672.17511456297</v>
      </c>
      <c r="W25" s="209">
        <f t="shared" si="9"/>
        <v>188538.89686570861</v>
      </c>
      <c r="X25" s="209">
        <f t="shared" si="9"/>
        <v>190424.2858343657</v>
      </c>
      <c r="Y25" s="209">
        <f t="shared" si="9"/>
        <v>192328.52869270934</v>
      </c>
      <c r="Z25" s="209">
        <f t="shared" si="9"/>
        <v>194251.81397963647</v>
      </c>
    </row>
    <row r="26" spans="2:26" x14ac:dyDescent="0.2">
      <c r="B26" s="1" t="s">
        <v>72</v>
      </c>
      <c r="C26" s="201">
        <f>INDEX(ExistingTable,MATCH($B26,ExistingRow,0),MATCH(C$5,ExistingColumns,0))/4</f>
        <v>18369</v>
      </c>
      <c r="D26" s="210">
        <f t="shared" si="1"/>
        <v>0.03</v>
      </c>
      <c r="E26" s="205" t="str">
        <f>VLOOKUP($B26,Inputs!$B$60:$C$76,2,FALSE)</f>
        <v>Variable</v>
      </c>
      <c r="G26" s="209">
        <f>IF($E26="Variable",G$10*$D26,$C26)</f>
        <v>18552.689999999999</v>
      </c>
      <c r="H26" s="209">
        <f t="shared" si="9"/>
        <v>18738.216899999999</v>
      </c>
      <c r="I26" s="209">
        <f t="shared" si="9"/>
        <v>18925.599069</v>
      </c>
      <c r="J26" s="209">
        <f t="shared" si="9"/>
        <v>19114.855059689999</v>
      </c>
      <c r="K26" s="209">
        <f t="shared" si="9"/>
        <v>19306.003610286898</v>
      </c>
      <c r="L26" s="209">
        <f t="shared" si="9"/>
        <v>19499.063646389768</v>
      </c>
      <c r="M26" s="209">
        <f t="shared" si="9"/>
        <v>19694.054282853664</v>
      </c>
      <c r="N26" s="209">
        <f t="shared" si="9"/>
        <v>19890.994825682199</v>
      </c>
      <c r="O26" s="209">
        <f t="shared" si="9"/>
        <v>20089.904773939023</v>
      </c>
      <c r="P26" s="209">
        <f t="shared" si="9"/>
        <v>20290.803821678415</v>
      </c>
      <c r="Q26" s="209">
        <f t="shared" si="9"/>
        <v>20493.711859895197</v>
      </c>
      <c r="R26" s="209">
        <f t="shared" si="9"/>
        <v>20698.648978494148</v>
      </c>
      <c r="S26" s="209">
        <f t="shared" si="9"/>
        <v>20905.635468279092</v>
      </c>
      <c r="T26" s="209">
        <f t="shared" si="9"/>
        <v>21114.691822961882</v>
      </c>
      <c r="U26" s="209">
        <f t="shared" si="9"/>
        <v>21325.838741191503</v>
      </c>
      <c r="V26" s="209">
        <f t="shared" si="9"/>
        <v>21539.097128603418</v>
      </c>
      <c r="W26" s="209">
        <f t="shared" si="9"/>
        <v>21754.488099889455</v>
      </c>
      <c r="X26" s="209">
        <f t="shared" si="9"/>
        <v>21972.032980888347</v>
      </c>
      <c r="Y26" s="209">
        <f t="shared" si="9"/>
        <v>22191.753310697233</v>
      </c>
      <c r="Z26" s="209">
        <f t="shared" si="9"/>
        <v>22413.670843804204</v>
      </c>
    </row>
    <row r="27" spans="2:26" x14ac:dyDescent="0.2">
      <c r="B27" s="67" t="s">
        <v>202</v>
      </c>
      <c r="C27" s="206">
        <f>SUM(C25:C26)</f>
        <v>177567</v>
      </c>
      <c r="D27" s="207">
        <f t="shared" si="1"/>
        <v>0.28999999999999998</v>
      </c>
      <c r="E27" s="208"/>
      <c r="G27" s="206">
        <f>SUM(G25:G26)</f>
        <v>179342.67</v>
      </c>
      <c r="H27" s="206">
        <f t="shared" ref="H27:Z27" si="10">SUM(H25:H26)</f>
        <v>181136.09669999999</v>
      </c>
      <c r="I27" s="206">
        <f t="shared" si="10"/>
        <v>182947.45766699998</v>
      </c>
      <c r="J27" s="206">
        <f t="shared" si="10"/>
        <v>184776.93224366999</v>
      </c>
      <c r="K27" s="206">
        <f t="shared" si="10"/>
        <v>186624.70156610667</v>
      </c>
      <c r="L27" s="206">
        <f t="shared" si="10"/>
        <v>188490.94858176773</v>
      </c>
      <c r="M27" s="206">
        <f t="shared" si="10"/>
        <v>190375.85806758545</v>
      </c>
      <c r="N27" s="206">
        <f t="shared" si="10"/>
        <v>192279.61664826129</v>
      </c>
      <c r="O27" s="206">
        <f t="shared" si="10"/>
        <v>194202.4128147439</v>
      </c>
      <c r="P27" s="206">
        <f t="shared" si="10"/>
        <v>196144.43694289133</v>
      </c>
      <c r="Q27" s="206">
        <f t="shared" si="10"/>
        <v>198105.88131232027</v>
      </c>
      <c r="R27" s="206">
        <f t="shared" si="10"/>
        <v>200086.94012544345</v>
      </c>
      <c r="S27" s="206">
        <f t="shared" si="10"/>
        <v>202087.80952669788</v>
      </c>
      <c r="T27" s="206">
        <f t="shared" si="10"/>
        <v>204108.68762196487</v>
      </c>
      <c r="U27" s="206">
        <f t="shared" si="10"/>
        <v>206149.7744981845</v>
      </c>
      <c r="V27" s="206">
        <f t="shared" si="10"/>
        <v>208211.2722431664</v>
      </c>
      <c r="W27" s="206">
        <f t="shared" si="10"/>
        <v>210293.38496559806</v>
      </c>
      <c r="X27" s="206">
        <f t="shared" si="10"/>
        <v>212396.31881525405</v>
      </c>
      <c r="Y27" s="206">
        <f t="shared" si="10"/>
        <v>214520.28200340658</v>
      </c>
      <c r="Z27" s="206">
        <f t="shared" si="10"/>
        <v>216665.48482344067</v>
      </c>
    </row>
    <row r="28" spans="2:26" x14ac:dyDescent="0.2">
      <c r="C28" s="209"/>
      <c r="D28" s="210"/>
      <c r="E28" s="208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</row>
    <row r="29" spans="2:26" x14ac:dyDescent="0.2">
      <c r="B29" s="1" t="s">
        <v>73</v>
      </c>
      <c r="C29" s="201">
        <f>INDEX(ExistingTable,MATCH($B29,ExistingRow,0),MATCH(C$5,ExistingColumns,0))/4</f>
        <v>9184.5</v>
      </c>
      <c r="D29" s="210">
        <f t="shared" si="1"/>
        <v>1.4999999999999999E-2</v>
      </c>
      <c r="E29" s="205" t="str">
        <f>VLOOKUP($B29,Inputs!$B$60:$C$76,2,FALSE)</f>
        <v>Variable</v>
      </c>
      <c r="G29" s="209">
        <f t="shared" ref="G29:V33" si="11">IF($E29="Variable",G$10*$D29,$C29)</f>
        <v>9276.3449999999993</v>
      </c>
      <c r="H29" s="209">
        <f t="shared" si="11"/>
        <v>9369.1084499999997</v>
      </c>
      <c r="I29" s="209">
        <f t="shared" si="11"/>
        <v>9462.7995344999999</v>
      </c>
      <c r="J29" s="209">
        <f t="shared" si="11"/>
        <v>9557.4275298449993</v>
      </c>
      <c r="K29" s="209">
        <f t="shared" si="11"/>
        <v>9653.001805143449</v>
      </c>
      <c r="L29" s="209">
        <f t="shared" si="11"/>
        <v>9749.5318231948841</v>
      </c>
      <c r="M29" s="209">
        <f t="shared" si="11"/>
        <v>9847.0271414268318</v>
      </c>
      <c r="N29" s="209">
        <f t="shared" si="11"/>
        <v>9945.4974128410995</v>
      </c>
      <c r="O29" s="209">
        <f t="shared" si="11"/>
        <v>10044.952386969511</v>
      </c>
      <c r="P29" s="209">
        <f t="shared" si="11"/>
        <v>10145.401910839208</v>
      </c>
      <c r="Q29" s="209">
        <f t="shared" si="11"/>
        <v>10246.855929947598</v>
      </c>
      <c r="R29" s="209">
        <f t="shared" si="11"/>
        <v>10349.324489247074</v>
      </c>
      <c r="S29" s="209">
        <f t="shared" si="11"/>
        <v>10452.817734139546</v>
      </c>
      <c r="T29" s="209">
        <f t="shared" si="11"/>
        <v>10557.345911480941</v>
      </c>
      <c r="U29" s="209">
        <f t="shared" si="11"/>
        <v>10662.919370595751</v>
      </c>
      <c r="V29" s="209">
        <f t="shared" si="11"/>
        <v>10769.548564301709</v>
      </c>
      <c r="W29" s="209">
        <f t="shared" ref="W29:Z33" si="12">IF($E29="Variable",W$10*$D29,$C29)</f>
        <v>10877.244049944728</v>
      </c>
      <c r="X29" s="209">
        <f t="shared" si="12"/>
        <v>10986.016490444174</v>
      </c>
      <c r="Y29" s="209">
        <f t="shared" si="12"/>
        <v>11095.876655348617</v>
      </c>
      <c r="Z29" s="209">
        <f t="shared" si="12"/>
        <v>11206.835421902102</v>
      </c>
    </row>
    <row r="30" spans="2:26" x14ac:dyDescent="0.2">
      <c r="B30" s="1" t="s">
        <v>74</v>
      </c>
      <c r="C30" s="201">
        <f>INDEX(ExistingTable,MATCH($B30,ExistingRow,0),MATCH(C$5,ExistingColumns,0))/4</f>
        <v>12246</v>
      </c>
      <c r="D30" s="210">
        <f t="shared" si="1"/>
        <v>0.02</v>
      </c>
      <c r="E30" s="205" t="str">
        <f>VLOOKUP($B30,Inputs!$B$60:$C$76,2,FALSE)</f>
        <v>Variable</v>
      </c>
      <c r="G30" s="209">
        <f t="shared" si="11"/>
        <v>12368.460000000001</v>
      </c>
      <c r="H30" s="209">
        <f t="shared" si="11"/>
        <v>12492.1446</v>
      </c>
      <c r="I30" s="209">
        <f t="shared" si="11"/>
        <v>12617.066046</v>
      </c>
      <c r="J30" s="209">
        <f t="shared" si="11"/>
        <v>12743.23670646</v>
      </c>
      <c r="K30" s="209">
        <f t="shared" si="11"/>
        <v>12870.669073524599</v>
      </c>
      <c r="L30" s="209">
        <f t="shared" si="11"/>
        <v>12999.375764259845</v>
      </c>
      <c r="M30" s="209">
        <f t="shared" si="11"/>
        <v>13129.369521902443</v>
      </c>
      <c r="N30" s="209">
        <f t="shared" si="11"/>
        <v>13260.663217121468</v>
      </c>
      <c r="O30" s="209">
        <f t="shared" si="11"/>
        <v>13393.269849292683</v>
      </c>
      <c r="P30" s="209">
        <f t="shared" si="11"/>
        <v>13527.20254778561</v>
      </c>
      <c r="Q30" s="209">
        <f t="shared" si="11"/>
        <v>13662.474573263466</v>
      </c>
      <c r="R30" s="209">
        <f t="shared" si="11"/>
        <v>13799.099318996101</v>
      </c>
      <c r="S30" s="209">
        <f t="shared" si="11"/>
        <v>13937.090312186061</v>
      </c>
      <c r="T30" s="209">
        <f t="shared" si="11"/>
        <v>14076.461215307922</v>
      </c>
      <c r="U30" s="209">
        <f t="shared" si="11"/>
        <v>14217.225827461001</v>
      </c>
      <c r="V30" s="209">
        <f t="shared" si="11"/>
        <v>14359.398085735613</v>
      </c>
      <c r="W30" s="209">
        <f t="shared" si="12"/>
        <v>14502.992066592969</v>
      </c>
      <c r="X30" s="209">
        <f t="shared" si="12"/>
        <v>14648.021987258899</v>
      </c>
      <c r="Y30" s="209">
        <f t="shared" si="12"/>
        <v>14794.502207131489</v>
      </c>
      <c r="Z30" s="209">
        <f t="shared" si="12"/>
        <v>14942.447229202804</v>
      </c>
    </row>
    <row r="31" spans="2:26" x14ac:dyDescent="0.2">
      <c r="B31" s="1" t="s">
        <v>75</v>
      </c>
      <c r="C31" s="201">
        <f>INDEX(ExistingTable,MATCH($B31,ExistingRow,0),MATCH(C$5,ExistingColumns,0))/4</f>
        <v>4286.1000000000004</v>
      </c>
      <c r="D31" s="210">
        <f t="shared" si="1"/>
        <v>7.000000000000001E-3</v>
      </c>
      <c r="E31" s="205" t="str">
        <f>VLOOKUP($B31,Inputs!$B$60:$C$76,2,FALSE)</f>
        <v>Variable</v>
      </c>
      <c r="G31" s="209">
        <f t="shared" si="11"/>
        <v>4328.9610000000002</v>
      </c>
      <c r="H31" s="209">
        <f t="shared" si="11"/>
        <v>4372.2506100000001</v>
      </c>
      <c r="I31" s="209">
        <f t="shared" si="11"/>
        <v>4415.9731161000009</v>
      </c>
      <c r="J31" s="209">
        <f t="shared" si="11"/>
        <v>4460.1328472610003</v>
      </c>
      <c r="K31" s="209">
        <f t="shared" si="11"/>
        <v>4504.7341757336098</v>
      </c>
      <c r="L31" s="209">
        <f t="shared" si="11"/>
        <v>4549.7815174909465</v>
      </c>
      <c r="M31" s="209">
        <f t="shared" si="11"/>
        <v>4595.2793326658557</v>
      </c>
      <c r="N31" s="209">
        <f t="shared" si="11"/>
        <v>4641.2321259925138</v>
      </c>
      <c r="O31" s="209">
        <f t="shared" si="11"/>
        <v>4687.6444472524399</v>
      </c>
      <c r="P31" s="209">
        <f t="shared" si="11"/>
        <v>4734.5208917249638</v>
      </c>
      <c r="Q31" s="209">
        <f t="shared" si="11"/>
        <v>4781.8661006422135</v>
      </c>
      <c r="R31" s="209">
        <f t="shared" si="11"/>
        <v>4829.6847616486357</v>
      </c>
      <c r="S31" s="209">
        <f t="shared" si="11"/>
        <v>4877.9816092651217</v>
      </c>
      <c r="T31" s="209">
        <f t="shared" si="11"/>
        <v>4926.7614253577731</v>
      </c>
      <c r="U31" s="209">
        <f t="shared" si="11"/>
        <v>4976.0290396113514</v>
      </c>
      <c r="V31" s="209">
        <f t="shared" si="11"/>
        <v>5025.7893300074647</v>
      </c>
      <c r="W31" s="209">
        <f t="shared" si="12"/>
        <v>5076.0472233075407</v>
      </c>
      <c r="X31" s="209">
        <f t="shared" si="12"/>
        <v>5126.807695540615</v>
      </c>
      <c r="Y31" s="209">
        <f t="shared" si="12"/>
        <v>5178.0757724960213</v>
      </c>
      <c r="Z31" s="209">
        <f t="shared" si="12"/>
        <v>5229.8565302209818</v>
      </c>
    </row>
    <row r="32" spans="2:26" x14ac:dyDescent="0.2">
      <c r="B32" s="1" t="s">
        <v>76</v>
      </c>
      <c r="C32" s="201">
        <f>INDEX(ExistingTable,MATCH($B32,ExistingRow,0),MATCH(C$5,ExistingColumns,0))/4</f>
        <v>4000</v>
      </c>
      <c r="D32" s="210">
        <f t="shared" si="1"/>
        <v>6.5327453862485708E-3</v>
      </c>
      <c r="E32" s="205" t="str">
        <f>VLOOKUP($B32,Inputs!$B$60:$C$76,2,FALSE)</f>
        <v>Fixed</v>
      </c>
      <c r="G32" s="209">
        <f t="shared" si="11"/>
        <v>4000</v>
      </c>
      <c r="H32" s="209">
        <f t="shared" si="11"/>
        <v>4000</v>
      </c>
      <c r="I32" s="209">
        <f t="shared" si="11"/>
        <v>4000</v>
      </c>
      <c r="J32" s="209">
        <f t="shared" si="11"/>
        <v>4000</v>
      </c>
      <c r="K32" s="209">
        <f t="shared" si="11"/>
        <v>4000</v>
      </c>
      <c r="L32" s="209">
        <f t="shared" si="11"/>
        <v>4000</v>
      </c>
      <c r="M32" s="209">
        <f t="shared" si="11"/>
        <v>4000</v>
      </c>
      <c r="N32" s="209">
        <f t="shared" si="11"/>
        <v>4000</v>
      </c>
      <c r="O32" s="209">
        <f t="shared" si="11"/>
        <v>4000</v>
      </c>
      <c r="P32" s="209">
        <f t="shared" si="11"/>
        <v>4000</v>
      </c>
      <c r="Q32" s="209">
        <f t="shared" si="11"/>
        <v>4000</v>
      </c>
      <c r="R32" s="209">
        <f t="shared" si="11"/>
        <v>4000</v>
      </c>
      <c r="S32" s="209">
        <f t="shared" si="11"/>
        <v>4000</v>
      </c>
      <c r="T32" s="209">
        <f t="shared" si="11"/>
        <v>4000</v>
      </c>
      <c r="U32" s="209">
        <f t="shared" si="11"/>
        <v>4000</v>
      </c>
      <c r="V32" s="209">
        <f t="shared" si="11"/>
        <v>4000</v>
      </c>
      <c r="W32" s="209">
        <f t="shared" si="12"/>
        <v>4000</v>
      </c>
      <c r="X32" s="209">
        <f t="shared" si="12"/>
        <v>4000</v>
      </c>
      <c r="Y32" s="209">
        <f t="shared" si="12"/>
        <v>4000</v>
      </c>
      <c r="Z32" s="209">
        <f t="shared" si="12"/>
        <v>4000</v>
      </c>
    </row>
    <row r="33" spans="2:26" x14ac:dyDescent="0.2">
      <c r="B33" s="1" t="s">
        <v>43</v>
      </c>
      <c r="C33" s="201">
        <f>INDEX(ExistingTable,MATCH($B33,ExistingRow,0),MATCH(C$5,ExistingColumns,0))/4</f>
        <v>20750</v>
      </c>
      <c r="D33" s="210">
        <f t="shared" si="1"/>
        <v>3.3888616691164462E-2</v>
      </c>
      <c r="E33" s="205" t="str">
        <f>VLOOKUP($B33,Inputs!$B$60:$C$76,2,FALSE)</f>
        <v>Fixed</v>
      </c>
      <c r="G33" s="209">
        <f t="shared" si="11"/>
        <v>20750</v>
      </c>
      <c r="H33" s="209">
        <f t="shared" si="11"/>
        <v>20750</v>
      </c>
      <c r="I33" s="209">
        <f t="shared" si="11"/>
        <v>20750</v>
      </c>
      <c r="J33" s="209">
        <f t="shared" si="11"/>
        <v>20750</v>
      </c>
      <c r="K33" s="209">
        <f t="shared" si="11"/>
        <v>20750</v>
      </c>
      <c r="L33" s="209">
        <f t="shared" si="11"/>
        <v>20750</v>
      </c>
      <c r="M33" s="209">
        <f t="shared" si="11"/>
        <v>20750</v>
      </c>
      <c r="N33" s="209">
        <f t="shared" si="11"/>
        <v>20750</v>
      </c>
      <c r="O33" s="209">
        <f t="shared" si="11"/>
        <v>20750</v>
      </c>
      <c r="P33" s="209">
        <f t="shared" si="11"/>
        <v>20750</v>
      </c>
      <c r="Q33" s="209">
        <f t="shared" si="11"/>
        <v>20750</v>
      </c>
      <c r="R33" s="209">
        <f t="shared" si="11"/>
        <v>20750</v>
      </c>
      <c r="S33" s="209">
        <f t="shared" si="11"/>
        <v>20750</v>
      </c>
      <c r="T33" s="209">
        <f t="shared" si="11"/>
        <v>20750</v>
      </c>
      <c r="U33" s="209">
        <f t="shared" si="11"/>
        <v>20750</v>
      </c>
      <c r="V33" s="209">
        <f t="shared" si="11"/>
        <v>20750</v>
      </c>
      <c r="W33" s="209">
        <f t="shared" si="12"/>
        <v>20750</v>
      </c>
      <c r="X33" s="209">
        <f t="shared" si="12"/>
        <v>20750</v>
      </c>
      <c r="Y33" s="209">
        <f t="shared" si="12"/>
        <v>20750</v>
      </c>
      <c r="Z33" s="209">
        <f t="shared" si="12"/>
        <v>20750</v>
      </c>
    </row>
    <row r="34" spans="2:26" x14ac:dyDescent="0.2">
      <c r="B34" s="67" t="s">
        <v>203</v>
      </c>
      <c r="C34" s="206">
        <f>SUM(C29:C33)</f>
        <v>50466.6</v>
      </c>
      <c r="D34" s="207">
        <f t="shared" si="1"/>
        <v>8.2421362077413032E-2</v>
      </c>
      <c r="E34" s="208"/>
      <c r="G34" s="206">
        <f>SUM(G29:G33)</f>
        <v>50723.766000000003</v>
      </c>
      <c r="H34" s="206">
        <f t="shared" ref="H34:Z34" si="13">SUM(H29:H33)</f>
        <v>50983.503660000002</v>
      </c>
      <c r="I34" s="206">
        <f t="shared" si="13"/>
        <v>51245.838696600003</v>
      </c>
      <c r="J34" s="206">
        <f t="shared" si="13"/>
        <v>51510.797083565994</v>
      </c>
      <c r="K34" s="206">
        <f t="shared" si="13"/>
        <v>51778.405054401657</v>
      </c>
      <c r="L34" s="206">
        <f t="shared" si="13"/>
        <v>52048.689104945675</v>
      </c>
      <c r="M34" s="206">
        <f t="shared" si="13"/>
        <v>52321.675995995131</v>
      </c>
      <c r="N34" s="206">
        <f t="shared" si="13"/>
        <v>52597.392755955079</v>
      </c>
      <c r="O34" s="206">
        <f t="shared" si="13"/>
        <v>52875.866683514636</v>
      </c>
      <c r="P34" s="206">
        <f t="shared" si="13"/>
        <v>53157.125350349779</v>
      </c>
      <c r="Q34" s="206">
        <f t="shared" si="13"/>
        <v>53441.196603853277</v>
      </c>
      <c r="R34" s="206">
        <f t="shared" si="13"/>
        <v>53728.10856989181</v>
      </c>
      <c r="S34" s="206">
        <f t="shared" si="13"/>
        <v>54017.889655590727</v>
      </c>
      <c r="T34" s="206">
        <f t="shared" si="13"/>
        <v>54310.568552146637</v>
      </c>
      <c r="U34" s="206">
        <f t="shared" si="13"/>
        <v>54606.174237668107</v>
      </c>
      <c r="V34" s="206">
        <f t="shared" si="13"/>
        <v>54904.735980044788</v>
      </c>
      <c r="W34" s="206">
        <f t="shared" si="13"/>
        <v>55206.283339845235</v>
      </c>
      <c r="X34" s="206">
        <f t="shared" si="13"/>
        <v>55510.846173243684</v>
      </c>
      <c r="Y34" s="206">
        <f t="shared" si="13"/>
        <v>55818.454634976122</v>
      </c>
      <c r="Z34" s="206">
        <f t="shared" si="13"/>
        <v>56129.139181325889</v>
      </c>
    </row>
    <row r="35" spans="2:26" x14ac:dyDescent="0.2">
      <c r="C35" s="209"/>
      <c r="D35" s="210"/>
      <c r="E35" s="208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spans="2:26" x14ac:dyDescent="0.2">
      <c r="B36" s="1" t="s">
        <v>42</v>
      </c>
      <c r="C36" s="201">
        <f>INDEX(ExistingTable,MATCH($B36,ExistingRow,0),MATCH(C$5,ExistingColumns,0))/4</f>
        <v>25000</v>
      </c>
      <c r="D36" s="210">
        <f t="shared" si="1"/>
        <v>4.0829658664053567E-2</v>
      </c>
      <c r="E36" s="205" t="str">
        <f>VLOOKUP($B36,Inputs!$B$60:$C$76,2,FALSE)</f>
        <v>Fixed</v>
      </c>
      <c r="G36" s="209">
        <f t="shared" ref="G36:V37" si="14">IF($E36="Variable",G$10*$D36,$C36)</f>
        <v>25000</v>
      </c>
      <c r="H36" s="209">
        <f t="shared" si="14"/>
        <v>25000</v>
      </c>
      <c r="I36" s="209">
        <f t="shared" si="14"/>
        <v>25000</v>
      </c>
      <c r="J36" s="209">
        <f t="shared" si="14"/>
        <v>25000</v>
      </c>
      <c r="K36" s="209">
        <f t="shared" si="14"/>
        <v>25000</v>
      </c>
      <c r="L36" s="209">
        <f t="shared" si="14"/>
        <v>25000</v>
      </c>
      <c r="M36" s="209">
        <f t="shared" si="14"/>
        <v>25000</v>
      </c>
      <c r="N36" s="209">
        <f t="shared" si="14"/>
        <v>25000</v>
      </c>
      <c r="O36" s="209">
        <f t="shared" si="14"/>
        <v>25000</v>
      </c>
      <c r="P36" s="209">
        <f t="shared" si="14"/>
        <v>25000</v>
      </c>
      <c r="Q36" s="209">
        <f t="shared" si="14"/>
        <v>25000</v>
      </c>
      <c r="R36" s="209">
        <f t="shared" si="14"/>
        <v>25000</v>
      </c>
      <c r="S36" s="209">
        <f t="shared" si="14"/>
        <v>25000</v>
      </c>
      <c r="T36" s="209">
        <f t="shared" si="14"/>
        <v>25000</v>
      </c>
      <c r="U36" s="209">
        <f t="shared" si="14"/>
        <v>25000</v>
      </c>
      <c r="V36" s="209">
        <f t="shared" si="14"/>
        <v>25000</v>
      </c>
      <c r="W36" s="209">
        <f t="shared" ref="W36:Z37" si="15">IF($E36="Variable",W$10*$D36,$C36)</f>
        <v>25000</v>
      </c>
      <c r="X36" s="209">
        <f t="shared" si="15"/>
        <v>25000</v>
      </c>
      <c r="Y36" s="209">
        <f t="shared" si="15"/>
        <v>25000</v>
      </c>
      <c r="Z36" s="209">
        <f t="shared" si="15"/>
        <v>25000</v>
      </c>
    </row>
    <row r="37" spans="2:26" x14ac:dyDescent="0.2">
      <c r="B37" s="1" t="s">
        <v>77</v>
      </c>
      <c r="C37" s="201">
        <f>INDEX(ExistingTable,MATCH($B37,ExistingRow,0),MATCH(C$5,ExistingColumns,0))/4</f>
        <v>7500</v>
      </c>
      <c r="D37" s="210">
        <f t="shared" si="1"/>
        <v>1.2248897599216071E-2</v>
      </c>
      <c r="E37" s="205" t="str">
        <f>VLOOKUP($B37,Inputs!$B$60:$C$76,2,FALSE)</f>
        <v>Fixed</v>
      </c>
      <c r="G37" s="209">
        <f t="shared" si="14"/>
        <v>7500</v>
      </c>
      <c r="H37" s="209">
        <f t="shared" si="14"/>
        <v>7500</v>
      </c>
      <c r="I37" s="209">
        <f t="shared" si="14"/>
        <v>7500</v>
      </c>
      <c r="J37" s="209">
        <f t="shared" si="14"/>
        <v>7500</v>
      </c>
      <c r="K37" s="209">
        <f t="shared" si="14"/>
        <v>7500</v>
      </c>
      <c r="L37" s="209">
        <f t="shared" si="14"/>
        <v>7500</v>
      </c>
      <c r="M37" s="209">
        <f t="shared" si="14"/>
        <v>7500</v>
      </c>
      <c r="N37" s="209">
        <f t="shared" si="14"/>
        <v>7500</v>
      </c>
      <c r="O37" s="209">
        <f t="shared" si="14"/>
        <v>7500</v>
      </c>
      <c r="P37" s="209">
        <f t="shared" si="14"/>
        <v>7500</v>
      </c>
      <c r="Q37" s="209">
        <f t="shared" si="14"/>
        <v>7500</v>
      </c>
      <c r="R37" s="209">
        <f t="shared" si="14"/>
        <v>7500</v>
      </c>
      <c r="S37" s="209">
        <f t="shared" si="14"/>
        <v>7500</v>
      </c>
      <c r="T37" s="209">
        <f t="shared" si="14"/>
        <v>7500</v>
      </c>
      <c r="U37" s="209">
        <f t="shared" si="14"/>
        <v>7500</v>
      </c>
      <c r="V37" s="209">
        <f t="shared" si="14"/>
        <v>7500</v>
      </c>
      <c r="W37" s="209">
        <f t="shared" si="15"/>
        <v>7500</v>
      </c>
      <c r="X37" s="209">
        <f t="shared" si="15"/>
        <v>7500</v>
      </c>
      <c r="Y37" s="209">
        <f t="shared" si="15"/>
        <v>7500</v>
      </c>
      <c r="Z37" s="209">
        <f t="shared" si="15"/>
        <v>7500</v>
      </c>
    </row>
    <row r="38" spans="2:26" x14ac:dyDescent="0.2">
      <c r="B38" s="67" t="s">
        <v>204</v>
      </c>
      <c r="C38" s="206">
        <f>SUM(C36:C37)</f>
        <v>32500</v>
      </c>
      <c r="D38" s="207">
        <f t="shared" si="1"/>
        <v>5.3078556263269641E-2</v>
      </c>
      <c r="E38" s="213"/>
      <c r="G38" s="206">
        <f>SUM(G36:G37)</f>
        <v>32500</v>
      </c>
      <c r="H38" s="206">
        <f t="shared" ref="H38:Z38" si="16">SUM(H36:H37)</f>
        <v>32500</v>
      </c>
      <c r="I38" s="206">
        <f t="shared" si="16"/>
        <v>32500</v>
      </c>
      <c r="J38" s="206">
        <f t="shared" si="16"/>
        <v>32500</v>
      </c>
      <c r="K38" s="206">
        <f t="shared" si="16"/>
        <v>32500</v>
      </c>
      <c r="L38" s="206">
        <f t="shared" si="16"/>
        <v>32500</v>
      </c>
      <c r="M38" s="206">
        <f t="shared" si="16"/>
        <v>32500</v>
      </c>
      <c r="N38" s="206">
        <f t="shared" si="16"/>
        <v>32500</v>
      </c>
      <c r="O38" s="206">
        <f t="shared" si="16"/>
        <v>32500</v>
      </c>
      <c r="P38" s="206">
        <f t="shared" si="16"/>
        <v>32500</v>
      </c>
      <c r="Q38" s="206">
        <f t="shared" si="16"/>
        <v>32500</v>
      </c>
      <c r="R38" s="206">
        <f t="shared" si="16"/>
        <v>32500</v>
      </c>
      <c r="S38" s="206">
        <f t="shared" si="16"/>
        <v>32500</v>
      </c>
      <c r="T38" s="206">
        <f t="shared" si="16"/>
        <v>32500</v>
      </c>
      <c r="U38" s="206">
        <f t="shared" si="16"/>
        <v>32500</v>
      </c>
      <c r="V38" s="206">
        <f t="shared" si="16"/>
        <v>32500</v>
      </c>
      <c r="W38" s="206">
        <f t="shared" si="16"/>
        <v>32500</v>
      </c>
      <c r="X38" s="206">
        <f t="shared" si="16"/>
        <v>32500</v>
      </c>
      <c r="Y38" s="206">
        <f t="shared" si="16"/>
        <v>32500</v>
      </c>
      <c r="Z38" s="206">
        <f t="shared" si="16"/>
        <v>32500</v>
      </c>
    </row>
    <row r="39" spans="2:26" x14ac:dyDescent="0.2">
      <c r="C39" s="209"/>
      <c r="D39" s="210"/>
      <c r="E39" s="213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</row>
    <row r="40" spans="2:26" x14ac:dyDescent="0.2">
      <c r="B40" s="67" t="s">
        <v>205</v>
      </c>
      <c r="C40" s="206">
        <f>C10-C23-C27-C34-C38</f>
        <v>197410.97550000003</v>
      </c>
      <c r="D40" s="207">
        <f t="shared" si="1"/>
        <v>0.32240890984811371</v>
      </c>
      <c r="E40" s="213"/>
      <c r="G40" s="206">
        <f>G10-G23-G27-G34-G38</f>
        <v>200015.08525499998</v>
      </c>
      <c r="H40" s="206">
        <f t="shared" ref="H40:Z40" si="17">H10-H23-H27-H34-H38</f>
        <v>202645.23610755004</v>
      </c>
      <c r="I40" s="206">
        <f t="shared" si="17"/>
        <v>205301.68846862548</v>
      </c>
      <c r="J40" s="206">
        <f t="shared" si="17"/>
        <v>207984.70535331176</v>
      </c>
      <c r="K40" s="206">
        <f t="shared" si="17"/>
        <v>210694.55240684486</v>
      </c>
      <c r="L40" s="206">
        <f t="shared" si="17"/>
        <v>213431.49793091329</v>
      </c>
      <c r="M40" s="206">
        <f t="shared" si="17"/>
        <v>216195.81291022245</v>
      </c>
      <c r="N40" s="206">
        <f t="shared" si="17"/>
        <v>218987.77103932461</v>
      </c>
      <c r="O40" s="206">
        <f t="shared" si="17"/>
        <v>221807.64874971789</v>
      </c>
      <c r="P40" s="206">
        <f t="shared" si="17"/>
        <v>224655.72523721508</v>
      </c>
      <c r="Q40" s="206">
        <f t="shared" si="17"/>
        <v>227532.28248958717</v>
      </c>
      <c r="R40" s="206">
        <f t="shared" si="17"/>
        <v>230437.60531448305</v>
      </c>
      <c r="S40" s="206">
        <f t="shared" si="17"/>
        <v>233371.98136762786</v>
      </c>
      <c r="T40" s="206">
        <f t="shared" si="17"/>
        <v>236335.70118130418</v>
      </c>
      <c r="U40" s="206">
        <f t="shared" si="17"/>
        <v>239329.05819311726</v>
      </c>
      <c r="V40" s="206">
        <f t="shared" si="17"/>
        <v>242352.34877504851</v>
      </c>
      <c r="W40" s="206">
        <f t="shared" si="17"/>
        <v>245405.87226279901</v>
      </c>
      <c r="X40" s="206">
        <f t="shared" si="17"/>
        <v>248489.930985427</v>
      </c>
      <c r="Y40" s="206">
        <f t="shared" si="17"/>
        <v>251604.83029528125</v>
      </c>
      <c r="Z40" s="206">
        <f t="shared" si="17"/>
        <v>254750.87859823403</v>
      </c>
    </row>
  </sheetData>
  <dataValidations count="1">
    <dataValidation type="list" allowBlank="1" showInputMessage="1" showErrorMessage="1" sqref="C5" xr:uid="{D670E9B2-0179-4F4A-ABE1-51A87101F7EC}">
      <formula1>StoreList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1D1B-F7E3-489E-8EC0-A7F6D31D31F2}">
  <sheetPr>
    <tabColor rgb="FF92D050"/>
  </sheetPr>
  <dimension ref="B2:Z40"/>
  <sheetViews>
    <sheetView topLeftCell="A19" zoomScaleNormal="100" workbookViewId="0">
      <selection activeCell="C5" sqref="C5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3" width="8.5703125" style="1" bestFit="1" customWidth="1"/>
    <col min="4" max="4" width="9.85546875" style="1" bestFit="1" customWidth="1"/>
    <col min="5" max="5" width="10.85546875" style="1" bestFit="1" customWidth="1"/>
    <col min="6" max="6" width="1.7109375" style="1" customWidth="1"/>
    <col min="7" max="26" width="8.570312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5" spans="2:26" x14ac:dyDescent="0.2">
      <c r="B5" s="229" t="s">
        <v>220</v>
      </c>
      <c r="C5" s="230" t="s">
        <v>85</v>
      </c>
    </row>
    <row r="6" spans="2:26" x14ac:dyDescent="0.2">
      <c r="B6" s="229" t="s">
        <v>221</v>
      </c>
      <c r="C6" s="232">
        <f>VLOOKUP($C$5,Inputs!$B$10:$C$14,2,FALSE)</f>
        <v>67920</v>
      </c>
    </row>
    <row r="7" spans="2:26" x14ac:dyDescent="0.2">
      <c r="B7" s="197" t="s">
        <v>209</v>
      </c>
      <c r="C7" s="231">
        <f>VLOOKUP($C$5,Inputs!$B$10:$D$14,3,FALSE)</f>
        <v>1.2E-2</v>
      </c>
    </row>
    <row r="8" spans="2:26" x14ac:dyDescent="0.2">
      <c r="B8" s="197"/>
      <c r="C8" s="198"/>
      <c r="G8" s="199" t="s">
        <v>6</v>
      </c>
      <c r="H8" s="199"/>
      <c r="I8" s="199"/>
      <c r="J8" s="199"/>
      <c r="K8" s="199" t="s">
        <v>7</v>
      </c>
      <c r="L8" s="199"/>
      <c r="M8" s="199"/>
      <c r="N8" s="199"/>
      <c r="O8" s="199" t="s">
        <v>8</v>
      </c>
      <c r="P8" s="199"/>
      <c r="Q8" s="199"/>
      <c r="R8" s="199"/>
      <c r="S8" s="199" t="s">
        <v>9</v>
      </c>
      <c r="T8" s="199"/>
      <c r="U8" s="199"/>
      <c r="V8" s="199"/>
      <c r="W8" s="199" t="s">
        <v>10</v>
      </c>
      <c r="X8" s="199"/>
      <c r="Y8" s="199"/>
      <c r="Z8" s="199"/>
    </row>
    <row r="9" spans="2:26" x14ac:dyDescent="0.2">
      <c r="C9" s="200" t="s">
        <v>210</v>
      </c>
      <c r="D9" s="200" t="s">
        <v>211</v>
      </c>
      <c r="E9" s="200" t="s">
        <v>212</v>
      </c>
      <c r="G9" s="200" t="s">
        <v>11</v>
      </c>
      <c r="H9" s="200" t="s">
        <v>12</v>
      </c>
      <c r="I9" s="200" t="s">
        <v>13</v>
      </c>
      <c r="J9" s="200" t="s">
        <v>14</v>
      </c>
      <c r="K9" s="200" t="s">
        <v>11</v>
      </c>
      <c r="L9" s="200" t="s">
        <v>12</v>
      </c>
      <c r="M9" s="200" t="s">
        <v>13</v>
      </c>
      <c r="N9" s="200" t="s">
        <v>14</v>
      </c>
      <c r="O9" s="200" t="s">
        <v>11</v>
      </c>
      <c r="P9" s="200" t="s">
        <v>12</v>
      </c>
      <c r="Q9" s="200" t="s">
        <v>13</v>
      </c>
      <c r="R9" s="200" t="s">
        <v>14</v>
      </c>
      <c r="S9" s="200" t="s">
        <v>11</v>
      </c>
      <c r="T9" s="200" t="s">
        <v>12</v>
      </c>
      <c r="U9" s="200" t="s">
        <v>13</v>
      </c>
      <c r="V9" s="200" t="s">
        <v>14</v>
      </c>
      <c r="W9" s="200" t="s">
        <v>11</v>
      </c>
      <c r="X9" s="200" t="s">
        <v>12</v>
      </c>
      <c r="Y9" s="200" t="s">
        <v>13</v>
      </c>
      <c r="Z9" s="200" t="s">
        <v>14</v>
      </c>
    </row>
    <row r="10" spans="2:26" x14ac:dyDescent="0.2">
      <c r="B10" s="33" t="s">
        <v>15</v>
      </c>
      <c r="C10" s="201">
        <f>INDEX(ExistingTable,MATCH($B10,ExistingRow,0),MATCH(C$5,ExistingColumns,0))/4</f>
        <v>882960</v>
      </c>
      <c r="D10" s="202">
        <f>C10/$C$10</f>
        <v>1</v>
      </c>
      <c r="G10" s="201">
        <f>$C$10*(1+$C$7/4)</f>
        <v>885608.87999999989</v>
      </c>
      <c r="H10" s="201">
        <f>G10*(1+$C$7/4)</f>
        <v>888265.70663999976</v>
      </c>
      <c r="I10" s="201">
        <f t="shared" ref="I10:Z10" si="0">H10*(1+$C$7/4)</f>
        <v>890930.50375991967</v>
      </c>
      <c r="J10" s="201">
        <f t="shared" si="0"/>
        <v>893603.29527119931</v>
      </c>
      <c r="K10" s="201">
        <f t="shared" si="0"/>
        <v>896284.10515701282</v>
      </c>
      <c r="L10" s="201">
        <f t="shared" si="0"/>
        <v>898972.95747248374</v>
      </c>
      <c r="M10" s="201">
        <f t="shared" si="0"/>
        <v>901669.87634490104</v>
      </c>
      <c r="N10" s="201">
        <f t="shared" si="0"/>
        <v>904374.8859739356</v>
      </c>
      <c r="O10" s="201">
        <f t="shared" si="0"/>
        <v>907088.01063185732</v>
      </c>
      <c r="P10" s="201">
        <f t="shared" si="0"/>
        <v>909809.27466375276</v>
      </c>
      <c r="Q10" s="201">
        <f t="shared" si="0"/>
        <v>912538.70248774393</v>
      </c>
      <c r="R10" s="201">
        <f t="shared" si="0"/>
        <v>915276.31859520706</v>
      </c>
      <c r="S10" s="201">
        <f t="shared" si="0"/>
        <v>918022.14755099255</v>
      </c>
      <c r="T10" s="201">
        <f t="shared" si="0"/>
        <v>920776.21399364539</v>
      </c>
      <c r="U10" s="201">
        <f t="shared" si="0"/>
        <v>923538.54263562628</v>
      </c>
      <c r="V10" s="201">
        <f t="shared" si="0"/>
        <v>926309.15826353303</v>
      </c>
      <c r="W10" s="201">
        <f t="shared" si="0"/>
        <v>929088.08573832351</v>
      </c>
      <c r="X10" s="201">
        <f t="shared" si="0"/>
        <v>931875.34999553836</v>
      </c>
      <c r="Y10" s="201">
        <f t="shared" si="0"/>
        <v>934670.97604552482</v>
      </c>
      <c r="Z10" s="201">
        <f t="shared" si="0"/>
        <v>937474.98897366133</v>
      </c>
    </row>
    <row r="11" spans="2:26" x14ac:dyDescent="0.2">
      <c r="B11" s="33"/>
      <c r="C11" s="201"/>
      <c r="D11" s="202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2:26" x14ac:dyDescent="0.2">
      <c r="B12" s="1" t="s">
        <v>66</v>
      </c>
      <c r="C12" s="201">
        <f>INDEX(ExistingTable,MATCH($B12,ExistingRow,0),MATCH(C$5,ExistingColumns,0))/4</f>
        <v>23375</v>
      </c>
      <c r="D12" s="204">
        <f t="shared" ref="D12:D40" si="1">C12/$C$10</f>
        <v>2.6473452931050103E-2</v>
      </c>
      <c r="E12" s="205" t="str">
        <f>VLOOKUP($B12,Inputs!$B$60:$C$76,2,FALSE)</f>
        <v>Variable</v>
      </c>
      <c r="G12" s="203">
        <f>IF($E12="Variable",G$10*$D12,$C12)</f>
        <v>23445.124999999996</v>
      </c>
      <c r="H12" s="203">
        <f t="shared" ref="H12:Z13" si="2">IF($E12="Variable",H$10*$D12,$C12)</f>
        <v>23515.460374999991</v>
      </c>
      <c r="I12" s="203">
        <f t="shared" si="2"/>
        <v>23586.006756124989</v>
      </c>
      <c r="J12" s="203">
        <f t="shared" si="2"/>
        <v>23656.764776393364</v>
      </c>
      <c r="K12" s="203">
        <f t="shared" si="2"/>
        <v>23727.735070722541</v>
      </c>
      <c r="L12" s="203">
        <f t="shared" si="2"/>
        <v>23798.918275934706</v>
      </c>
      <c r="M12" s="203">
        <f t="shared" si="2"/>
        <v>23870.315030762504</v>
      </c>
      <c r="N12" s="203">
        <f t="shared" si="2"/>
        <v>23941.925975854789</v>
      </c>
      <c r="O12" s="203">
        <f t="shared" si="2"/>
        <v>24013.751753782351</v>
      </c>
      <c r="P12" s="203">
        <f t="shared" si="2"/>
        <v>24085.793009043693</v>
      </c>
      <c r="Q12" s="203">
        <f t="shared" si="2"/>
        <v>24158.050388070824</v>
      </c>
      <c r="R12" s="203">
        <f t="shared" si="2"/>
        <v>24230.524539235033</v>
      </c>
      <c r="S12" s="203">
        <f t="shared" si="2"/>
        <v>24303.216112852733</v>
      </c>
      <c r="T12" s="203">
        <f t="shared" si="2"/>
        <v>24376.125761191288</v>
      </c>
      <c r="U12" s="203">
        <f t="shared" si="2"/>
        <v>24449.254138474862</v>
      </c>
      <c r="V12" s="203">
        <f t="shared" si="2"/>
        <v>24522.601900890284</v>
      </c>
      <c r="W12" s="203">
        <f t="shared" si="2"/>
        <v>24596.169706592951</v>
      </c>
      <c r="X12" s="203">
        <f t="shared" si="2"/>
        <v>24669.958215712726</v>
      </c>
      <c r="Y12" s="203">
        <f t="shared" si="2"/>
        <v>24743.96809035986</v>
      </c>
      <c r="Z12" s="203">
        <f t="shared" si="2"/>
        <v>24818.199994630937</v>
      </c>
    </row>
    <row r="13" spans="2:26" x14ac:dyDescent="0.2">
      <c r="B13" s="1" t="s">
        <v>69</v>
      </c>
      <c r="C13" s="201">
        <f>INDEX(ExistingTable,MATCH($B13,ExistingRow,0),MATCH(C$5,ExistingColumns,0))/4</f>
        <v>101556</v>
      </c>
      <c r="D13" s="204">
        <f t="shared" si="1"/>
        <v>0.11501766784452297</v>
      </c>
      <c r="E13" s="205" t="str">
        <f>VLOOKUP($B13,Inputs!$B$60:$C$76,2,FALSE)</f>
        <v>Variable</v>
      </c>
      <c r="G13" s="203">
        <f>IF($E13="Variable",G$10*$D13,$C13)</f>
        <v>101860.66799999999</v>
      </c>
      <c r="H13" s="203">
        <f t="shared" si="2"/>
        <v>102166.25000399997</v>
      </c>
      <c r="I13" s="203">
        <f t="shared" si="2"/>
        <v>102472.74875401196</v>
      </c>
      <c r="J13" s="203">
        <f t="shared" si="2"/>
        <v>102780.16700027398</v>
      </c>
      <c r="K13" s="203">
        <f t="shared" si="2"/>
        <v>103088.5075012748</v>
      </c>
      <c r="L13" s="203">
        <f t="shared" si="2"/>
        <v>103397.7730237786</v>
      </c>
      <c r="M13" s="203">
        <f t="shared" si="2"/>
        <v>103707.96634284993</v>
      </c>
      <c r="N13" s="203">
        <f t="shared" si="2"/>
        <v>104019.09024187845</v>
      </c>
      <c r="O13" s="203">
        <f t="shared" si="2"/>
        <v>104331.14751260409</v>
      </c>
      <c r="P13" s="203">
        <f t="shared" si="2"/>
        <v>104644.14095514188</v>
      </c>
      <c r="Q13" s="203">
        <f t="shared" si="2"/>
        <v>104958.07337800729</v>
      </c>
      <c r="R13" s="203">
        <f t="shared" si="2"/>
        <v>105272.94759814131</v>
      </c>
      <c r="S13" s="203">
        <f t="shared" si="2"/>
        <v>105588.76644093572</v>
      </c>
      <c r="T13" s="203">
        <f t="shared" si="2"/>
        <v>105905.53274025851</v>
      </c>
      <c r="U13" s="203">
        <f t="shared" si="2"/>
        <v>106223.24933847928</v>
      </c>
      <c r="V13" s="203">
        <f t="shared" si="2"/>
        <v>106541.9190864947</v>
      </c>
      <c r="W13" s="203">
        <f t="shared" si="2"/>
        <v>106861.54484375418</v>
      </c>
      <c r="X13" s="203">
        <f t="shared" si="2"/>
        <v>107182.12947828542</v>
      </c>
      <c r="Y13" s="203">
        <f t="shared" si="2"/>
        <v>107503.67586672025</v>
      </c>
      <c r="Z13" s="203">
        <f t="shared" si="2"/>
        <v>107826.18689432042</v>
      </c>
    </row>
    <row r="14" spans="2:26" x14ac:dyDescent="0.2">
      <c r="B14" s="67" t="s">
        <v>199</v>
      </c>
      <c r="C14" s="206">
        <f>SUM(C12:C13)</f>
        <v>124931</v>
      </c>
      <c r="D14" s="207">
        <f t="shared" si="1"/>
        <v>0.14149112077557308</v>
      </c>
      <c r="E14" s="208"/>
      <c r="G14" s="206">
        <f>SUM(G12:G13)</f>
        <v>125305.79299999999</v>
      </c>
      <c r="H14" s="206">
        <f t="shared" ref="H14:Z14" si="3">SUM(H12:H13)</f>
        <v>125681.71037899997</v>
      </c>
      <c r="I14" s="206">
        <f t="shared" si="3"/>
        <v>126058.75551013695</v>
      </c>
      <c r="J14" s="206">
        <f t="shared" si="3"/>
        <v>126436.93177666735</v>
      </c>
      <c r="K14" s="206">
        <f t="shared" si="3"/>
        <v>126816.24257199734</v>
      </c>
      <c r="L14" s="206">
        <f t="shared" si="3"/>
        <v>127196.6912997133</v>
      </c>
      <c r="M14" s="206">
        <f t="shared" si="3"/>
        <v>127578.28137361244</v>
      </c>
      <c r="N14" s="206">
        <f t="shared" si="3"/>
        <v>127961.01621773324</v>
      </c>
      <c r="O14" s="206">
        <f t="shared" si="3"/>
        <v>128344.89926638643</v>
      </c>
      <c r="P14" s="206">
        <f t="shared" si="3"/>
        <v>128729.93396418556</v>
      </c>
      <c r="Q14" s="206">
        <f t="shared" si="3"/>
        <v>129116.12376607812</v>
      </c>
      <c r="R14" s="206">
        <f t="shared" si="3"/>
        <v>129503.47213737635</v>
      </c>
      <c r="S14" s="206">
        <f t="shared" si="3"/>
        <v>129891.98255378846</v>
      </c>
      <c r="T14" s="206">
        <f t="shared" si="3"/>
        <v>130281.6585014498</v>
      </c>
      <c r="U14" s="206">
        <f t="shared" si="3"/>
        <v>130672.50347695414</v>
      </c>
      <c r="V14" s="206">
        <f t="shared" si="3"/>
        <v>131064.52098738498</v>
      </c>
      <c r="W14" s="206">
        <f t="shared" si="3"/>
        <v>131457.71455034713</v>
      </c>
      <c r="X14" s="206">
        <f t="shared" si="3"/>
        <v>131852.08769399815</v>
      </c>
      <c r="Y14" s="206">
        <f t="shared" si="3"/>
        <v>132247.64395708012</v>
      </c>
      <c r="Z14" s="206">
        <f t="shared" si="3"/>
        <v>132644.38688895135</v>
      </c>
    </row>
    <row r="15" spans="2:26" x14ac:dyDescent="0.2">
      <c r="C15" s="203"/>
      <c r="D15" s="204"/>
      <c r="E15" s="208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spans="2:26" x14ac:dyDescent="0.2">
      <c r="B16" s="1" t="s">
        <v>1</v>
      </c>
      <c r="C16" s="201">
        <f t="shared" ref="C16:C21" si="4">INDEX(ExistingTable,MATCH($B16,ExistingRow,0),MATCH(C$5,ExistingColumns,0))/4</f>
        <v>9619.6869999999999</v>
      </c>
      <c r="D16" s="210">
        <f t="shared" si="1"/>
        <v>1.0894816299719126E-2</v>
      </c>
      <c r="E16" s="205" t="str">
        <f>VLOOKUP($B16,Inputs!$B$60:$C$76,2,FALSE)</f>
        <v>Variable</v>
      </c>
      <c r="G16" s="209">
        <f t="shared" ref="G16:V21" si="5">IF($E16="Variable",G$10*$D16,$C16)</f>
        <v>9648.5460609999991</v>
      </c>
      <c r="H16" s="209">
        <f t="shared" si="5"/>
        <v>9677.4916991829978</v>
      </c>
      <c r="I16" s="209">
        <f t="shared" si="5"/>
        <v>9706.5241742805447</v>
      </c>
      <c r="J16" s="209">
        <f t="shared" si="5"/>
        <v>9735.6437468033855</v>
      </c>
      <c r="K16" s="209">
        <f t="shared" si="5"/>
        <v>9764.8506780437947</v>
      </c>
      <c r="L16" s="209">
        <f t="shared" si="5"/>
        <v>9794.1452300779256</v>
      </c>
      <c r="M16" s="209">
        <f t="shared" si="5"/>
        <v>9823.527665768157</v>
      </c>
      <c r="N16" s="209">
        <f t="shared" si="5"/>
        <v>9852.9982487654597</v>
      </c>
      <c r="O16" s="209">
        <f t="shared" si="5"/>
        <v>9882.5572435117556</v>
      </c>
      <c r="P16" s="209">
        <f t="shared" si="5"/>
        <v>9912.2049152422896</v>
      </c>
      <c r="Q16" s="209">
        <f t="shared" si="5"/>
        <v>9941.9415299880147</v>
      </c>
      <c r="R16" s="209">
        <f t="shared" si="5"/>
        <v>9971.767354577978</v>
      </c>
      <c r="S16" s="209">
        <f t="shared" si="5"/>
        <v>10001.682656641709</v>
      </c>
      <c r="T16" s="209">
        <f t="shared" si="5"/>
        <v>10031.687704611633</v>
      </c>
      <c r="U16" s="209">
        <f t="shared" si="5"/>
        <v>10061.782767725468</v>
      </c>
      <c r="V16" s="209">
        <f t="shared" si="5"/>
        <v>10091.968116028644</v>
      </c>
      <c r="W16" s="209">
        <f t="shared" ref="W16:Z21" si="6">IF($E16="Variable",W$10*$D16,$C16)</f>
        <v>10122.244020376727</v>
      </c>
      <c r="X16" s="209">
        <f t="shared" si="6"/>
        <v>10152.610752437857</v>
      </c>
      <c r="Y16" s="209">
        <f t="shared" si="6"/>
        <v>10183.068584695169</v>
      </c>
      <c r="Z16" s="209">
        <f t="shared" si="6"/>
        <v>10213.617790449254</v>
      </c>
    </row>
    <row r="17" spans="2:26" x14ac:dyDescent="0.2">
      <c r="B17" s="1" t="s">
        <v>0</v>
      </c>
      <c r="C17" s="201">
        <f t="shared" si="4"/>
        <v>5750</v>
      </c>
      <c r="D17" s="210">
        <f t="shared" si="1"/>
        <v>6.5121862825043035E-3</v>
      </c>
      <c r="E17" s="205" t="str">
        <f>VLOOKUP($B17,Inputs!$B$60:$C$76,2,FALSE)</f>
        <v>Fixed</v>
      </c>
      <c r="G17" s="209">
        <f t="shared" si="5"/>
        <v>5750</v>
      </c>
      <c r="H17" s="209">
        <f t="shared" si="5"/>
        <v>5750</v>
      </c>
      <c r="I17" s="209">
        <f t="shared" si="5"/>
        <v>5750</v>
      </c>
      <c r="J17" s="209">
        <f t="shared" si="5"/>
        <v>5750</v>
      </c>
      <c r="K17" s="209">
        <f t="shared" si="5"/>
        <v>5750</v>
      </c>
      <c r="L17" s="209">
        <f t="shared" si="5"/>
        <v>5750</v>
      </c>
      <c r="M17" s="209">
        <f t="shared" si="5"/>
        <v>5750</v>
      </c>
      <c r="N17" s="209">
        <f t="shared" si="5"/>
        <v>5750</v>
      </c>
      <c r="O17" s="209">
        <f t="shared" si="5"/>
        <v>5750</v>
      </c>
      <c r="P17" s="209">
        <f t="shared" si="5"/>
        <v>5750</v>
      </c>
      <c r="Q17" s="209">
        <f t="shared" si="5"/>
        <v>5750</v>
      </c>
      <c r="R17" s="209">
        <f t="shared" si="5"/>
        <v>5750</v>
      </c>
      <c r="S17" s="209">
        <f t="shared" si="5"/>
        <v>5750</v>
      </c>
      <c r="T17" s="209">
        <f t="shared" si="5"/>
        <v>5750</v>
      </c>
      <c r="U17" s="209">
        <f t="shared" si="5"/>
        <v>5750</v>
      </c>
      <c r="V17" s="209">
        <f t="shared" si="5"/>
        <v>5750</v>
      </c>
      <c r="W17" s="209">
        <f t="shared" si="6"/>
        <v>5750</v>
      </c>
      <c r="X17" s="209">
        <f t="shared" si="6"/>
        <v>5750</v>
      </c>
      <c r="Y17" s="209">
        <f t="shared" si="6"/>
        <v>5750</v>
      </c>
      <c r="Z17" s="209">
        <f t="shared" si="6"/>
        <v>5750</v>
      </c>
    </row>
    <row r="18" spans="2:26" x14ac:dyDescent="0.2">
      <c r="B18" s="1" t="s">
        <v>2</v>
      </c>
      <c r="C18" s="201">
        <f t="shared" si="4"/>
        <v>2810.9474999999998</v>
      </c>
      <c r="D18" s="210">
        <f t="shared" si="1"/>
        <v>3.1835502174503939E-3</v>
      </c>
      <c r="E18" s="205" t="str">
        <f>VLOOKUP($B18,Inputs!$B$60:$C$76,2,FALSE)</f>
        <v>Variable</v>
      </c>
      <c r="G18" s="209">
        <f t="shared" si="5"/>
        <v>2819.3803424999996</v>
      </c>
      <c r="H18" s="209">
        <f t="shared" si="5"/>
        <v>2827.8384835274992</v>
      </c>
      <c r="I18" s="209">
        <f t="shared" si="5"/>
        <v>2836.3219989780814</v>
      </c>
      <c r="J18" s="209">
        <f t="shared" si="5"/>
        <v>2844.8309649750149</v>
      </c>
      <c r="K18" s="209">
        <f t="shared" si="5"/>
        <v>2853.3654578699397</v>
      </c>
      <c r="L18" s="209">
        <f t="shared" si="5"/>
        <v>2861.9255542435494</v>
      </c>
      <c r="M18" s="209">
        <f t="shared" si="5"/>
        <v>2870.5113309062795</v>
      </c>
      <c r="N18" s="209">
        <f t="shared" si="5"/>
        <v>2879.1228648989977</v>
      </c>
      <c r="O18" s="209">
        <f t="shared" si="5"/>
        <v>2887.7602334936946</v>
      </c>
      <c r="P18" s="209">
        <f t="shared" si="5"/>
        <v>2896.4235141941754</v>
      </c>
      <c r="Q18" s="209">
        <f t="shared" si="5"/>
        <v>2905.1127847367575</v>
      </c>
      <c r="R18" s="209">
        <f t="shared" si="5"/>
        <v>2913.8281230909674</v>
      </c>
      <c r="S18" s="209">
        <f t="shared" si="5"/>
        <v>2922.5696074602401</v>
      </c>
      <c r="T18" s="209">
        <f t="shared" si="5"/>
        <v>2931.3373162826201</v>
      </c>
      <c r="U18" s="209">
        <f t="shared" si="5"/>
        <v>2940.1313282314677</v>
      </c>
      <c r="V18" s="209">
        <f t="shared" si="5"/>
        <v>2948.9517222161621</v>
      </c>
      <c r="W18" s="209">
        <f t="shared" si="6"/>
        <v>2957.79857738281</v>
      </c>
      <c r="X18" s="209">
        <f t="shared" si="6"/>
        <v>2966.6719731149583</v>
      </c>
      <c r="Y18" s="209">
        <f t="shared" si="6"/>
        <v>2975.5719890343025</v>
      </c>
      <c r="Z18" s="209">
        <f t="shared" si="6"/>
        <v>2984.4987050014051</v>
      </c>
    </row>
    <row r="19" spans="2:26" x14ac:dyDescent="0.2">
      <c r="B19" s="1" t="s">
        <v>3</v>
      </c>
      <c r="C19" s="201">
        <f t="shared" si="4"/>
        <v>2810.9474999999998</v>
      </c>
      <c r="D19" s="210">
        <f t="shared" si="1"/>
        <v>3.1835502174503939E-3</v>
      </c>
      <c r="E19" s="205" t="str">
        <f>VLOOKUP($B19,Inputs!$B$60:$C$76,2,FALSE)</f>
        <v>Variable</v>
      </c>
      <c r="G19" s="209">
        <f t="shared" si="5"/>
        <v>2819.3803424999996</v>
      </c>
      <c r="H19" s="209">
        <f t="shared" si="5"/>
        <v>2827.8384835274992</v>
      </c>
      <c r="I19" s="209">
        <f t="shared" si="5"/>
        <v>2836.3219989780814</v>
      </c>
      <c r="J19" s="209">
        <f t="shared" si="5"/>
        <v>2844.8309649750149</v>
      </c>
      <c r="K19" s="209">
        <f t="shared" si="5"/>
        <v>2853.3654578699397</v>
      </c>
      <c r="L19" s="209">
        <f t="shared" si="5"/>
        <v>2861.9255542435494</v>
      </c>
      <c r="M19" s="209">
        <f t="shared" si="5"/>
        <v>2870.5113309062795</v>
      </c>
      <c r="N19" s="209">
        <f t="shared" si="5"/>
        <v>2879.1228648989977</v>
      </c>
      <c r="O19" s="209">
        <f t="shared" si="5"/>
        <v>2887.7602334936946</v>
      </c>
      <c r="P19" s="209">
        <f t="shared" si="5"/>
        <v>2896.4235141941754</v>
      </c>
      <c r="Q19" s="209">
        <f t="shared" si="5"/>
        <v>2905.1127847367575</v>
      </c>
      <c r="R19" s="209">
        <f t="shared" si="5"/>
        <v>2913.8281230909674</v>
      </c>
      <c r="S19" s="209">
        <f t="shared" si="5"/>
        <v>2922.5696074602401</v>
      </c>
      <c r="T19" s="209">
        <f t="shared" si="5"/>
        <v>2931.3373162826201</v>
      </c>
      <c r="U19" s="209">
        <f t="shared" si="5"/>
        <v>2940.1313282314677</v>
      </c>
      <c r="V19" s="209">
        <f t="shared" si="5"/>
        <v>2948.9517222161621</v>
      </c>
      <c r="W19" s="209">
        <f t="shared" si="6"/>
        <v>2957.79857738281</v>
      </c>
      <c r="X19" s="209">
        <f t="shared" si="6"/>
        <v>2966.6719731149583</v>
      </c>
      <c r="Y19" s="209">
        <f t="shared" si="6"/>
        <v>2975.5719890343025</v>
      </c>
      <c r="Z19" s="209">
        <f t="shared" si="6"/>
        <v>2984.4987050014051</v>
      </c>
    </row>
    <row r="20" spans="2:26" x14ac:dyDescent="0.2">
      <c r="B20" s="1" t="s">
        <v>16</v>
      </c>
      <c r="C20" s="201">
        <f t="shared" si="4"/>
        <v>2810.9474999999998</v>
      </c>
      <c r="D20" s="210">
        <f t="shared" si="1"/>
        <v>3.1835502174503939E-3</v>
      </c>
      <c r="E20" s="205" t="str">
        <f>VLOOKUP($B20,Inputs!$B$60:$C$76,2,FALSE)</f>
        <v>Variable</v>
      </c>
      <c r="G20" s="209">
        <f t="shared" si="5"/>
        <v>2819.3803424999996</v>
      </c>
      <c r="H20" s="209">
        <f t="shared" si="5"/>
        <v>2827.8384835274992</v>
      </c>
      <c r="I20" s="209">
        <f t="shared" si="5"/>
        <v>2836.3219989780814</v>
      </c>
      <c r="J20" s="209">
        <f t="shared" si="5"/>
        <v>2844.8309649750149</v>
      </c>
      <c r="K20" s="209">
        <f t="shared" si="5"/>
        <v>2853.3654578699397</v>
      </c>
      <c r="L20" s="209">
        <f t="shared" si="5"/>
        <v>2861.9255542435494</v>
      </c>
      <c r="M20" s="209">
        <f t="shared" si="5"/>
        <v>2870.5113309062795</v>
      </c>
      <c r="N20" s="209">
        <f t="shared" si="5"/>
        <v>2879.1228648989977</v>
      </c>
      <c r="O20" s="209">
        <f t="shared" si="5"/>
        <v>2887.7602334936946</v>
      </c>
      <c r="P20" s="209">
        <f t="shared" si="5"/>
        <v>2896.4235141941754</v>
      </c>
      <c r="Q20" s="209">
        <f t="shared" si="5"/>
        <v>2905.1127847367575</v>
      </c>
      <c r="R20" s="209">
        <f t="shared" si="5"/>
        <v>2913.8281230909674</v>
      </c>
      <c r="S20" s="209">
        <f t="shared" si="5"/>
        <v>2922.5696074602401</v>
      </c>
      <c r="T20" s="209">
        <f t="shared" si="5"/>
        <v>2931.3373162826201</v>
      </c>
      <c r="U20" s="209">
        <f t="shared" si="5"/>
        <v>2940.1313282314677</v>
      </c>
      <c r="V20" s="209">
        <f t="shared" si="5"/>
        <v>2948.9517222161621</v>
      </c>
      <c r="W20" s="209">
        <f t="shared" si="6"/>
        <v>2957.79857738281</v>
      </c>
      <c r="X20" s="209">
        <f t="shared" si="6"/>
        <v>2966.6719731149583</v>
      </c>
      <c r="Y20" s="209">
        <f t="shared" si="6"/>
        <v>2975.5719890343025</v>
      </c>
      <c r="Z20" s="209">
        <f t="shared" si="6"/>
        <v>2984.4987050014051</v>
      </c>
    </row>
    <row r="21" spans="2:26" x14ac:dyDescent="0.2">
      <c r="B21" s="1" t="s">
        <v>4</v>
      </c>
      <c r="C21" s="201">
        <f t="shared" si="4"/>
        <v>5621.8949999999995</v>
      </c>
      <c r="D21" s="210">
        <f t="shared" si="1"/>
        <v>6.3671004349007878E-3</v>
      </c>
      <c r="E21" s="205" t="str">
        <f>VLOOKUP($B21,Inputs!$B$60:$C$76,2,FALSE)</f>
        <v>Variable</v>
      </c>
      <c r="G21" s="209">
        <f t="shared" si="5"/>
        <v>5638.7606849999993</v>
      </c>
      <c r="H21" s="209">
        <f t="shared" si="5"/>
        <v>5655.6769670549984</v>
      </c>
      <c r="I21" s="209">
        <f t="shared" si="5"/>
        <v>5672.6439979561628</v>
      </c>
      <c r="J21" s="209">
        <f t="shared" si="5"/>
        <v>5689.6619299500298</v>
      </c>
      <c r="K21" s="209">
        <f t="shared" si="5"/>
        <v>5706.7309157398795</v>
      </c>
      <c r="L21" s="209">
        <f t="shared" si="5"/>
        <v>5723.8511084870988</v>
      </c>
      <c r="M21" s="209">
        <f t="shared" si="5"/>
        <v>5741.0226618125589</v>
      </c>
      <c r="N21" s="209">
        <f t="shared" si="5"/>
        <v>5758.2457297979954</v>
      </c>
      <c r="O21" s="209">
        <f t="shared" si="5"/>
        <v>5775.5204669873892</v>
      </c>
      <c r="P21" s="209">
        <f t="shared" si="5"/>
        <v>5792.8470283883507</v>
      </c>
      <c r="Q21" s="209">
        <f t="shared" si="5"/>
        <v>5810.225569473515</v>
      </c>
      <c r="R21" s="209">
        <f t="shared" si="5"/>
        <v>5827.6562461819349</v>
      </c>
      <c r="S21" s="209">
        <f t="shared" si="5"/>
        <v>5845.1392149204803</v>
      </c>
      <c r="T21" s="209">
        <f t="shared" si="5"/>
        <v>5862.6746325652402</v>
      </c>
      <c r="U21" s="209">
        <f t="shared" si="5"/>
        <v>5880.2626564629354</v>
      </c>
      <c r="V21" s="209">
        <f t="shared" si="5"/>
        <v>5897.9034444323242</v>
      </c>
      <c r="W21" s="209">
        <f t="shared" si="6"/>
        <v>5915.59715476562</v>
      </c>
      <c r="X21" s="209">
        <f t="shared" si="6"/>
        <v>5933.3439462299166</v>
      </c>
      <c r="Y21" s="209">
        <f t="shared" si="6"/>
        <v>5951.1439780686051</v>
      </c>
      <c r="Z21" s="209">
        <f t="shared" si="6"/>
        <v>5968.9974100028103</v>
      </c>
    </row>
    <row r="22" spans="2:26" x14ac:dyDescent="0.2">
      <c r="B22" s="67" t="s">
        <v>200</v>
      </c>
      <c r="C22" s="206">
        <f>SUM(C16:C21)</f>
        <v>29424.424499999997</v>
      </c>
      <c r="D22" s="207">
        <f t="shared" si="1"/>
        <v>3.3324753669475397E-2</v>
      </c>
      <c r="E22" s="208"/>
      <c r="G22" s="206">
        <f>SUM(G16:G21)</f>
        <v>29495.447773499996</v>
      </c>
      <c r="H22" s="206">
        <f t="shared" ref="H22:Z22" si="7">SUM(H16:H21)</f>
        <v>29566.684116820492</v>
      </c>
      <c r="I22" s="206">
        <f t="shared" si="7"/>
        <v>29638.134169170949</v>
      </c>
      <c r="J22" s="206">
        <f t="shared" si="7"/>
        <v>29709.798571678461</v>
      </c>
      <c r="K22" s="206">
        <f t="shared" si="7"/>
        <v>29781.677967393494</v>
      </c>
      <c r="L22" s="206">
        <f t="shared" si="7"/>
        <v>29853.773001295674</v>
      </c>
      <c r="M22" s="206">
        <f t="shared" si="7"/>
        <v>29926.084320299557</v>
      </c>
      <c r="N22" s="206">
        <f t="shared" si="7"/>
        <v>29998.612573260445</v>
      </c>
      <c r="O22" s="206">
        <f t="shared" si="7"/>
        <v>30071.358410980229</v>
      </c>
      <c r="P22" s="206">
        <f t="shared" si="7"/>
        <v>30144.322486213168</v>
      </c>
      <c r="Q22" s="206">
        <f t="shared" si="7"/>
        <v>30217.505453671802</v>
      </c>
      <c r="R22" s="206">
        <f t="shared" si="7"/>
        <v>30290.907970032815</v>
      </c>
      <c r="S22" s="206">
        <f t="shared" si="7"/>
        <v>30364.53069394291</v>
      </c>
      <c r="T22" s="206">
        <f t="shared" si="7"/>
        <v>30438.374286024737</v>
      </c>
      <c r="U22" s="206">
        <f t="shared" si="7"/>
        <v>30512.439408882801</v>
      </c>
      <c r="V22" s="206">
        <f t="shared" si="7"/>
        <v>30586.726727109453</v>
      </c>
      <c r="W22" s="206">
        <f t="shared" si="7"/>
        <v>30661.236907290779</v>
      </c>
      <c r="X22" s="206">
        <f t="shared" si="7"/>
        <v>30735.970618012645</v>
      </c>
      <c r="Y22" s="206">
        <f t="shared" si="7"/>
        <v>30810.92852986668</v>
      </c>
      <c r="Z22" s="206">
        <f t="shared" si="7"/>
        <v>30886.111315456285</v>
      </c>
    </row>
    <row r="23" spans="2:26" x14ac:dyDescent="0.2">
      <c r="B23" s="67" t="s">
        <v>201</v>
      </c>
      <c r="C23" s="211">
        <f>C14+C22</f>
        <v>154355.42449999999</v>
      </c>
      <c r="D23" s="212">
        <f t="shared" si="1"/>
        <v>0.17481587444504845</v>
      </c>
      <c r="E23" s="208"/>
      <c r="G23" s="211">
        <f>G22+G14</f>
        <v>154801.2407735</v>
      </c>
      <c r="H23" s="211">
        <f t="shared" ref="H23:Z23" si="8">H22+H14</f>
        <v>155248.39449582045</v>
      </c>
      <c r="I23" s="211">
        <f t="shared" si="8"/>
        <v>155696.8896793079</v>
      </c>
      <c r="J23" s="211">
        <f t="shared" si="8"/>
        <v>156146.73034834582</v>
      </c>
      <c r="K23" s="211">
        <f t="shared" si="8"/>
        <v>156597.92053939082</v>
      </c>
      <c r="L23" s="211">
        <f t="shared" si="8"/>
        <v>157050.46430100896</v>
      </c>
      <c r="M23" s="211">
        <f t="shared" si="8"/>
        <v>157504.365693912</v>
      </c>
      <c r="N23" s="211">
        <f t="shared" si="8"/>
        <v>157959.62879099368</v>
      </c>
      <c r="O23" s="211">
        <f t="shared" si="8"/>
        <v>158416.25767736667</v>
      </c>
      <c r="P23" s="211">
        <f t="shared" si="8"/>
        <v>158874.25645039874</v>
      </c>
      <c r="Q23" s="211">
        <f t="shared" si="8"/>
        <v>159333.62921974991</v>
      </c>
      <c r="R23" s="211">
        <f t="shared" si="8"/>
        <v>159794.38010740915</v>
      </c>
      <c r="S23" s="211">
        <f t="shared" si="8"/>
        <v>160256.51324773137</v>
      </c>
      <c r="T23" s="211">
        <f t="shared" si="8"/>
        <v>160720.03278747454</v>
      </c>
      <c r="U23" s="211">
        <f t="shared" si="8"/>
        <v>161184.94288583694</v>
      </c>
      <c r="V23" s="211">
        <f t="shared" si="8"/>
        <v>161651.24771449444</v>
      </c>
      <c r="W23" s="211">
        <f t="shared" si="8"/>
        <v>162118.95145763792</v>
      </c>
      <c r="X23" s="211">
        <f t="shared" si="8"/>
        <v>162588.05831201081</v>
      </c>
      <c r="Y23" s="211">
        <f t="shared" si="8"/>
        <v>163058.5724869468</v>
      </c>
      <c r="Z23" s="211">
        <f t="shared" si="8"/>
        <v>163530.49820440763</v>
      </c>
    </row>
    <row r="24" spans="2:26" x14ac:dyDescent="0.2">
      <c r="C24" s="209"/>
      <c r="D24" s="210"/>
      <c r="E24" s="208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2:26" x14ac:dyDescent="0.2">
      <c r="B25" s="1" t="s">
        <v>71</v>
      </c>
      <c r="C25" s="201">
        <f>INDEX(ExistingTable,MATCH($B25,ExistingRow,0),MATCH(C$5,ExistingColumns,0))/4</f>
        <v>229569.6</v>
      </c>
      <c r="D25" s="210">
        <f t="shared" si="1"/>
        <v>0.26</v>
      </c>
      <c r="E25" s="205" t="str">
        <f>VLOOKUP($B25,Inputs!$B$60:$C$76,2,FALSE)</f>
        <v>Variable</v>
      </c>
      <c r="G25" s="209">
        <f>IF($E25="Variable",G$10*$D25,$C25)</f>
        <v>230258.30879999997</v>
      </c>
      <c r="H25" s="209">
        <f t="shared" ref="H25:Z26" si="9">IF($E25="Variable",H$10*$D25,$C25)</f>
        <v>230949.08372639996</v>
      </c>
      <c r="I25" s="209">
        <f t="shared" si="9"/>
        <v>231641.93097757912</v>
      </c>
      <c r="J25" s="209">
        <f t="shared" si="9"/>
        <v>232336.85677051183</v>
      </c>
      <c r="K25" s="209">
        <f t="shared" si="9"/>
        <v>233033.86734082334</v>
      </c>
      <c r="L25" s="209">
        <f t="shared" si="9"/>
        <v>233732.96894284579</v>
      </c>
      <c r="M25" s="209">
        <f t="shared" si="9"/>
        <v>234434.16784967427</v>
      </c>
      <c r="N25" s="209">
        <f t="shared" si="9"/>
        <v>235137.47035322327</v>
      </c>
      <c r="O25" s="209">
        <f t="shared" si="9"/>
        <v>235842.8827642829</v>
      </c>
      <c r="P25" s="209">
        <f t="shared" si="9"/>
        <v>236550.41141257572</v>
      </c>
      <c r="Q25" s="209">
        <f t="shared" si="9"/>
        <v>237260.06264681343</v>
      </c>
      <c r="R25" s="209">
        <f t="shared" si="9"/>
        <v>237971.84283475386</v>
      </c>
      <c r="S25" s="209">
        <f t="shared" si="9"/>
        <v>238685.75836325806</v>
      </c>
      <c r="T25" s="209">
        <f t="shared" si="9"/>
        <v>239401.81563834782</v>
      </c>
      <c r="U25" s="209">
        <f t="shared" si="9"/>
        <v>240120.02108526285</v>
      </c>
      <c r="V25" s="209">
        <f t="shared" si="9"/>
        <v>240840.38114851859</v>
      </c>
      <c r="W25" s="209">
        <f t="shared" si="9"/>
        <v>241562.90229196413</v>
      </c>
      <c r="X25" s="209">
        <f t="shared" si="9"/>
        <v>242287.59099883999</v>
      </c>
      <c r="Y25" s="209">
        <f t="shared" si="9"/>
        <v>243014.45377183647</v>
      </c>
      <c r="Z25" s="209">
        <f t="shared" si="9"/>
        <v>243743.49713315195</v>
      </c>
    </row>
    <row r="26" spans="2:26" x14ac:dyDescent="0.2">
      <c r="B26" s="1" t="s">
        <v>72</v>
      </c>
      <c r="C26" s="201">
        <f>INDEX(ExistingTable,MATCH($B26,ExistingRow,0),MATCH(C$5,ExistingColumns,0))/4</f>
        <v>26488.799999999999</v>
      </c>
      <c r="D26" s="210">
        <f t="shared" si="1"/>
        <v>0.03</v>
      </c>
      <c r="E26" s="205" t="str">
        <f>VLOOKUP($B26,Inputs!$B$60:$C$76,2,FALSE)</f>
        <v>Variable</v>
      </c>
      <c r="G26" s="209">
        <f>IF($E26="Variable",G$10*$D26,$C26)</f>
        <v>26568.266399999997</v>
      </c>
      <c r="H26" s="209">
        <f t="shared" si="9"/>
        <v>26647.97119919999</v>
      </c>
      <c r="I26" s="209">
        <f t="shared" si="9"/>
        <v>26727.915112797589</v>
      </c>
      <c r="J26" s="209">
        <f t="shared" si="9"/>
        <v>26808.098858135978</v>
      </c>
      <c r="K26" s="209">
        <f t="shared" si="9"/>
        <v>26888.523154710383</v>
      </c>
      <c r="L26" s="209">
        <f t="shared" si="9"/>
        <v>26969.18872417451</v>
      </c>
      <c r="M26" s="209">
        <f t="shared" si="9"/>
        <v>27050.096290347032</v>
      </c>
      <c r="N26" s="209">
        <f t="shared" si="9"/>
        <v>27131.246579218066</v>
      </c>
      <c r="O26" s="209">
        <f t="shared" si="9"/>
        <v>27212.64031895572</v>
      </c>
      <c r="P26" s="209">
        <f t="shared" si="9"/>
        <v>27294.278239912583</v>
      </c>
      <c r="Q26" s="209">
        <f t="shared" si="9"/>
        <v>27376.161074632317</v>
      </c>
      <c r="R26" s="209">
        <f t="shared" si="9"/>
        <v>27458.289557856209</v>
      </c>
      <c r="S26" s="209">
        <f t="shared" si="9"/>
        <v>27540.664426529776</v>
      </c>
      <c r="T26" s="209">
        <f t="shared" si="9"/>
        <v>27623.286419809359</v>
      </c>
      <c r="U26" s="209">
        <f t="shared" si="9"/>
        <v>27706.156279068786</v>
      </c>
      <c r="V26" s="209">
        <f t="shared" si="9"/>
        <v>27789.274747905991</v>
      </c>
      <c r="W26" s="209">
        <f t="shared" si="9"/>
        <v>27872.642572149703</v>
      </c>
      <c r="X26" s="209">
        <f t="shared" si="9"/>
        <v>27956.260499866148</v>
      </c>
      <c r="Y26" s="209">
        <f t="shared" si="9"/>
        <v>28040.129281365742</v>
      </c>
      <c r="Z26" s="209">
        <f t="shared" si="9"/>
        <v>28124.249669209839</v>
      </c>
    </row>
    <row r="27" spans="2:26" x14ac:dyDescent="0.2">
      <c r="B27" s="67" t="s">
        <v>202</v>
      </c>
      <c r="C27" s="206">
        <f>SUM(C25:C26)</f>
        <v>256058.4</v>
      </c>
      <c r="D27" s="207">
        <f t="shared" si="1"/>
        <v>0.28999999999999998</v>
      </c>
      <c r="E27" s="208"/>
      <c r="G27" s="206">
        <f>SUM(G25:G26)</f>
        <v>256826.57519999996</v>
      </c>
      <c r="H27" s="206">
        <f t="shared" ref="H27:Z27" si="10">SUM(H25:H26)</f>
        <v>257597.05492559995</v>
      </c>
      <c r="I27" s="206">
        <f t="shared" si="10"/>
        <v>258369.8460903767</v>
      </c>
      <c r="J27" s="206">
        <f t="shared" si="10"/>
        <v>259144.95562864782</v>
      </c>
      <c r="K27" s="206">
        <f t="shared" si="10"/>
        <v>259922.39049553373</v>
      </c>
      <c r="L27" s="206">
        <f t="shared" si="10"/>
        <v>260702.15766702031</v>
      </c>
      <c r="M27" s="206">
        <f t="shared" si="10"/>
        <v>261484.26414002129</v>
      </c>
      <c r="N27" s="206">
        <f t="shared" si="10"/>
        <v>262268.71693244134</v>
      </c>
      <c r="O27" s="206">
        <f t="shared" si="10"/>
        <v>263055.52308323863</v>
      </c>
      <c r="P27" s="206">
        <f t="shared" si="10"/>
        <v>263844.68965248828</v>
      </c>
      <c r="Q27" s="206">
        <f t="shared" si="10"/>
        <v>264636.22372144577</v>
      </c>
      <c r="R27" s="206">
        <f t="shared" si="10"/>
        <v>265430.13239261007</v>
      </c>
      <c r="S27" s="206">
        <f t="shared" si="10"/>
        <v>266226.42278978782</v>
      </c>
      <c r="T27" s="206">
        <f t="shared" si="10"/>
        <v>267025.10205815721</v>
      </c>
      <c r="U27" s="206">
        <f t="shared" si="10"/>
        <v>267826.17736433161</v>
      </c>
      <c r="V27" s="206">
        <f t="shared" si="10"/>
        <v>268629.65589642455</v>
      </c>
      <c r="W27" s="206">
        <f t="shared" si="10"/>
        <v>269435.54486411385</v>
      </c>
      <c r="X27" s="206">
        <f t="shared" si="10"/>
        <v>270243.85149870615</v>
      </c>
      <c r="Y27" s="206">
        <f t="shared" si="10"/>
        <v>271054.58305320219</v>
      </c>
      <c r="Z27" s="206">
        <f t="shared" si="10"/>
        <v>271867.7468023618</v>
      </c>
    </row>
    <row r="28" spans="2:26" x14ac:dyDescent="0.2">
      <c r="C28" s="209"/>
      <c r="D28" s="210"/>
      <c r="E28" s="208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</row>
    <row r="29" spans="2:26" x14ac:dyDescent="0.2">
      <c r="B29" s="1" t="s">
        <v>73</v>
      </c>
      <c r="C29" s="201">
        <f>INDEX(ExistingTable,MATCH($B29,ExistingRow,0),MATCH(C$5,ExistingColumns,0))/4</f>
        <v>13244.4</v>
      </c>
      <c r="D29" s="210">
        <f t="shared" si="1"/>
        <v>1.4999999999999999E-2</v>
      </c>
      <c r="E29" s="205" t="str">
        <f>VLOOKUP($B29,Inputs!$B$60:$C$76,2,FALSE)</f>
        <v>Variable</v>
      </c>
      <c r="G29" s="209">
        <f t="shared" ref="G29:V33" si="11">IF($E29="Variable",G$10*$D29,$C29)</f>
        <v>13284.133199999998</v>
      </c>
      <c r="H29" s="209">
        <f t="shared" si="11"/>
        <v>13323.985599599995</v>
      </c>
      <c r="I29" s="209">
        <f t="shared" si="11"/>
        <v>13363.957556398795</v>
      </c>
      <c r="J29" s="209">
        <f t="shared" si="11"/>
        <v>13404.049429067989</v>
      </c>
      <c r="K29" s="209">
        <f t="shared" si="11"/>
        <v>13444.261577355192</v>
      </c>
      <c r="L29" s="209">
        <f t="shared" si="11"/>
        <v>13484.594362087255</v>
      </c>
      <c r="M29" s="209">
        <f t="shared" si="11"/>
        <v>13525.048145173516</v>
      </c>
      <c r="N29" s="209">
        <f t="shared" si="11"/>
        <v>13565.623289609033</v>
      </c>
      <c r="O29" s="209">
        <f t="shared" si="11"/>
        <v>13606.32015947786</v>
      </c>
      <c r="P29" s="209">
        <f t="shared" si="11"/>
        <v>13647.139119956291</v>
      </c>
      <c r="Q29" s="209">
        <f t="shared" si="11"/>
        <v>13688.080537316158</v>
      </c>
      <c r="R29" s="209">
        <f t="shared" si="11"/>
        <v>13729.144778928105</v>
      </c>
      <c r="S29" s="209">
        <f t="shared" si="11"/>
        <v>13770.332213264888</v>
      </c>
      <c r="T29" s="209">
        <f t="shared" si="11"/>
        <v>13811.64320990468</v>
      </c>
      <c r="U29" s="209">
        <f t="shared" si="11"/>
        <v>13853.078139534393</v>
      </c>
      <c r="V29" s="209">
        <f t="shared" si="11"/>
        <v>13894.637373952995</v>
      </c>
      <c r="W29" s="209">
        <f t="shared" ref="W29:Z33" si="12">IF($E29="Variable",W$10*$D29,$C29)</f>
        <v>13936.321286074852</v>
      </c>
      <c r="X29" s="209">
        <f t="shared" si="12"/>
        <v>13978.130249933074</v>
      </c>
      <c r="Y29" s="209">
        <f t="shared" si="12"/>
        <v>14020.064640682871</v>
      </c>
      <c r="Z29" s="209">
        <f t="shared" si="12"/>
        <v>14062.12483460492</v>
      </c>
    </row>
    <row r="30" spans="2:26" x14ac:dyDescent="0.2">
      <c r="B30" s="1" t="s">
        <v>74</v>
      </c>
      <c r="C30" s="201">
        <f>INDEX(ExistingTable,MATCH($B30,ExistingRow,0),MATCH(C$5,ExistingColumns,0))/4</f>
        <v>17659.2</v>
      </c>
      <c r="D30" s="210">
        <f t="shared" si="1"/>
        <v>0.02</v>
      </c>
      <c r="E30" s="205" t="str">
        <f>VLOOKUP($B30,Inputs!$B$60:$C$76,2,FALSE)</f>
        <v>Variable</v>
      </c>
      <c r="G30" s="209">
        <f t="shared" si="11"/>
        <v>17712.177599999999</v>
      </c>
      <c r="H30" s="209">
        <f t="shared" si="11"/>
        <v>17765.314132799995</v>
      </c>
      <c r="I30" s="209">
        <f t="shared" si="11"/>
        <v>17818.610075198394</v>
      </c>
      <c r="J30" s="209">
        <f t="shared" si="11"/>
        <v>17872.065905423988</v>
      </c>
      <c r="K30" s="209">
        <f t="shared" si="11"/>
        <v>17925.682103140258</v>
      </c>
      <c r="L30" s="209">
        <f t="shared" si="11"/>
        <v>17979.459149449674</v>
      </c>
      <c r="M30" s="209">
        <f t="shared" si="11"/>
        <v>18033.397526898021</v>
      </c>
      <c r="N30" s="209">
        <f t="shared" si="11"/>
        <v>18087.497719478713</v>
      </c>
      <c r="O30" s="209">
        <f t="shared" si="11"/>
        <v>18141.760212637146</v>
      </c>
      <c r="P30" s="209">
        <f t="shared" si="11"/>
        <v>18196.185493275054</v>
      </c>
      <c r="Q30" s="209">
        <f t="shared" si="11"/>
        <v>18250.77404975488</v>
      </c>
      <c r="R30" s="209">
        <f t="shared" si="11"/>
        <v>18305.526371904143</v>
      </c>
      <c r="S30" s="209">
        <f t="shared" si="11"/>
        <v>18360.44295101985</v>
      </c>
      <c r="T30" s="209">
        <f t="shared" si="11"/>
        <v>18415.524279872909</v>
      </c>
      <c r="U30" s="209">
        <f t="shared" si="11"/>
        <v>18470.770852712525</v>
      </c>
      <c r="V30" s="209">
        <f t="shared" si="11"/>
        <v>18526.183165270661</v>
      </c>
      <c r="W30" s="209">
        <f t="shared" si="12"/>
        <v>18581.761714766471</v>
      </c>
      <c r="X30" s="209">
        <f t="shared" si="12"/>
        <v>18637.506999910769</v>
      </c>
      <c r="Y30" s="209">
        <f t="shared" si="12"/>
        <v>18693.419520910498</v>
      </c>
      <c r="Z30" s="209">
        <f t="shared" si="12"/>
        <v>18749.499779473226</v>
      </c>
    </row>
    <row r="31" spans="2:26" x14ac:dyDescent="0.2">
      <c r="B31" s="1" t="s">
        <v>75</v>
      </c>
      <c r="C31" s="201">
        <f>INDEX(ExistingTable,MATCH($B31,ExistingRow,0),MATCH(C$5,ExistingColumns,0))/4</f>
        <v>6180.72</v>
      </c>
      <c r="D31" s="210">
        <f t="shared" si="1"/>
        <v>7.0000000000000001E-3</v>
      </c>
      <c r="E31" s="205" t="str">
        <f>VLOOKUP($B31,Inputs!$B$60:$C$76,2,FALSE)</f>
        <v>Variable</v>
      </c>
      <c r="G31" s="209">
        <f t="shared" si="11"/>
        <v>6199.2621599999993</v>
      </c>
      <c r="H31" s="209">
        <f t="shared" si="11"/>
        <v>6217.8599464799981</v>
      </c>
      <c r="I31" s="209">
        <f t="shared" si="11"/>
        <v>6236.5135263194379</v>
      </c>
      <c r="J31" s="209">
        <f t="shared" si="11"/>
        <v>6255.2230668983957</v>
      </c>
      <c r="K31" s="209">
        <f t="shared" si="11"/>
        <v>6273.9887360990897</v>
      </c>
      <c r="L31" s="209">
        <f t="shared" si="11"/>
        <v>6292.8107023073862</v>
      </c>
      <c r="M31" s="209">
        <f t="shared" si="11"/>
        <v>6311.6891344143078</v>
      </c>
      <c r="N31" s="209">
        <f t="shared" si="11"/>
        <v>6330.624201817549</v>
      </c>
      <c r="O31" s="209">
        <f t="shared" si="11"/>
        <v>6349.616074423001</v>
      </c>
      <c r="P31" s="209">
        <f t="shared" si="11"/>
        <v>6368.6649226462696</v>
      </c>
      <c r="Q31" s="209">
        <f t="shared" si="11"/>
        <v>6387.7709174142074</v>
      </c>
      <c r="R31" s="209">
        <f t="shared" si="11"/>
        <v>6406.9342301664492</v>
      </c>
      <c r="S31" s="209">
        <f t="shared" si="11"/>
        <v>6426.1550328569483</v>
      </c>
      <c r="T31" s="209">
        <f t="shared" si="11"/>
        <v>6445.4334979555179</v>
      </c>
      <c r="U31" s="209">
        <f t="shared" si="11"/>
        <v>6464.7697984493843</v>
      </c>
      <c r="V31" s="209">
        <f t="shared" si="11"/>
        <v>6484.164107844731</v>
      </c>
      <c r="W31" s="209">
        <f t="shared" si="12"/>
        <v>6503.616600168265</v>
      </c>
      <c r="X31" s="209">
        <f t="shared" si="12"/>
        <v>6523.1274499687688</v>
      </c>
      <c r="Y31" s="209">
        <f t="shared" si="12"/>
        <v>6542.6968323186738</v>
      </c>
      <c r="Z31" s="209">
        <f t="shared" si="12"/>
        <v>6562.3249228156292</v>
      </c>
    </row>
    <row r="32" spans="2:26" x14ac:dyDescent="0.2">
      <c r="B32" s="1" t="s">
        <v>76</v>
      </c>
      <c r="C32" s="201">
        <f>INDEX(ExistingTable,MATCH($B32,ExistingRow,0),MATCH(C$5,ExistingColumns,0))/4</f>
        <v>4000</v>
      </c>
      <c r="D32" s="210">
        <f t="shared" si="1"/>
        <v>4.5302165443508197E-3</v>
      </c>
      <c r="E32" s="205" t="str">
        <f>VLOOKUP($B32,Inputs!$B$60:$C$76,2,FALSE)</f>
        <v>Fixed</v>
      </c>
      <c r="G32" s="209">
        <f t="shared" si="11"/>
        <v>4000</v>
      </c>
      <c r="H32" s="209">
        <f t="shared" si="11"/>
        <v>4000</v>
      </c>
      <c r="I32" s="209">
        <f t="shared" si="11"/>
        <v>4000</v>
      </c>
      <c r="J32" s="209">
        <f t="shared" si="11"/>
        <v>4000</v>
      </c>
      <c r="K32" s="209">
        <f t="shared" si="11"/>
        <v>4000</v>
      </c>
      <c r="L32" s="209">
        <f t="shared" si="11"/>
        <v>4000</v>
      </c>
      <c r="M32" s="209">
        <f t="shared" si="11"/>
        <v>4000</v>
      </c>
      <c r="N32" s="209">
        <f t="shared" si="11"/>
        <v>4000</v>
      </c>
      <c r="O32" s="209">
        <f t="shared" si="11"/>
        <v>4000</v>
      </c>
      <c r="P32" s="209">
        <f t="shared" si="11"/>
        <v>4000</v>
      </c>
      <c r="Q32" s="209">
        <f t="shared" si="11"/>
        <v>4000</v>
      </c>
      <c r="R32" s="209">
        <f t="shared" si="11"/>
        <v>4000</v>
      </c>
      <c r="S32" s="209">
        <f t="shared" si="11"/>
        <v>4000</v>
      </c>
      <c r="T32" s="209">
        <f t="shared" si="11"/>
        <v>4000</v>
      </c>
      <c r="U32" s="209">
        <f t="shared" si="11"/>
        <v>4000</v>
      </c>
      <c r="V32" s="209">
        <f t="shared" si="11"/>
        <v>4000</v>
      </c>
      <c r="W32" s="209">
        <f t="shared" si="12"/>
        <v>4000</v>
      </c>
      <c r="X32" s="209">
        <f t="shared" si="12"/>
        <v>4000</v>
      </c>
      <c r="Y32" s="209">
        <f t="shared" si="12"/>
        <v>4000</v>
      </c>
      <c r="Z32" s="209">
        <f t="shared" si="12"/>
        <v>4000</v>
      </c>
    </row>
    <row r="33" spans="2:26" x14ac:dyDescent="0.2">
      <c r="B33" s="1" t="s">
        <v>43</v>
      </c>
      <c r="C33" s="201">
        <f>INDEX(ExistingTable,MATCH($B33,ExistingRow,0),MATCH(C$5,ExistingColumns,0))/4</f>
        <v>20750</v>
      </c>
      <c r="D33" s="210">
        <f t="shared" si="1"/>
        <v>2.3500498323819879E-2</v>
      </c>
      <c r="E33" s="205" t="str">
        <f>VLOOKUP($B33,Inputs!$B$60:$C$76,2,FALSE)</f>
        <v>Fixed</v>
      </c>
      <c r="G33" s="209">
        <f t="shared" si="11"/>
        <v>20750</v>
      </c>
      <c r="H33" s="209">
        <f t="shared" si="11"/>
        <v>20750</v>
      </c>
      <c r="I33" s="209">
        <f t="shared" si="11"/>
        <v>20750</v>
      </c>
      <c r="J33" s="209">
        <f t="shared" si="11"/>
        <v>20750</v>
      </c>
      <c r="K33" s="209">
        <f t="shared" si="11"/>
        <v>20750</v>
      </c>
      <c r="L33" s="209">
        <f t="shared" si="11"/>
        <v>20750</v>
      </c>
      <c r="M33" s="209">
        <f t="shared" si="11"/>
        <v>20750</v>
      </c>
      <c r="N33" s="209">
        <f t="shared" si="11"/>
        <v>20750</v>
      </c>
      <c r="O33" s="209">
        <f t="shared" si="11"/>
        <v>20750</v>
      </c>
      <c r="P33" s="209">
        <f t="shared" si="11"/>
        <v>20750</v>
      </c>
      <c r="Q33" s="209">
        <f t="shared" si="11"/>
        <v>20750</v>
      </c>
      <c r="R33" s="209">
        <f t="shared" si="11"/>
        <v>20750</v>
      </c>
      <c r="S33" s="209">
        <f t="shared" si="11"/>
        <v>20750</v>
      </c>
      <c r="T33" s="209">
        <f t="shared" si="11"/>
        <v>20750</v>
      </c>
      <c r="U33" s="209">
        <f t="shared" si="11"/>
        <v>20750</v>
      </c>
      <c r="V33" s="209">
        <f t="shared" si="11"/>
        <v>20750</v>
      </c>
      <c r="W33" s="209">
        <f t="shared" si="12"/>
        <v>20750</v>
      </c>
      <c r="X33" s="209">
        <f t="shared" si="12"/>
        <v>20750</v>
      </c>
      <c r="Y33" s="209">
        <f t="shared" si="12"/>
        <v>20750</v>
      </c>
      <c r="Z33" s="209">
        <f t="shared" si="12"/>
        <v>20750</v>
      </c>
    </row>
    <row r="34" spans="2:26" x14ac:dyDescent="0.2">
      <c r="B34" s="67" t="s">
        <v>203</v>
      </c>
      <c r="C34" s="206">
        <f>SUM(C29:C33)</f>
        <v>61834.32</v>
      </c>
      <c r="D34" s="207">
        <f t="shared" si="1"/>
        <v>7.0030714868170696E-2</v>
      </c>
      <c r="E34" s="208"/>
      <c r="G34" s="206">
        <f>SUM(G29:G33)</f>
        <v>61945.572959999998</v>
      </c>
      <c r="H34" s="206">
        <f t="shared" ref="H34:Z34" si="13">SUM(H29:H33)</f>
        <v>62057.159678879987</v>
      </c>
      <c r="I34" s="206">
        <f t="shared" si="13"/>
        <v>62169.081157916626</v>
      </c>
      <c r="J34" s="206">
        <f t="shared" si="13"/>
        <v>62281.338401390371</v>
      </c>
      <c r="K34" s="206">
        <f t="shared" si="13"/>
        <v>62393.932416594536</v>
      </c>
      <c r="L34" s="206">
        <f t="shared" si="13"/>
        <v>62506.86421384431</v>
      </c>
      <c r="M34" s="206">
        <f t="shared" si="13"/>
        <v>62620.134806485847</v>
      </c>
      <c r="N34" s="206">
        <f t="shared" si="13"/>
        <v>62733.745210905297</v>
      </c>
      <c r="O34" s="206">
        <f t="shared" si="13"/>
        <v>62847.696446538008</v>
      </c>
      <c r="P34" s="206">
        <f t="shared" si="13"/>
        <v>62961.989535877612</v>
      </c>
      <c r="Q34" s="206">
        <f t="shared" si="13"/>
        <v>63076.625504485244</v>
      </c>
      <c r="R34" s="206">
        <f t="shared" si="13"/>
        <v>63191.605380998699</v>
      </c>
      <c r="S34" s="206">
        <f t="shared" si="13"/>
        <v>63306.930197141686</v>
      </c>
      <c r="T34" s="206">
        <f t="shared" si="13"/>
        <v>63422.600987733109</v>
      </c>
      <c r="U34" s="206">
        <f t="shared" si="13"/>
        <v>63538.618790696302</v>
      </c>
      <c r="V34" s="206">
        <f t="shared" si="13"/>
        <v>63654.984647068384</v>
      </c>
      <c r="W34" s="206">
        <f t="shared" si="13"/>
        <v>63771.69960100959</v>
      </c>
      <c r="X34" s="206">
        <f t="shared" si="13"/>
        <v>63888.764699812615</v>
      </c>
      <c r="Y34" s="206">
        <f t="shared" si="13"/>
        <v>64006.180993912043</v>
      </c>
      <c r="Z34" s="206">
        <f t="shared" si="13"/>
        <v>64123.949536893771</v>
      </c>
    </row>
    <row r="35" spans="2:26" x14ac:dyDescent="0.2">
      <c r="C35" s="209"/>
      <c r="D35" s="210"/>
      <c r="E35" s="208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spans="2:26" x14ac:dyDescent="0.2">
      <c r="B36" s="1" t="s">
        <v>42</v>
      </c>
      <c r="C36" s="201">
        <f>INDEX(ExistingTable,MATCH($B36,ExistingRow,0),MATCH(C$5,ExistingColumns,0))/4</f>
        <v>25000</v>
      </c>
      <c r="D36" s="210">
        <f t="shared" si="1"/>
        <v>2.8313853402192626E-2</v>
      </c>
      <c r="E36" s="205" t="str">
        <f>VLOOKUP($B36,Inputs!$B$60:$C$76,2,FALSE)</f>
        <v>Fixed</v>
      </c>
      <c r="G36" s="209">
        <f t="shared" ref="G36:V37" si="14">IF($E36="Variable",G$10*$D36,$C36)</f>
        <v>25000</v>
      </c>
      <c r="H36" s="209">
        <f t="shared" si="14"/>
        <v>25000</v>
      </c>
      <c r="I36" s="209">
        <f t="shared" si="14"/>
        <v>25000</v>
      </c>
      <c r="J36" s="209">
        <f t="shared" si="14"/>
        <v>25000</v>
      </c>
      <c r="K36" s="209">
        <f t="shared" si="14"/>
        <v>25000</v>
      </c>
      <c r="L36" s="209">
        <f t="shared" si="14"/>
        <v>25000</v>
      </c>
      <c r="M36" s="209">
        <f t="shared" si="14"/>
        <v>25000</v>
      </c>
      <c r="N36" s="209">
        <f t="shared" si="14"/>
        <v>25000</v>
      </c>
      <c r="O36" s="209">
        <f t="shared" si="14"/>
        <v>25000</v>
      </c>
      <c r="P36" s="209">
        <f t="shared" si="14"/>
        <v>25000</v>
      </c>
      <c r="Q36" s="209">
        <f t="shared" si="14"/>
        <v>25000</v>
      </c>
      <c r="R36" s="209">
        <f t="shared" si="14"/>
        <v>25000</v>
      </c>
      <c r="S36" s="209">
        <f t="shared" si="14"/>
        <v>25000</v>
      </c>
      <c r="T36" s="209">
        <f t="shared" si="14"/>
        <v>25000</v>
      </c>
      <c r="U36" s="209">
        <f t="shared" si="14"/>
        <v>25000</v>
      </c>
      <c r="V36" s="209">
        <f t="shared" si="14"/>
        <v>25000</v>
      </c>
      <c r="W36" s="209">
        <f t="shared" ref="W36:Z37" si="15">IF($E36="Variable",W$10*$D36,$C36)</f>
        <v>25000</v>
      </c>
      <c r="X36" s="209">
        <f t="shared" si="15"/>
        <v>25000</v>
      </c>
      <c r="Y36" s="209">
        <f t="shared" si="15"/>
        <v>25000</v>
      </c>
      <c r="Z36" s="209">
        <f t="shared" si="15"/>
        <v>25000</v>
      </c>
    </row>
    <row r="37" spans="2:26" x14ac:dyDescent="0.2">
      <c r="B37" s="1" t="s">
        <v>77</v>
      </c>
      <c r="C37" s="201">
        <f>INDEX(ExistingTable,MATCH($B37,ExistingRow,0),MATCH(C$5,ExistingColumns,0))/4</f>
        <v>7500</v>
      </c>
      <c r="D37" s="210">
        <f t="shared" si="1"/>
        <v>8.4941560206577872E-3</v>
      </c>
      <c r="E37" s="205" t="str">
        <f>VLOOKUP($B37,Inputs!$B$60:$C$76,2,FALSE)</f>
        <v>Fixed</v>
      </c>
      <c r="G37" s="209">
        <f t="shared" si="14"/>
        <v>7500</v>
      </c>
      <c r="H37" s="209">
        <f t="shared" si="14"/>
        <v>7500</v>
      </c>
      <c r="I37" s="209">
        <f t="shared" si="14"/>
        <v>7500</v>
      </c>
      <c r="J37" s="209">
        <f t="shared" si="14"/>
        <v>7500</v>
      </c>
      <c r="K37" s="209">
        <f t="shared" si="14"/>
        <v>7500</v>
      </c>
      <c r="L37" s="209">
        <f t="shared" si="14"/>
        <v>7500</v>
      </c>
      <c r="M37" s="209">
        <f t="shared" si="14"/>
        <v>7500</v>
      </c>
      <c r="N37" s="209">
        <f t="shared" si="14"/>
        <v>7500</v>
      </c>
      <c r="O37" s="209">
        <f t="shared" si="14"/>
        <v>7500</v>
      </c>
      <c r="P37" s="209">
        <f t="shared" si="14"/>
        <v>7500</v>
      </c>
      <c r="Q37" s="209">
        <f t="shared" si="14"/>
        <v>7500</v>
      </c>
      <c r="R37" s="209">
        <f t="shared" si="14"/>
        <v>7500</v>
      </c>
      <c r="S37" s="209">
        <f t="shared" si="14"/>
        <v>7500</v>
      </c>
      <c r="T37" s="209">
        <f t="shared" si="14"/>
        <v>7500</v>
      </c>
      <c r="U37" s="209">
        <f t="shared" si="14"/>
        <v>7500</v>
      </c>
      <c r="V37" s="209">
        <f t="shared" si="14"/>
        <v>7500</v>
      </c>
      <c r="W37" s="209">
        <f t="shared" si="15"/>
        <v>7500</v>
      </c>
      <c r="X37" s="209">
        <f t="shared" si="15"/>
        <v>7500</v>
      </c>
      <c r="Y37" s="209">
        <f t="shared" si="15"/>
        <v>7500</v>
      </c>
      <c r="Z37" s="209">
        <f t="shared" si="15"/>
        <v>7500</v>
      </c>
    </row>
    <row r="38" spans="2:26" x14ac:dyDescent="0.2">
      <c r="B38" s="67" t="s">
        <v>204</v>
      </c>
      <c r="C38" s="206">
        <f>SUM(C36:C37)</f>
        <v>32500</v>
      </c>
      <c r="D38" s="207">
        <f t="shared" si="1"/>
        <v>3.680800942285041E-2</v>
      </c>
      <c r="E38" s="213"/>
      <c r="G38" s="206">
        <f>SUM(G36:G37)</f>
        <v>32500</v>
      </c>
      <c r="H38" s="206">
        <f t="shared" ref="H38:Z38" si="16">SUM(H36:H37)</f>
        <v>32500</v>
      </c>
      <c r="I38" s="206">
        <f t="shared" si="16"/>
        <v>32500</v>
      </c>
      <c r="J38" s="206">
        <f t="shared" si="16"/>
        <v>32500</v>
      </c>
      <c r="K38" s="206">
        <f t="shared" si="16"/>
        <v>32500</v>
      </c>
      <c r="L38" s="206">
        <f t="shared" si="16"/>
        <v>32500</v>
      </c>
      <c r="M38" s="206">
        <f t="shared" si="16"/>
        <v>32500</v>
      </c>
      <c r="N38" s="206">
        <f t="shared" si="16"/>
        <v>32500</v>
      </c>
      <c r="O38" s="206">
        <f t="shared" si="16"/>
        <v>32500</v>
      </c>
      <c r="P38" s="206">
        <f t="shared" si="16"/>
        <v>32500</v>
      </c>
      <c r="Q38" s="206">
        <f t="shared" si="16"/>
        <v>32500</v>
      </c>
      <c r="R38" s="206">
        <f t="shared" si="16"/>
        <v>32500</v>
      </c>
      <c r="S38" s="206">
        <f t="shared" si="16"/>
        <v>32500</v>
      </c>
      <c r="T38" s="206">
        <f t="shared" si="16"/>
        <v>32500</v>
      </c>
      <c r="U38" s="206">
        <f t="shared" si="16"/>
        <v>32500</v>
      </c>
      <c r="V38" s="206">
        <f t="shared" si="16"/>
        <v>32500</v>
      </c>
      <c r="W38" s="206">
        <f t="shared" si="16"/>
        <v>32500</v>
      </c>
      <c r="X38" s="206">
        <f t="shared" si="16"/>
        <v>32500</v>
      </c>
      <c r="Y38" s="206">
        <f t="shared" si="16"/>
        <v>32500</v>
      </c>
      <c r="Z38" s="206">
        <f t="shared" si="16"/>
        <v>32500</v>
      </c>
    </row>
    <row r="39" spans="2:26" x14ac:dyDescent="0.2">
      <c r="C39" s="209"/>
      <c r="D39" s="210"/>
      <c r="E39" s="213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</row>
    <row r="40" spans="2:26" x14ac:dyDescent="0.2">
      <c r="B40" s="67" t="s">
        <v>205</v>
      </c>
      <c r="C40" s="206">
        <f>C10-C23-C27-C34-C38</f>
        <v>378211.85550000001</v>
      </c>
      <c r="D40" s="207">
        <f t="shared" si="1"/>
        <v>0.42834540126393045</v>
      </c>
      <c r="E40" s="213"/>
      <c r="G40" s="206">
        <f>G10-G23-G27-G34-G38</f>
        <v>379535.49106649996</v>
      </c>
      <c r="H40" s="206">
        <f t="shared" ref="H40:Z40" si="17">H10-H23-H27-H34-H38</f>
        <v>380863.0975396994</v>
      </c>
      <c r="I40" s="206">
        <f t="shared" si="17"/>
        <v>382194.68683231837</v>
      </c>
      <c r="J40" s="206">
        <f t="shared" si="17"/>
        <v>383530.27089281532</v>
      </c>
      <c r="K40" s="206">
        <f t="shared" si="17"/>
        <v>384869.86170549382</v>
      </c>
      <c r="L40" s="206">
        <f t="shared" si="17"/>
        <v>386213.47129061015</v>
      </c>
      <c r="M40" s="206">
        <f t="shared" si="17"/>
        <v>387561.11170448188</v>
      </c>
      <c r="N40" s="206">
        <f t="shared" si="17"/>
        <v>388912.79503959522</v>
      </c>
      <c r="O40" s="206">
        <f t="shared" si="17"/>
        <v>390268.53342471406</v>
      </c>
      <c r="P40" s="206">
        <f t="shared" si="17"/>
        <v>391628.33902498818</v>
      </c>
      <c r="Q40" s="206">
        <f t="shared" si="17"/>
        <v>392992.224042063</v>
      </c>
      <c r="R40" s="206">
        <f t="shared" si="17"/>
        <v>394360.20071418921</v>
      </c>
      <c r="S40" s="206">
        <f t="shared" si="17"/>
        <v>395732.2813163317</v>
      </c>
      <c r="T40" s="206">
        <f t="shared" si="17"/>
        <v>397108.4781602805</v>
      </c>
      <c r="U40" s="206">
        <f t="shared" si="17"/>
        <v>398488.80359476141</v>
      </c>
      <c r="V40" s="206">
        <f t="shared" si="17"/>
        <v>399873.27000554564</v>
      </c>
      <c r="W40" s="206">
        <f t="shared" si="17"/>
        <v>401261.88981556211</v>
      </c>
      <c r="X40" s="206">
        <f t="shared" si="17"/>
        <v>402654.67548500875</v>
      </c>
      <c r="Y40" s="206">
        <f t="shared" si="17"/>
        <v>404051.63951146376</v>
      </c>
      <c r="Z40" s="206">
        <f t="shared" si="17"/>
        <v>405452.79442999815</v>
      </c>
    </row>
  </sheetData>
  <dataValidations count="1">
    <dataValidation type="list" allowBlank="1" showInputMessage="1" showErrorMessage="1" sqref="C5" xr:uid="{2605B801-C7D6-4E66-8D35-FABDAAB569C2}">
      <formula1>StoreList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4EAC-E7D9-4DFD-90E1-E6D6BE83EE67}">
  <sheetPr>
    <tabColor rgb="FF92D050"/>
  </sheetPr>
  <dimension ref="B2:Z40"/>
  <sheetViews>
    <sheetView topLeftCell="A4" zoomScaleNormal="100" workbookViewId="0">
      <selection activeCell="G5" sqref="G5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3" width="8.5703125" style="1" bestFit="1" customWidth="1"/>
    <col min="4" max="4" width="9.85546875" style="1" bestFit="1" customWidth="1"/>
    <col min="5" max="5" width="10.85546875" style="1" bestFit="1" customWidth="1"/>
    <col min="6" max="6" width="1.7109375" style="1" customWidth="1"/>
    <col min="7" max="26" width="8.570312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5" spans="2:26" x14ac:dyDescent="0.2">
      <c r="B5" s="229" t="s">
        <v>220</v>
      </c>
      <c r="C5" s="230" t="s">
        <v>86</v>
      </c>
    </row>
    <row r="6" spans="2:26" x14ac:dyDescent="0.2">
      <c r="B6" s="229" t="s">
        <v>221</v>
      </c>
      <c r="C6" s="232">
        <f>VLOOKUP($C$5,Inputs!$B$10:$C$14,2,FALSE)</f>
        <v>43298</v>
      </c>
    </row>
    <row r="7" spans="2:26" x14ac:dyDescent="0.2">
      <c r="B7" s="197" t="s">
        <v>209</v>
      </c>
      <c r="C7" s="231">
        <f>VLOOKUP($C$5,Inputs!$B$10:$D$14,3,FALSE)</f>
        <v>2.5000000000000001E-2</v>
      </c>
    </row>
    <row r="8" spans="2:26" x14ac:dyDescent="0.2">
      <c r="B8" s="197"/>
      <c r="C8" s="198"/>
      <c r="G8" s="199" t="s">
        <v>6</v>
      </c>
      <c r="H8" s="199"/>
      <c r="I8" s="199"/>
      <c r="J8" s="199"/>
      <c r="K8" s="199" t="s">
        <v>7</v>
      </c>
      <c r="L8" s="199"/>
      <c r="M8" s="199"/>
      <c r="N8" s="199"/>
      <c r="O8" s="199" t="s">
        <v>8</v>
      </c>
      <c r="P8" s="199"/>
      <c r="Q8" s="199"/>
      <c r="R8" s="199"/>
      <c r="S8" s="199" t="s">
        <v>9</v>
      </c>
      <c r="T8" s="199"/>
      <c r="U8" s="199"/>
      <c r="V8" s="199"/>
      <c r="W8" s="199" t="s">
        <v>10</v>
      </c>
      <c r="X8" s="199"/>
      <c r="Y8" s="199"/>
      <c r="Z8" s="199"/>
    </row>
    <row r="9" spans="2:26" x14ac:dyDescent="0.2">
      <c r="C9" s="200" t="s">
        <v>210</v>
      </c>
      <c r="D9" s="200" t="s">
        <v>211</v>
      </c>
      <c r="E9" s="200" t="s">
        <v>212</v>
      </c>
      <c r="G9" s="200" t="s">
        <v>11</v>
      </c>
      <c r="H9" s="200" t="s">
        <v>12</v>
      </c>
      <c r="I9" s="200" t="s">
        <v>13</v>
      </c>
      <c r="J9" s="200" t="s">
        <v>14</v>
      </c>
      <c r="K9" s="200" t="s">
        <v>11</v>
      </c>
      <c r="L9" s="200" t="s">
        <v>12</v>
      </c>
      <c r="M9" s="200" t="s">
        <v>13</v>
      </c>
      <c r="N9" s="200" t="s">
        <v>14</v>
      </c>
      <c r="O9" s="200" t="s">
        <v>11</v>
      </c>
      <c r="P9" s="200" t="s">
        <v>12</v>
      </c>
      <c r="Q9" s="200" t="s">
        <v>13</v>
      </c>
      <c r="R9" s="200" t="s">
        <v>14</v>
      </c>
      <c r="S9" s="200" t="s">
        <v>11</v>
      </c>
      <c r="T9" s="200" t="s">
        <v>12</v>
      </c>
      <c r="U9" s="200" t="s">
        <v>13</v>
      </c>
      <c r="V9" s="200" t="s">
        <v>14</v>
      </c>
      <c r="W9" s="200" t="s">
        <v>11</v>
      </c>
      <c r="X9" s="200" t="s">
        <v>12</v>
      </c>
      <c r="Y9" s="200" t="s">
        <v>13</v>
      </c>
      <c r="Z9" s="200" t="s">
        <v>14</v>
      </c>
    </row>
    <row r="10" spans="2:26" x14ac:dyDescent="0.2">
      <c r="B10" s="33" t="s">
        <v>15</v>
      </c>
      <c r="C10" s="201">
        <f>INDEX(ExistingTable,MATCH($B10,ExistingRow,0),MATCH(C$5,ExistingColumns,0))/4</f>
        <v>562874</v>
      </c>
      <c r="D10" s="202">
        <f>C10/$C$10</f>
        <v>1</v>
      </c>
      <c r="G10" s="201">
        <f>$C$10*(1+$C$7/4)</f>
        <v>566391.96250000002</v>
      </c>
      <c r="H10" s="201">
        <f>G10*(1+$C$7/4)</f>
        <v>569931.91226562508</v>
      </c>
      <c r="I10" s="201">
        <f t="shared" ref="I10:Z10" si="0">H10*(1+$C$7/4)</f>
        <v>573493.98671728524</v>
      </c>
      <c r="J10" s="201">
        <f t="shared" si="0"/>
        <v>577078.32413426833</v>
      </c>
      <c r="K10" s="201">
        <f t="shared" si="0"/>
        <v>580685.06366010755</v>
      </c>
      <c r="L10" s="201">
        <f t="shared" si="0"/>
        <v>584314.34530798323</v>
      </c>
      <c r="M10" s="201">
        <f t="shared" si="0"/>
        <v>587966.30996615812</v>
      </c>
      <c r="N10" s="201">
        <f t="shared" si="0"/>
        <v>591641.09940344666</v>
      </c>
      <c r="O10" s="201">
        <f t="shared" si="0"/>
        <v>595338.8562747183</v>
      </c>
      <c r="P10" s="201">
        <f t="shared" si="0"/>
        <v>599059.72412643535</v>
      </c>
      <c r="Q10" s="201">
        <f t="shared" si="0"/>
        <v>602803.8474022256</v>
      </c>
      <c r="R10" s="201">
        <f t="shared" si="0"/>
        <v>606571.3714484896</v>
      </c>
      <c r="S10" s="201">
        <f t="shared" si="0"/>
        <v>610362.44252004276</v>
      </c>
      <c r="T10" s="201">
        <f t="shared" si="0"/>
        <v>614177.20778579311</v>
      </c>
      <c r="U10" s="201">
        <f t="shared" si="0"/>
        <v>618015.81533445441</v>
      </c>
      <c r="V10" s="201">
        <f t="shared" si="0"/>
        <v>621878.41418029484</v>
      </c>
      <c r="W10" s="201">
        <f t="shared" si="0"/>
        <v>625765.1542689217</v>
      </c>
      <c r="X10" s="201">
        <f t="shared" si="0"/>
        <v>629676.1864831025</v>
      </c>
      <c r="Y10" s="201">
        <f t="shared" si="0"/>
        <v>633611.66264862195</v>
      </c>
      <c r="Z10" s="201">
        <f t="shared" si="0"/>
        <v>637571.73554017593</v>
      </c>
    </row>
    <row r="11" spans="2:26" x14ac:dyDescent="0.2">
      <c r="B11" s="33"/>
      <c r="C11" s="201"/>
      <c r="D11" s="202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2:26" x14ac:dyDescent="0.2">
      <c r="B12" s="1" t="s">
        <v>66</v>
      </c>
      <c r="C12" s="201">
        <f>INDEX(ExistingTable,MATCH($B12,ExistingRow,0),MATCH(C$5,ExistingColumns,0))/4</f>
        <v>23375</v>
      </c>
      <c r="D12" s="204">
        <f t="shared" ref="D12:D40" si="1">C12/$C$10</f>
        <v>4.152794408695374E-2</v>
      </c>
      <c r="E12" s="205" t="str">
        <f>VLOOKUP($B12,Inputs!$B$60:$C$76,2,FALSE)</f>
        <v>Variable</v>
      </c>
      <c r="G12" s="203">
        <f>IF($E12="Variable",G$10*$D12,$C12)</f>
        <v>23521.09375</v>
      </c>
      <c r="H12" s="203">
        <f t="shared" ref="H12:Z13" si="2">IF($E12="Variable",H$10*$D12,$C12)</f>
        <v>23668.100585937504</v>
      </c>
      <c r="I12" s="203">
        <f t="shared" si="2"/>
        <v>23816.026214599613</v>
      </c>
      <c r="J12" s="203">
        <f t="shared" si="2"/>
        <v>23964.876378440862</v>
      </c>
      <c r="K12" s="203">
        <f t="shared" si="2"/>
        <v>24114.656855806119</v>
      </c>
      <c r="L12" s="203">
        <f t="shared" si="2"/>
        <v>24265.373461154908</v>
      </c>
      <c r="M12" s="203">
        <f t="shared" si="2"/>
        <v>24417.032045287127</v>
      </c>
      <c r="N12" s="203">
        <f t="shared" si="2"/>
        <v>24569.638495570172</v>
      </c>
      <c r="O12" s="203">
        <f t="shared" si="2"/>
        <v>24723.198736167491</v>
      </c>
      <c r="P12" s="203">
        <f t="shared" si="2"/>
        <v>24877.718728268541</v>
      </c>
      <c r="Q12" s="203">
        <f t="shared" si="2"/>
        <v>25033.204470320219</v>
      </c>
      <c r="R12" s="203">
        <f t="shared" si="2"/>
        <v>25189.661998259726</v>
      </c>
      <c r="S12" s="203">
        <f t="shared" si="2"/>
        <v>25347.097385748853</v>
      </c>
      <c r="T12" s="203">
        <f t="shared" si="2"/>
        <v>25505.516744409786</v>
      </c>
      <c r="U12" s="203">
        <f t="shared" si="2"/>
        <v>25664.92622406235</v>
      </c>
      <c r="V12" s="203">
        <f t="shared" si="2"/>
        <v>25825.332012962743</v>
      </c>
      <c r="W12" s="203">
        <f t="shared" si="2"/>
        <v>25986.740338043761</v>
      </c>
      <c r="X12" s="203">
        <f t="shared" si="2"/>
        <v>26149.157465156539</v>
      </c>
      <c r="Y12" s="203">
        <f t="shared" si="2"/>
        <v>26312.589699313769</v>
      </c>
      <c r="Z12" s="203">
        <f t="shared" si="2"/>
        <v>26477.043384934481</v>
      </c>
    </row>
    <row r="13" spans="2:26" x14ac:dyDescent="0.2">
      <c r="B13" s="1" t="s">
        <v>69</v>
      </c>
      <c r="C13" s="201">
        <f>INDEX(ExistingTable,MATCH($B13,ExistingRow,0),MATCH(C$5,ExistingColumns,0))/4</f>
        <v>101556</v>
      </c>
      <c r="D13" s="204">
        <f t="shared" si="1"/>
        <v>0.18042403806180424</v>
      </c>
      <c r="E13" s="205" t="str">
        <f>VLOOKUP($B13,Inputs!$B$60:$C$76,2,FALSE)</f>
        <v>Variable</v>
      </c>
      <c r="G13" s="203">
        <f>IF($E13="Variable",G$10*$D13,$C13)</f>
        <v>102190.72500000001</v>
      </c>
      <c r="H13" s="203">
        <f t="shared" si="2"/>
        <v>102829.41703125001</v>
      </c>
      <c r="I13" s="203">
        <f t="shared" si="2"/>
        <v>103472.10088769533</v>
      </c>
      <c r="J13" s="203">
        <f t="shared" si="2"/>
        <v>104118.80151824343</v>
      </c>
      <c r="K13" s="203">
        <f t="shared" si="2"/>
        <v>104769.54402773247</v>
      </c>
      <c r="L13" s="203">
        <f t="shared" si="2"/>
        <v>105424.35367790579</v>
      </c>
      <c r="M13" s="203">
        <f t="shared" si="2"/>
        <v>106083.2558883927</v>
      </c>
      <c r="N13" s="203">
        <f t="shared" si="2"/>
        <v>106746.27623769516</v>
      </c>
      <c r="O13" s="203">
        <f t="shared" si="2"/>
        <v>107413.44046418078</v>
      </c>
      <c r="P13" s="203">
        <f t="shared" si="2"/>
        <v>108084.77446708192</v>
      </c>
      <c r="Q13" s="203">
        <f t="shared" si="2"/>
        <v>108760.30430750118</v>
      </c>
      <c r="R13" s="203">
        <f t="shared" si="2"/>
        <v>109440.05620942308</v>
      </c>
      <c r="S13" s="203">
        <f t="shared" si="2"/>
        <v>110124.056560732</v>
      </c>
      <c r="T13" s="203">
        <f t="shared" si="2"/>
        <v>110812.33191423658</v>
      </c>
      <c r="U13" s="203">
        <f t="shared" si="2"/>
        <v>111504.90898870058</v>
      </c>
      <c r="V13" s="203">
        <f t="shared" si="2"/>
        <v>112201.81466987998</v>
      </c>
      <c r="W13" s="203">
        <f t="shared" si="2"/>
        <v>112903.07601156674</v>
      </c>
      <c r="X13" s="203">
        <f t="shared" si="2"/>
        <v>113608.72023663903</v>
      </c>
      <c r="Y13" s="203">
        <f t="shared" si="2"/>
        <v>114318.77473811804</v>
      </c>
      <c r="Z13" s="203">
        <f t="shared" si="2"/>
        <v>115033.26708023129</v>
      </c>
    </row>
    <row r="14" spans="2:26" x14ac:dyDescent="0.2">
      <c r="B14" s="67" t="s">
        <v>199</v>
      </c>
      <c r="C14" s="206">
        <f>SUM(C12:C13)</f>
        <v>124931</v>
      </c>
      <c r="D14" s="207">
        <f t="shared" si="1"/>
        <v>0.22195198214875797</v>
      </c>
      <c r="E14" s="208"/>
      <c r="G14" s="206">
        <f>SUM(G12:G13)</f>
        <v>125711.81875000001</v>
      </c>
      <c r="H14" s="206">
        <f t="shared" ref="H14:Z14" si="3">SUM(H12:H13)</f>
        <v>126497.51761718751</v>
      </c>
      <c r="I14" s="206">
        <f t="shared" si="3"/>
        <v>127288.12710229494</v>
      </c>
      <c r="J14" s="206">
        <f t="shared" si="3"/>
        <v>128083.6778966843</v>
      </c>
      <c r="K14" s="206">
        <f t="shared" si="3"/>
        <v>128884.20088353858</v>
      </c>
      <c r="L14" s="206">
        <f t="shared" si="3"/>
        <v>129689.72713906071</v>
      </c>
      <c r="M14" s="206">
        <f t="shared" si="3"/>
        <v>130500.28793367982</v>
      </c>
      <c r="N14" s="206">
        <f t="shared" si="3"/>
        <v>131315.91473326532</v>
      </c>
      <c r="O14" s="206">
        <f t="shared" si="3"/>
        <v>132136.63920034826</v>
      </c>
      <c r="P14" s="206">
        <f t="shared" si="3"/>
        <v>132962.49319535046</v>
      </c>
      <c r="Q14" s="206">
        <f t="shared" si="3"/>
        <v>133793.50877782141</v>
      </c>
      <c r="R14" s="206">
        <f t="shared" si="3"/>
        <v>134629.7182076828</v>
      </c>
      <c r="S14" s="206">
        <f t="shared" si="3"/>
        <v>135471.15394648086</v>
      </c>
      <c r="T14" s="206">
        <f t="shared" si="3"/>
        <v>136317.84865864637</v>
      </c>
      <c r="U14" s="206">
        <f t="shared" si="3"/>
        <v>137169.83521276293</v>
      </c>
      <c r="V14" s="206">
        <f t="shared" si="3"/>
        <v>138027.14668284272</v>
      </c>
      <c r="W14" s="206">
        <f t="shared" si="3"/>
        <v>138889.81634961051</v>
      </c>
      <c r="X14" s="206">
        <f t="shared" si="3"/>
        <v>139757.87770179557</v>
      </c>
      <c r="Y14" s="206">
        <f t="shared" si="3"/>
        <v>140631.3644374318</v>
      </c>
      <c r="Z14" s="206">
        <f t="shared" si="3"/>
        <v>141510.31046516576</v>
      </c>
    </row>
    <row r="15" spans="2:26" x14ac:dyDescent="0.2">
      <c r="C15" s="203"/>
      <c r="D15" s="204"/>
      <c r="E15" s="208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 spans="2:26" x14ac:dyDescent="0.2">
      <c r="B16" s="1" t="s">
        <v>1</v>
      </c>
      <c r="C16" s="201">
        <f t="shared" ref="C16:C21" si="4">INDEX(ExistingTable,MATCH($B16,ExistingRow,0),MATCH(C$5,ExistingColumns,0))/4</f>
        <v>9619.6869999999999</v>
      </c>
      <c r="D16" s="210">
        <f t="shared" si="1"/>
        <v>1.7090302625454364E-2</v>
      </c>
      <c r="E16" s="205" t="str">
        <f>VLOOKUP($B16,Inputs!$B$60:$C$76,2,FALSE)</f>
        <v>Variable</v>
      </c>
      <c r="G16" s="209">
        <f t="shared" ref="G16:V21" si="5">IF($E16="Variable",G$10*$D16,$C16)</f>
        <v>9679.8100437499997</v>
      </c>
      <c r="H16" s="209">
        <f t="shared" si="5"/>
        <v>9740.3088565234375</v>
      </c>
      <c r="I16" s="209">
        <f t="shared" si="5"/>
        <v>9801.1857868767092</v>
      </c>
      <c r="J16" s="209">
        <f t="shared" si="5"/>
        <v>9862.4431980446898</v>
      </c>
      <c r="K16" s="209">
        <f t="shared" si="5"/>
        <v>9924.0834680324697</v>
      </c>
      <c r="L16" s="209">
        <f t="shared" si="5"/>
        <v>9986.1089897076727</v>
      </c>
      <c r="M16" s="209">
        <f t="shared" si="5"/>
        <v>10048.522170893346</v>
      </c>
      <c r="N16" s="209">
        <f t="shared" si="5"/>
        <v>10111.325434461431</v>
      </c>
      <c r="O16" s="209">
        <f t="shared" si="5"/>
        <v>10174.521218426817</v>
      </c>
      <c r="P16" s="209">
        <f t="shared" si="5"/>
        <v>10238.111976041984</v>
      </c>
      <c r="Q16" s="209">
        <f t="shared" si="5"/>
        <v>10302.100175892248</v>
      </c>
      <c r="R16" s="209">
        <f t="shared" si="5"/>
        <v>10366.488301991576</v>
      </c>
      <c r="S16" s="209">
        <f t="shared" si="5"/>
        <v>10431.278853879025</v>
      </c>
      <c r="T16" s="209">
        <f t="shared" si="5"/>
        <v>10496.47434671577</v>
      </c>
      <c r="U16" s="209">
        <f t="shared" si="5"/>
        <v>10562.077311382745</v>
      </c>
      <c r="V16" s="209">
        <f t="shared" si="5"/>
        <v>10628.090294578889</v>
      </c>
      <c r="W16" s="209">
        <f t="shared" ref="W16:Z21" si="6">IF($E16="Variable",W$10*$D16,$C16)</f>
        <v>10694.515858920007</v>
      </c>
      <c r="X16" s="209">
        <f t="shared" si="6"/>
        <v>10761.356583038258</v>
      </c>
      <c r="Y16" s="209">
        <f t="shared" si="6"/>
        <v>10828.615061682249</v>
      </c>
      <c r="Z16" s="209">
        <f t="shared" si="6"/>
        <v>10896.293905817764</v>
      </c>
    </row>
    <row r="17" spans="2:26" x14ac:dyDescent="0.2">
      <c r="B17" s="1" t="s">
        <v>0</v>
      </c>
      <c r="C17" s="201">
        <f t="shared" si="4"/>
        <v>5750</v>
      </c>
      <c r="D17" s="210">
        <f t="shared" si="1"/>
        <v>1.0215430096256001E-2</v>
      </c>
      <c r="E17" s="205" t="str">
        <f>VLOOKUP($B17,Inputs!$B$60:$C$76,2,FALSE)</f>
        <v>Fixed</v>
      </c>
      <c r="G17" s="209">
        <f t="shared" si="5"/>
        <v>5750</v>
      </c>
      <c r="H17" s="209">
        <f t="shared" si="5"/>
        <v>5750</v>
      </c>
      <c r="I17" s="209">
        <f t="shared" si="5"/>
        <v>5750</v>
      </c>
      <c r="J17" s="209">
        <f t="shared" si="5"/>
        <v>5750</v>
      </c>
      <c r="K17" s="209">
        <f t="shared" si="5"/>
        <v>5750</v>
      </c>
      <c r="L17" s="209">
        <f t="shared" si="5"/>
        <v>5750</v>
      </c>
      <c r="M17" s="209">
        <f t="shared" si="5"/>
        <v>5750</v>
      </c>
      <c r="N17" s="209">
        <f t="shared" si="5"/>
        <v>5750</v>
      </c>
      <c r="O17" s="209">
        <f t="shared" si="5"/>
        <v>5750</v>
      </c>
      <c r="P17" s="209">
        <f t="shared" si="5"/>
        <v>5750</v>
      </c>
      <c r="Q17" s="209">
        <f t="shared" si="5"/>
        <v>5750</v>
      </c>
      <c r="R17" s="209">
        <f t="shared" si="5"/>
        <v>5750</v>
      </c>
      <c r="S17" s="209">
        <f t="shared" si="5"/>
        <v>5750</v>
      </c>
      <c r="T17" s="209">
        <f t="shared" si="5"/>
        <v>5750</v>
      </c>
      <c r="U17" s="209">
        <f t="shared" si="5"/>
        <v>5750</v>
      </c>
      <c r="V17" s="209">
        <f t="shared" si="5"/>
        <v>5750</v>
      </c>
      <c r="W17" s="209">
        <f t="shared" si="6"/>
        <v>5750</v>
      </c>
      <c r="X17" s="209">
        <f t="shared" si="6"/>
        <v>5750</v>
      </c>
      <c r="Y17" s="209">
        <f t="shared" si="6"/>
        <v>5750</v>
      </c>
      <c r="Z17" s="209">
        <f t="shared" si="6"/>
        <v>5750</v>
      </c>
    </row>
    <row r="18" spans="2:26" x14ac:dyDescent="0.2">
      <c r="B18" s="1" t="s">
        <v>2</v>
      </c>
      <c r="C18" s="201">
        <f t="shared" si="4"/>
        <v>2810.9474999999998</v>
      </c>
      <c r="D18" s="210">
        <f t="shared" si="1"/>
        <v>4.9939195983470545E-3</v>
      </c>
      <c r="E18" s="205" t="str">
        <f>VLOOKUP($B18,Inputs!$B$60:$C$76,2,FALSE)</f>
        <v>Variable</v>
      </c>
      <c r="G18" s="209">
        <f t="shared" si="5"/>
        <v>2828.515921875</v>
      </c>
      <c r="H18" s="209">
        <f t="shared" si="5"/>
        <v>2846.1941463867192</v>
      </c>
      <c r="I18" s="209">
        <f t="shared" si="5"/>
        <v>2863.9828598016361</v>
      </c>
      <c r="J18" s="209">
        <f t="shared" si="5"/>
        <v>2881.8827526753967</v>
      </c>
      <c r="K18" s="209">
        <f t="shared" si="5"/>
        <v>2899.8945198796182</v>
      </c>
      <c r="L18" s="209">
        <f t="shared" si="5"/>
        <v>2918.0188606288657</v>
      </c>
      <c r="M18" s="209">
        <f t="shared" si="5"/>
        <v>2936.2564785077961</v>
      </c>
      <c r="N18" s="209">
        <f t="shared" si="5"/>
        <v>2954.6080814984703</v>
      </c>
      <c r="O18" s="209">
        <f t="shared" si="5"/>
        <v>2973.074382007836</v>
      </c>
      <c r="P18" s="209">
        <f t="shared" si="5"/>
        <v>2991.6560968953854</v>
      </c>
      <c r="Q18" s="209">
        <f t="shared" si="5"/>
        <v>3010.3539475009816</v>
      </c>
      <c r="R18" s="209">
        <f t="shared" si="5"/>
        <v>3029.1686596728632</v>
      </c>
      <c r="S18" s="209">
        <f t="shared" si="5"/>
        <v>3048.1009637958191</v>
      </c>
      <c r="T18" s="209">
        <f t="shared" si="5"/>
        <v>3067.1515948195433</v>
      </c>
      <c r="U18" s="209">
        <f t="shared" si="5"/>
        <v>3086.3212922871658</v>
      </c>
      <c r="V18" s="209">
        <f t="shared" si="5"/>
        <v>3105.6108003639611</v>
      </c>
      <c r="W18" s="209">
        <f t="shared" si="6"/>
        <v>3125.0208678662361</v>
      </c>
      <c r="X18" s="209">
        <f t="shared" si="6"/>
        <v>3144.5522482904003</v>
      </c>
      <c r="Y18" s="209">
        <f t="shared" si="6"/>
        <v>3164.2056998422154</v>
      </c>
      <c r="Z18" s="209">
        <f t="shared" si="6"/>
        <v>3183.9819854662296</v>
      </c>
    </row>
    <row r="19" spans="2:26" x14ac:dyDescent="0.2">
      <c r="B19" s="1" t="s">
        <v>3</v>
      </c>
      <c r="C19" s="201">
        <f t="shared" si="4"/>
        <v>2810.9474999999998</v>
      </c>
      <c r="D19" s="210">
        <f t="shared" si="1"/>
        <v>4.9939195983470545E-3</v>
      </c>
      <c r="E19" s="205" t="str">
        <f>VLOOKUP($B19,Inputs!$B$60:$C$76,2,FALSE)</f>
        <v>Variable</v>
      </c>
      <c r="G19" s="209">
        <f t="shared" si="5"/>
        <v>2828.515921875</v>
      </c>
      <c r="H19" s="209">
        <f t="shared" si="5"/>
        <v>2846.1941463867192</v>
      </c>
      <c r="I19" s="209">
        <f t="shared" si="5"/>
        <v>2863.9828598016361</v>
      </c>
      <c r="J19" s="209">
        <f t="shared" si="5"/>
        <v>2881.8827526753967</v>
      </c>
      <c r="K19" s="209">
        <f t="shared" si="5"/>
        <v>2899.8945198796182</v>
      </c>
      <c r="L19" s="209">
        <f t="shared" si="5"/>
        <v>2918.0188606288657</v>
      </c>
      <c r="M19" s="209">
        <f t="shared" si="5"/>
        <v>2936.2564785077961</v>
      </c>
      <c r="N19" s="209">
        <f t="shared" si="5"/>
        <v>2954.6080814984703</v>
      </c>
      <c r="O19" s="209">
        <f t="shared" si="5"/>
        <v>2973.074382007836</v>
      </c>
      <c r="P19" s="209">
        <f t="shared" si="5"/>
        <v>2991.6560968953854</v>
      </c>
      <c r="Q19" s="209">
        <f t="shared" si="5"/>
        <v>3010.3539475009816</v>
      </c>
      <c r="R19" s="209">
        <f t="shared" si="5"/>
        <v>3029.1686596728632</v>
      </c>
      <c r="S19" s="209">
        <f t="shared" si="5"/>
        <v>3048.1009637958191</v>
      </c>
      <c r="T19" s="209">
        <f t="shared" si="5"/>
        <v>3067.1515948195433</v>
      </c>
      <c r="U19" s="209">
        <f t="shared" si="5"/>
        <v>3086.3212922871658</v>
      </c>
      <c r="V19" s="209">
        <f t="shared" si="5"/>
        <v>3105.6108003639611</v>
      </c>
      <c r="W19" s="209">
        <f t="shared" si="6"/>
        <v>3125.0208678662361</v>
      </c>
      <c r="X19" s="209">
        <f t="shared" si="6"/>
        <v>3144.5522482904003</v>
      </c>
      <c r="Y19" s="209">
        <f t="shared" si="6"/>
        <v>3164.2056998422154</v>
      </c>
      <c r="Z19" s="209">
        <f t="shared" si="6"/>
        <v>3183.9819854662296</v>
      </c>
    </row>
    <row r="20" spans="2:26" x14ac:dyDescent="0.2">
      <c r="B20" s="1" t="s">
        <v>16</v>
      </c>
      <c r="C20" s="201">
        <f t="shared" si="4"/>
        <v>2810.9474999999998</v>
      </c>
      <c r="D20" s="210">
        <f t="shared" si="1"/>
        <v>4.9939195983470545E-3</v>
      </c>
      <c r="E20" s="205" t="str">
        <f>VLOOKUP($B20,Inputs!$B$60:$C$76,2,FALSE)</f>
        <v>Variable</v>
      </c>
      <c r="G20" s="209">
        <f t="shared" si="5"/>
        <v>2828.515921875</v>
      </c>
      <c r="H20" s="209">
        <f t="shared" si="5"/>
        <v>2846.1941463867192</v>
      </c>
      <c r="I20" s="209">
        <f t="shared" si="5"/>
        <v>2863.9828598016361</v>
      </c>
      <c r="J20" s="209">
        <f t="shared" si="5"/>
        <v>2881.8827526753967</v>
      </c>
      <c r="K20" s="209">
        <f t="shared" si="5"/>
        <v>2899.8945198796182</v>
      </c>
      <c r="L20" s="209">
        <f t="shared" si="5"/>
        <v>2918.0188606288657</v>
      </c>
      <c r="M20" s="209">
        <f t="shared" si="5"/>
        <v>2936.2564785077961</v>
      </c>
      <c r="N20" s="209">
        <f t="shared" si="5"/>
        <v>2954.6080814984703</v>
      </c>
      <c r="O20" s="209">
        <f t="shared" si="5"/>
        <v>2973.074382007836</v>
      </c>
      <c r="P20" s="209">
        <f t="shared" si="5"/>
        <v>2991.6560968953854</v>
      </c>
      <c r="Q20" s="209">
        <f t="shared" si="5"/>
        <v>3010.3539475009816</v>
      </c>
      <c r="R20" s="209">
        <f t="shared" si="5"/>
        <v>3029.1686596728632</v>
      </c>
      <c r="S20" s="209">
        <f t="shared" si="5"/>
        <v>3048.1009637958191</v>
      </c>
      <c r="T20" s="209">
        <f t="shared" si="5"/>
        <v>3067.1515948195433</v>
      </c>
      <c r="U20" s="209">
        <f t="shared" si="5"/>
        <v>3086.3212922871658</v>
      </c>
      <c r="V20" s="209">
        <f t="shared" si="5"/>
        <v>3105.6108003639611</v>
      </c>
      <c r="W20" s="209">
        <f t="shared" si="6"/>
        <v>3125.0208678662361</v>
      </c>
      <c r="X20" s="209">
        <f t="shared" si="6"/>
        <v>3144.5522482904003</v>
      </c>
      <c r="Y20" s="209">
        <f t="shared" si="6"/>
        <v>3164.2056998422154</v>
      </c>
      <c r="Z20" s="209">
        <f t="shared" si="6"/>
        <v>3183.9819854662296</v>
      </c>
    </row>
    <row r="21" spans="2:26" x14ac:dyDescent="0.2">
      <c r="B21" s="1" t="s">
        <v>4</v>
      </c>
      <c r="C21" s="201">
        <f t="shared" si="4"/>
        <v>5621.8949999999995</v>
      </c>
      <c r="D21" s="210">
        <f t="shared" si="1"/>
        <v>9.987839196694109E-3</v>
      </c>
      <c r="E21" s="205" t="str">
        <f>VLOOKUP($B21,Inputs!$B$60:$C$76,2,FALSE)</f>
        <v>Variable</v>
      </c>
      <c r="G21" s="209">
        <f t="shared" si="5"/>
        <v>5657.03184375</v>
      </c>
      <c r="H21" s="209">
        <f t="shared" si="5"/>
        <v>5692.3882927734385</v>
      </c>
      <c r="I21" s="209">
        <f t="shared" si="5"/>
        <v>5727.9657196032722</v>
      </c>
      <c r="J21" s="209">
        <f t="shared" si="5"/>
        <v>5763.7655053507933</v>
      </c>
      <c r="K21" s="209">
        <f t="shared" si="5"/>
        <v>5799.7890397592364</v>
      </c>
      <c r="L21" s="209">
        <f t="shared" si="5"/>
        <v>5836.0377212577314</v>
      </c>
      <c r="M21" s="209">
        <f t="shared" si="5"/>
        <v>5872.5129570155923</v>
      </c>
      <c r="N21" s="209">
        <f t="shared" si="5"/>
        <v>5909.2161629969405</v>
      </c>
      <c r="O21" s="209">
        <f t="shared" si="5"/>
        <v>5946.148764015672</v>
      </c>
      <c r="P21" s="209">
        <f t="shared" si="5"/>
        <v>5983.3121937907708</v>
      </c>
      <c r="Q21" s="209">
        <f t="shared" si="5"/>
        <v>6020.7078950019632</v>
      </c>
      <c r="R21" s="209">
        <f t="shared" si="5"/>
        <v>6058.3373193457264</v>
      </c>
      <c r="S21" s="209">
        <f t="shared" si="5"/>
        <v>6096.2019275916382</v>
      </c>
      <c r="T21" s="209">
        <f t="shared" si="5"/>
        <v>6134.3031896390867</v>
      </c>
      <c r="U21" s="209">
        <f t="shared" si="5"/>
        <v>6172.6425845743315</v>
      </c>
      <c r="V21" s="209">
        <f t="shared" si="5"/>
        <v>6211.2216007279221</v>
      </c>
      <c r="W21" s="209">
        <f t="shared" si="6"/>
        <v>6250.0417357324723</v>
      </c>
      <c r="X21" s="209">
        <f t="shared" si="6"/>
        <v>6289.1044965808005</v>
      </c>
      <c r="Y21" s="209">
        <f t="shared" si="6"/>
        <v>6328.4113996844308</v>
      </c>
      <c r="Z21" s="209">
        <f t="shared" si="6"/>
        <v>6367.9639709324592</v>
      </c>
    </row>
    <row r="22" spans="2:26" x14ac:dyDescent="0.2">
      <c r="B22" s="67" t="s">
        <v>200</v>
      </c>
      <c r="C22" s="206">
        <f>SUM(C16:C21)</f>
        <v>29424.424499999997</v>
      </c>
      <c r="D22" s="207">
        <f t="shared" si="1"/>
        <v>5.2275330713445631E-2</v>
      </c>
      <c r="E22" s="208"/>
      <c r="G22" s="206">
        <f>SUM(G16:G21)</f>
        <v>29572.389653125003</v>
      </c>
      <c r="H22" s="206">
        <f t="shared" ref="H22:Z22" si="7">SUM(H16:H21)</f>
        <v>29721.279588457033</v>
      </c>
      <c r="I22" s="206">
        <f t="shared" si="7"/>
        <v>29871.100085884889</v>
      </c>
      <c r="J22" s="206">
        <f t="shared" si="7"/>
        <v>30021.856961421669</v>
      </c>
      <c r="K22" s="206">
        <f t="shared" si="7"/>
        <v>30173.55606743056</v>
      </c>
      <c r="L22" s="206">
        <f t="shared" si="7"/>
        <v>30326.203292851998</v>
      </c>
      <c r="M22" s="206">
        <f t="shared" si="7"/>
        <v>30479.804563432324</v>
      </c>
      <c r="N22" s="206">
        <f t="shared" si="7"/>
        <v>30634.365841953782</v>
      </c>
      <c r="O22" s="206">
        <f t="shared" si="7"/>
        <v>30789.893128465992</v>
      </c>
      <c r="P22" s="206">
        <f t="shared" si="7"/>
        <v>30946.39246051891</v>
      </c>
      <c r="Q22" s="206">
        <f t="shared" si="7"/>
        <v>31103.869913397157</v>
      </c>
      <c r="R22" s="206">
        <f t="shared" si="7"/>
        <v>31262.33160035589</v>
      </c>
      <c r="S22" s="206">
        <f t="shared" si="7"/>
        <v>31421.783672858121</v>
      </c>
      <c r="T22" s="206">
        <f t="shared" si="7"/>
        <v>31582.232320813488</v>
      </c>
      <c r="U22" s="206">
        <f t="shared" si="7"/>
        <v>31743.683772818571</v>
      </c>
      <c r="V22" s="206">
        <f t="shared" si="7"/>
        <v>31906.144296398692</v>
      </c>
      <c r="W22" s="206">
        <f t="shared" si="7"/>
        <v>32069.620198251185</v>
      </c>
      <c r="X22" s="206">
        <f t="shared" si="7"/>
        <v>32234.117824490262</v>
      </c>
      <c r="Y22" s="206">
        <f t="shared" si="7"/>
        <v>32399.643560893328</v>
      </c>
      <c r="Z22" s="206">
        <f t="shared" si="7"/>
        <v>32566.203833148917</v>
      </c>
    </row>
    <row r="23" spans="2:26" x14ac:dyDescent="0.2">
      <c r="B23" s="67" t="s">
        <v>201</v>
      </c>
      <c r="C23" s="211">
        <f>C14+C22</f>
        <v>154355.42449999999</v>
      </c>
      <c r="D23" s="212">
        <f t="shared" si="1"/>
        <v>0.27422731286220359</v>
      </c>
      <c r="E23" s="208"/>
      <c r="G23" s="211">
        <f>G22+G14</f>
        <v>155284.208403125</v>
      </c>
      <c r="H23" s="211">
        <f t="shared" ref="H23:Z23" si="8">H22+H14</f>
        <v>156218.79720564454</v>
      </c>
      <c r="I23" s="211">
        <f t="shared" si="8"/>
        <v>157159.22718817982</v>
      </c>
      <c r="J23" s="211">
        <f t="shared" si="8"/>
        <v>158105.53485810597</v>
      </c>
      <c r="K23" s="211">
        <f t="shared" si="8"/>
        <v>159057.75695096914</v>
      </c>
      <c r="L23" s="211">
        <f t="shared" si="8"/>
        <v>160015.93043191271</v>
      </c>
      <c r="M23" s="211">
        <f t="shared" si="8"/>
        <v>160980.09249711214</v>
      </c>
      <c r="N23" s="211">
        <f t="shared" si="8"/>
        <v>161950.28057521911</v>
      </c>
      <c r="O23" s="211">
        <f t="shared" si="8"/>
        <v>162926.53232881427</v>
      </c>
      <c r="P23" s="211">
        <f t="shared" si="8"/>
        <v>163908.88565586938</v>
      </c>
      <c r="Q23" s="211">
        <f t="shared" si="8"/>
        <v>164897.37869121856</v>
      </c>
      <c r="R23" s="211">
        <f t="shared" si="8"/>
        <v>165892.04980803869</v>
      </c>
      <c r="S23" s="211">
        <f t="shared" si="8"/>
        <v>166892.93761933898</v>
      </c>
      <c r="T23" s="211">
        <f t="shared" si="8"/>
        <v>167900.08097945986</v>
      </c>
      <c r="U23" s="211">
        <f t="shared" si="8"/>
        <v>168913.5189855815</v>
      </c>
      <c r="V23" s="211">
        <f t="shared" si="8"/>
        <v>169933.29097924143</v>
      </c>
      <c r="W23" s="211">
        <f t="shared" si="8"/>
        <v>170959.4365478617</v>
      </c>
      <c r="X23" s="211">
        <f t="shared" si="8"/>
        <v>171991.99552628584</v>
      </c>
      <c r="Y23" s="211">
        <f t="shared" si="8"/>
        <v>173031.00799832513</v>
      </c>
      <c r="Z23" s="211">
        <f t="shared" si="8"/>
        <v>174076.51429831469</v>
      </c>
    </row>
    <row r="24" spans="2:26" x14ac:dyDescent="0.2">
      <c r="C24" s="209"/>
      <c r="D24" s="210"/>
      <c r="E24" s="208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2:26" x14ac:dyDescent="0.2">
      <c r="B25" s="1" t="s">
        <v>71</v>
      </c>
      <c r="C25" s="201">
        <f>INDEX(ExistingTable,MATCH($B25,ExistingRow,0),MATCH(C$5,ExistingColumns,0))/4</f>
        <v>146347.24</v>
      </c>
      <c r="D25" s="210">
        <f t="shared" si="1"/>
        <v>0.26</v>
      </c>
      <c r="E25" s="205" t="str">
        <f>VLOOKUP($B25,Inputs!$B$60:$C$76,2,FALSE)</f>
        <v>Variable</v>
      </c>
      <c r="G25" s="209">
        <f>IF($E25="Variable",G$10*$D25,$C25)</f>
        <v>147261.91025000002</v>
      </c>
      <c r="H25" s="209">
        <f t="shared" ref="H25:Z26" si="9">IF($E25="Variable",H$10*$D25,$C25)</f>
        <v>148182.29718906252</v>
      </c>
      <c r="I25" s="209">
        <f t="shared" si="9"/>
        <v>149108.43654649417</v>
      </c>
      <c r="J25" s="209">
        <f t="shared" si="9"/>
        <v>150040.36427490978</v>
      </c>
      <c r="K25" s="209">
        <f t="shared" si="9"/>
        <v>150978.11655162796</v>
      </c>
      <c r="L25" s="209">
        <f t="shared" si="9"/>
        <v>151921.72978007564</v>
      </c>
      <c r="M25" s="209">
        <f t="shared" si="9"/>
        <v>152871.24059120112</v>
      </c>
      <c r="N25" s="209">
        <f t="shared" si="9"/>
        <v>153826.68584489613</v>
      </c>
      <c r="O25" s="209">
        <f t="shared" si="9"/>
        <v>154788.10263142677</v>
      </c>
      <c r="P25" s="209">
        <f t="shared" si="9"/>
        <v>155755.5282728732</v>
      </c>
      <c r="Q25" s="209">
        <f t="shared" si="9"/>
        <v>156729.00032457866</v>
      </c>
      <c r="R25" s="209">
        <f t="shared" si="9"/>
        <v>157708.55657660731</v>
      </c>
      <c r="S25" s="209">
        <f t="shared" si="9"/>
        <v>158694.23505521112</v>
      </c>
      <c r="T25" s="209">
        <f t="shared" si="9"/>
        <v>159686.0740243062</v>
      </c>
      <c r="U25" s="209">
        <f t="shared" si="9"/>
        <v>160684.11198695816</v>
      </c>
      <c r="V25" s="209">
        <f t="shared" si="9"/>
        <v>161688.38768687667</v>
      </c>
      <c r="W25" s="209">
        <f t="shared" si="9"/>
        <v>162698.94010991964</v>
      </c>
      <c r="X25" s="209">
        <f t="shared" si="9"/>
        <v>163715.80848560666</v>
      </c>
      <c r="Y25" s="209">
        <f t="shared" si="9"/>
        <v>164739.0322886417</v>
      </c>
      <c r="Z25" s="209">
        <f t="shared" si="9"/>
        <v>165768.65124044576</v>
      </c>
    </row>
    <row r="26" spans="2:26" x14ac:dyDescent="0.2">
      <c r="B26" s="1" t="s">
        <v>72</v>
      </c>
      <c r="C26" s="201">
        <f>INDEX(ExistingTable,MATCH($B26,ExistingRow,0),MATCH(C$5,ExistingColumns,0))/4</f>
        <v>16886.22</v>
      </c>
      <c r="D26" s="210">
        <f t="shared" si="1"/>
        <v>3.0000000000000002E-2</v>
      </c>
      <c r="E26" s="205" t="str">
        <f>VLOOKUP($B26,Inputs!$B$60:$C$76,2,FALSE)</f>
        <v>Variable</v>
      </c>
      <c r="G26" s="209">
        <f>IF($E26="Variable",G$10*$D26,$C26)</f>
        <v>16991.758875000003</v>
      </c>
      <c r="H26" s="209">
        <f t="shared" si="9"/>
        <v>17097.957367968753</v>
      </c>
      <c r="I26" s="209">
        <f t="shared" si="9"/>
        <v>17204.819601518557</v>
      </c>
      <c r="J26" s="209">
        <f t="shared" si="9"/>
        <v>17312.349724028052</v>
      </c>
      <c r="K26" s="209">
        <f t="shared" si="9"/>
        <v>17420.551909803227</v>
      </c>
      <c r="L26" s="209">
        <f t="shared" si="9"/>
        <v>17529.430359239497</v>
      </c>
      <c r="M26" s="209">
        <f t="shared" si="9"/>
        <v>17638.989298984747</v>
      </c>
      <c r="N26" s="209">
        <f t="shared" si="9"/>
        <v>17749.2329821034</v>
      </c>
      <c r="O26" s="209">
        <f t="shared" si="9"/>
        <v>17860.165688241552</v>
      </c>
      <c r="P26" s="209">
        <f t="shared" si="9"/>
        <v>17971.791723793063</v>
      </c>
      <c r="Q26" s="209">
        <f t="shared" si="9"/>
        <v>18084.11542206677</v>
      </c>
      <c r="R26" s="209">
        <f t="shared" si="9"/>
        <v>18197.14114345469</v>
      </c>
      <c r="S26" s="209">
        <f t="shared" si="9"/>
        <v>18310.873275601283</v>
      </c>
      <c r="T26" s="209">
        <f t="shared" si="9"/>
        <v>18425.316233573794</v>
      </c>
      <c r="U26" s="209">
        <f t="shared" si="9"/>
        <v>18540.474460033634</v>
      </c>
      <c r="V26" s="209">
        <f t="shared" si="9"/>
        <v>18656.352425408848</v>
      </c>
      <c r="W26" s="209">
        <f t="shared" si="9"/>
        <v>18772.954628067651</v>
      </c>
      <c r="X26" s="209">
        <f t="shared" si="9"/>
        <v>18890.285594493078</v>
      </c>
      <c r="Y26" s="209">
        <f t="shared" si="9"/>
        <v>19008.349879458659</v>
      </c>
      <c r="Z26" s="209">
        <f t="shared" si="9"/>
        <v>19127.152066205279</v>
      </c>
    </row>
    <row r="27" spans="2:26" x14ac:dyDescent="0.2">
      <c r="B27" s="67" t="s">
        <v>202</v>
      </c>
      <c r="C27" s="206">
        <f>SUM(C25:C26)</f>
        <v>163233.46</v>
      </c>
      <c r="D27" s="207">
        <f t="shared" si="1"/>
        <v>0.28999999999999998</v>
      </c>
      <c r="E27" s="208"/>
      <c r="G27" s="206">
        <f>SUM(G25:G26)</f>
        <v>164253.66912500001</v>
      </c>
      <c r="H27" s="206">
        <f t="shared" ref="H27:Z27" si="10">SUM(H25:H26)</f>
        <v>165280.25455703126</v>
      </c>
      <c r="I27" s="206">
        <f t="shared" si="10"/>
        <v>166313.25614801273</v>
      </c>
      <c r="J27" s="206">
        <f t="shared" si="10"/>
        <v>167352.71399893783</v>
      </c>
      <c r="K27" s="206">
        <f t="shared" si="10"/>
        <v>168398.6684614312</v>
      </c>
      <c r="L27" s="206">
        <f t="shared" si="10"/>
        <v>169451.16013931512</v>
      </c>
      <c r="M27" s="206">
        <f t="shared" si="10"/>
        <v>170510.22989018587</v>
      </c>
      <c r="N27" s="206">
        <f t="shared" si="10"/>
        <v>171575.91882699952</v>
      </c>
      <c r="O27" s="206">
        <f t="shared" si="10"/>
        <v>172648.26831966831</v>
      </c>
      <c r="P27" s="206">
        <f t="shared" si="10"/>
        <v>173727.31999666625</v>
      </c>
      <c r="Q27" s="206">
        <f t="shared" si="10"/>
        <v>174813.11574664543</v>
      </c>
      <c r="R27" s="206">
        <f t="shared" si="10"/>
        <v>175905.69772006199</v>
      </c>
      <c r="S27" s="206">
        <f t="shared" si="10"/>
        <v>177005.10833081239</v>
      </c>
      <c r="T27" s="206">
        <f t="shared" si="10"/>
        <v>178111.39025788</v>
      </c>
      <c r="U27" s="206">
        <f t="shared" si="10"/>
        <v>179224.5864469918</v>
      </c>
      <c r="V27" s="206">
        <f t="shared" si="10"/>
        <v>180344.74011228551</v>
      </c>
      <c r="W27" s="206">
        <f t="shared" si="10"/>
        <v>181471.89473798728</v>
      </c>
      <c r="X27" s="206">
        <f t="shared" si="10"/>
        <v>182606.09408009972</v>
      </c>
      <c r="Y27" s="206">
        <f t="shared" si="10"/>
        <v>183747.38216810036</v>
      </c>
      <c r="Z27" s="206">
        <f t="shared" si="10"/>
        <v>184895.80330665104</v>
      </c>
    </row>
    <row r="28" spans="2:26" x14ac:dyDescent="0.2">
      <c r="C28" s="209"/>
      <c r="D28" s="210"/>
      <c r="E28" s="208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</row>
    <row r="29" spans="2:26" x14ac:dyDescent="0.2">
      <c r="B29" s="1" t="s">
        <v>73</v>
      </c>
      <c r="C29" s="201">
        <f>INDEX(ExistingTable,MATCH($B29,ExistingRow,0),MATCH(C$5,ExistingColumns,0))/4</f>
        <v>8443.11</v>
      </c>
      <c r="D29" s="210">
        <f t="shared" si="1"/>
        <v>1.5000000000000001E-2</v>
      </c>
      <c r="E29" s="205" t="str">
        <f>VLOOKUP($B29,Inputs!$B$60:$C$76,2,FALSE)</f>
        <v>Variable</v>
      </c>
      <c r="G29" s="209">
        <f t="shared" ref="G29:V33" si="11">IF($E29="Variable",G$10*$D29,$C29)</f>
        <v>8495.8794375000016</v>
      </c>
      <c r="H29" s="209">
        <f t="shared" si="11"/>
        <v>8548.9786839843764</v>
      </c>
      <c r="I29" s="209">
        <f t="shared" si="11"/>
        <v>8602.4098007592784</v>
      </c>
      <c r="J29" s="209">
        <f t="shared" si="11"/>
        <v>8656.1748620140261</v>
      </c>
      <c r="K29" s="209">
        <f t="shared" si="11"/>
        <v>8710.2759549016137</v>
      </c>
      <c r="L29" s="209">
        <f t="shared" si="11"/>
        <v>8764.7151796197486</v>
      </c>
      <c r="M29" s="209">
        <f t="shared" si="11"/>
        <v>8819.4946494923734</v>
      </c>
      <c r="N29" s="209">
        <f t="shared" si="11"/>
        <v>8874.6164910517</v>
      </c>
      <c r="O29" s="209">
        <f t="shared" si="11"/>
        <v>8930.0828441207759</v>
      </c>
      <c r="P29" s="209">
        <f t="shared" si="11"/>
        <v>8985.8958618965316</v>
      </c>
      <c r="Q29" s="209">
        <f t="shared" si="11"/>
        <v>9042.0577110333852</v>
      </c>
      <c r="R29" s="209">
        <f t="shared" si="11"/>
        <v>9098.5705717273449</v>
      </c>
      <c r="S29" s="209">
        <f t="shared" si="11"/>
        <v>9155.4366378006416</v>
      </c>
      <c r="T29" s="209">
        <f t="shared" si="11"/>
        <v>9212.6581167868972</v>
      </c>
      <c r="U29" s="209">
        <f t="shared" si="11"/>
        <v>9270.2372300168172</v>
      </c>
      <c r="V29" s="209">
        <f t="shared" si="11"/>
        <v>9328.176212704424</v>
      </c>
      <c r="W29" s="209">
        <f t="shared" ref="W29:Z33" si="12">IF($E29="Variable",W$10*$D29,$C29)</f>
        <v>9386.4773140338257</v>
      </c>
      <c r="X29" s="209">
        <f t="shared" si="12"/>
        <v>9445.142797246539</v>
      </c>
      <c r="Y29" s="209">
        <f t="shared" si="12"/>
        <v>9504.1749397293297</v>
      </c>
      <c r="Z29" s="209">
        <f t="shared" si="12"/>
        <v>9563.5760331026395</v>
      </c>
    </row>
    <row r="30" spans="2:26" x14ac:dyDescent="0.2">
      <c r="B30" s="1" t="s">
        <v>74</v>
      </c>
      <c r="C30" s="201">
        <f>INDEX(ExistingTable,MATCH($B30,ExistingRow,0),MATCH(C$5,ExistingColumns,0))/4</f>
        <v>11257.48</v>
      </c>
      <c r="D30" s="210">
        <f t="shared" si="1"/>
        <v>0.02</v>
      </c>
      <c r="E30" s="205" t="str">
        <f>VLOOKUP($B30,Inputs!$B$60:$C$76,2,FALSE)</f>
        <v>Variable</v>
      </c>
      <c r="G30" s="209">
        <f t="shared" si="11"/>
        <v>11327.839250000001</v>
      </c>
      <c r="H30" s="209">
        <f t="shared" si="11"/>
        <v>11398.638245312502</v>
      </c>
      <c r="I30" s="209">
        <f t="shared" si="11"/>
        <v>11469.879734345704</v>
      </c>
      <c r="J30" s="209">
        <f t="shared" si="11"/>
        <v>11541.566482685366</v>
      </c>
      <c r="K30" s="209">
        <f t="shared" si="11"/>
        <v>11613.701273202152</v>
      </c>
      <c r="L30" s="209">
        <f t="shared" si="11"/>
        <v>11686.286906159665</v>
      </c>
      <c r="M30" s="209">
        <f t="shared" si="11"/>
        <v>11759.326199323163</v>
      </c>
      <c r="N30" s="209">
        <f t="shared" si="11"/>
        <v>11832.821988068934</v>
      </c>
      <c r="O30" s="209">
        <f t="shared" si="11"/>
        <v>11906.777125494365</v>
      </c>
      <c r="P30" s="209">
        <f t="shared" si="11"/>
        <v>11981.194482528706</v>
      </c>
      <c r="Q30" s="209">
        <f t="shared" si="11"/>
        <v>12056.076948044512</v>
      </c>
      <c r="R30" s="209">
        <f t="shared" si="11"/>
        <v>12131.427428969791</v>
      </c>
      <c r="S30" s="209">
        <f t="shared" si="11"/>
        <v>12207.248850400856</v>
      </c>
      <c r="T30" s="209">
        <f t="shared" si="11"/>
        <v>12283.544155715863</v>
      </c>
      <c r="U30" s="209">
        <f t="shared" si="11"/>
        <v>12360.316306689088</v>
      </c>
      <c r="V30" s="209">
        <f t="shared" si="11"/>
        <v>12437.568283605897</v>
      </c>
      <c r="W30" s="209">
        <f t="shared" si="12"/>
        <v>12515.303085378435</v>
      </c>
      <c r="X30" s="209">
        <f t="shared" si="12"/>
        <v>12593.523729662051</v>
      </c>
      <c r="Y30" s="209">
        <f t="shared" si="12"/>
        <v>12672.233252972439</v>
      </c>
      <c r="Z30" s="209">
        <f t="shared" si="12"/>
        <v>12751.434710803518</v>
      </c>
    </row>
    <row r="31" spans="2:26" x14ac:dyDescent="0.2">
      <c r="B31" s="1" t="s">
        <v>75</v>
      </c>
      <c r="C31" s="201">
        <f>INDEX(ExistingTable,MATCH($B31,ExistingRow,0),MATCH(C$5,ExistingColumns,0))/4</f>
        <v>3940.1179999999999</v>
      </c>
      <c r="D31" s="210">
        <f t="shared" si="1"/>
        <v>7.0000000000000001E-3</v>
      </c>
      <c r="E31" s="205" t="str">
        <f>VLOOKUP($B31,Inputs!$B$60:$C$76,2,FALSE)</f>
        <v>Variable</v>
      </c>
      <c r="G31" s="209">
        <f t="shared" si="11"/>
        <v>3964.7437375000004</v>
      </c>
      <c r="H31" s="209">
        <f t="shared" si="11"/>
        <v>3989.5233858593756</v>
      </c>
      <c r="I31" s="209">
        <f t="shared" si="11"/>
        <v>4014.4579070209966</v>
      </c>
      <c r="J31" s="209">
        <f t="shared" si="11"/>
        <v>4039.5482689398782</v>
      </c>
      <c r="K31" s="209">
        <f t="shared" si="11"/>
        <v>4064.7954456207531</v>
      </c>
      <c r="L31" s="209">
        <f t="shared" si="11"/>
        <v>4090.2004171558829</v>
      </c>
      <c r="M31" s="209">
        <f t="shared" si="11"/>
        <v>4115.764169763107</v>
      </c>
      <c r="N31" s="209">
        <f t="shared" si="11"/>
        <v>4141.4876958241266</v>
      </c>
      <c r="O31" s="209">
        <f t="shared" si="11"/>
        <v>4167.3719939230286</v>
      </c>
      <c r="P31" s="209">
        <f t="shared" si="11"/>
        <v>4193.4180688850474</v>
      </c>
      <c r="Q31" s="209">
        <f t="shared" si="11"/>
        <v>4219.6269318155792</v>
      </c>
      <c r="R31" s="209">
        <f t="shared" si="11"/>
        <v>4245.9996001394275</v>
      </c>
      <c r="S31" s="209">
        <f t="shared" si="11"/>
        <v>4272.5370976402992</v>
      </c>
      <c r="T31" s="209">
        <f t="shared" si="11"/>
        <v>4299.240454500552</v>
      </c>
      <c r="U31" s="209">
        <f t="shared" si="11"/>
        <v>4326.1107073411813</v>
      </c>
      <c r="V31" s="209">
        <f t="shared" si="11"/>
        <v>4353.1488992620643</v>
      </c>
      <c r="W31" s="209">
        <f t="shared" si="12"/>
        <v>4380.3560798824519</v>
      </c>
      <c r="X31" s="209">
        <f t="shared" si="12"/>
        <v>4407.7333053817174</v>
      </c>
      <c r="Y31" s="209">
        <f t="shared" si="12"/>
        <v>4435.2816385403539</v>
      </c>
      <c r="Z31" s="209">
        <f t="shared" si="12"/>
        <v>4463.0021487812319</v>
      </c>
    </row>
    <row r="32" spans="2:26" x14ac:dyDescent="0.2">
      <c r="B32" s="1" t="s">
        <v>76</v>
      </c>
      <c r="C32" s="201">
        <f>INDEX(ExistingTable,MATCH($B32,ExistingRow,0),MATCH(C$5,ExistingColumns,0))/4</f>
        <v>4000</v>
      </c>
      <c r="D32" s="210">
        <f t="shared" si="1"/>
        <v>7.1063861539172176E-3</v>
      </c>
      <c r="E32" s="205" t="str">
        <f>VLOOKUP($B32,Inputs!$B$60:$C$76,2,FALSE)</f>
        <v>Fixed</v>
      </c>
      <c r="G32" s="209">
        <f t="shared" si="11"/>
        <v>4000</v>
      </c>
      <c r="H32" s="209">
        <f t="shared" si="11"/>
        <v>4000</v>
      </c>
      <c r="I32" s="209">
        <f t="shared" si="11"/>
        <v>4000</v>
      </c>
      <c r="J32" s="209">
        <f t="shared" si="11"/>
        <v>4000</v>
      </c>
      <c r="K32" s="209">
        <f t="shared" si="11"/>
        <v>4000</v>
      </c>
      <c r="L32" s="209">
        <f t="shared" si="11"/>
        <v>4000</v>
      </c>
      <c r="M32" s="209">
        <f t="shared" si="11"/>
        <v>4000</v>
      </c>
      <c r="N32" s="209">
        <f t="shared" si="11"/>
        <v>4000</v>
      </c>
      <c r="O32" s="209">
        <f t="shared" si="11"/>
        <v>4000</v>
      </c>
      <c r="P32" s="209">
        <f t="shared" si="11"/>
        <v>4000</v>
      </c>
      <c r="Q32" s="209">
        <f t="shared" si="11"/>
        <v>4000</v>
      </c>
      <c r="R32" s="209">
        <f t="shared" si="11"/>
        <v>4000</v>
      </c>
      <c r="S32" s="209">
        <f t="shared" si="11"/>
        <v>4000</v>
      </c>
      <c r="T32" s="209">
        <f t="shared" si="11"/>
        <v>4000</v>
      </c>
      <c r="U32" s="209">
        <f t="shared" si="11"/>
        <v>4000</v>
      </c>
      <c r="V32" s="209">
        <f t="shared" si="11"/>
        <v>4000</v>
      </c>
      <c r="W32" s="209">
        <f t="shared" si="12"/>
        <v>4000</v>
      </c>
      <c r="X32" s="209">
        <f t="shared" si="12"/>
        <v>4000</v>
      </c>
      <c r="Y32" s="209">
        <f t="shared" si="12"/>
        <v>4000</v>
      </c>
      <c r="Z32" s="209">
        <f t="shared" si="12"/>
        <v>4000</v>
      </c>
    </row>
    <row r="33" spans="2:26" x14ac:dyDescent="0.2">
      <c r="B33" s="1" t="s">
        <v>43</v>
      </c>
      <c r="C33" s="201">
        <f>INDEX(ExistingTable,MATCH($B33,ExistingRow,0),MATCH(C$5,ExistingColumns,0))/4</f>
        <v>20750</v>
      </c>
      <c r="D33" s="210">
        <f t="shared" si="1"/>
        <v>3.6864378173445567E-2</v>
      </c>
      <c r="E33" s="205" t="str">
        <f>VLOOKUP($B33,Inputs!$B$60:$C$76,2,FALSE)</f>
        <v>Fixed</v>
      </c>
      <c r="G33" s="209">
        <f t="shared" si="11"/>
        <v>20750</v>
      </c>
      <c r="H33" s="209">
        <f t="shared" si="11"/>
        <v>20750</v>
      </c>
      <c r="I33" s="209">
        <f t="shared" si="11"/>
        <v>20750</v>
      </c>
      <c r="J33" s="209">
        <f t="shared" si="11"/>
        <v>20750</v>
      </c>
      <c r="K33" s="209">
        <f t="shared" si="11"/>
        <v>20750</v>
      </c>
      <c r="L33" s="209">
        <f t="shared" si="11"/>
        <v>20750</v>
      </c>
      <c r="M33" s="209">
        <f t="shared" si="11"/>
        <v>20750</v>
      </c>
      <c r="N33" s="209">
        <f t="shared" si="11"/>
        <v>20750</v>
      </c>
      <c r="O33" s="209">
        <f t="shared" si="11"/>
        <v>20750</v>
      </c>
      <c r="P33" s="209">
        <f t="shared" si="11"/>
        <v>20750</v>
      </c>
      <c r="Q33" s="209">
        <f t="shared" si="11"/>
        <v>20750</v>
      </c>
      <c r="R33" s="209">
        <f t="shared" si="11"/>
        <v>20750</v>
      </c>
      <c r="S33" s="209">
        <f t="shared" si="11"/>
        <v>20750</v>
      </c>
      <c r="T33" s="209">
        <f t="shared" si="11"/>
        <v>20750</v>
      </c>
      <c r="U33" s="209">
        <f t="shared" si="11"/>
        <v>20750</v>
      </c>
      <c r="V33" s="209">
        <f t="shared" si="11"/>
        <v>20750</v>
      </c>
      <c r="W33" s="209">
        <f t="shared" si="12"/>
        <v>20750</v>
      </c>
      <c r="X33" s="209">
        <f t="shared" si="12"/>
        <v>20750</v>
      </c>
      <c r="Y33" s="209">
        <f t="shared" si="12"/>
        <v>20750</v>
      </c>
      <c r="Z33" s="209">
        <f t="shared" si="12"/>
        <v>20750</v>
      </c>
    </row>
    <row r="34" spans="2:26" x14ac:dyDescent="0.2">
      <c r="B34" s="67" t="s">
        <v>203</v>
      </c>
      <c r="C34" s="206">
        <f>SUM(C29:C33)</f>
        <v>48390.707999999999</v>
      </c>
      <c r="D34" s="207">
        <f t="shared" si="1"/>
        <v>8.5970764327362781E-2</v>
      </c>
      <c r="E34" s="208"/>
      <c r="G34" s="206">
        <f>SUM(G29:G33)</f>
        <v>48538.462425000005</v>
      </c>
      <c r="H34" s="206">
        <f t="shared" ref="H34:Z34" si="13">SUM(H29:H33)</f>
        <v>48687.140315156255</v>
      </c>
      <c r="I34" s="206">
        <f t="shared" si="13"/>
        <v>48836.747442125976</v>
      </c>
      <c r="J34" s="206">
        <f t="shared" si="13"/>
        <v>48987.289613639266</v>
      </c>
      <c r="K34" s="206">
        <f t="shared" si="13"/>
        <v>49138.772673724518</v>
      </c>
      <c r="L34" s="206">
        <f t="shared" si="13"/>
        <v>49291.202502935295</v>
      </c>
      <c r="M34" s="206">
        <f t="shared" si="13"/>
        <v>49444.58501857864</v>
      </c>
      <c r="N34" s="206">
        <f t="shared" si="13"/>
        <v>49598.926174944761</v>
      </c>
      <c r="O34" s="206">
        <f t="shared" si="13"/>
        <v>49754.231963538172</v>
      </c>
      <c r="P34" s="206">
        <f t="shared" si="13"/>
        <v>49910.508413310286</v>
      </c>
      <c r="Q34" s="206">
        <f t="shared" si="13"/>
        <v>50067.761590893482</v>
      </c>
      <c r="R34" s="206">
        <f t="shared" si="13"/>
        <v>50225.997600836563</v>
      </c>
      <c r="S34" s="206">
        <f t="shared" si="13"/>
        <v>50385.222585841795</v>
      </c>
      <c r="T34" s="206">
        <f t="shared" si="13"/>
        <v>50545.442727003312</v>
      </c>
      <c r="U34" s="206">
        <f t="shared" si="13"/>
        <v>50706.66424404709</v>
      </c>
      <c r="V34" s="206">
        <f t="shared" si="13"/>
        <v>50868.893395572384</v>
      </c>
      <c r="W34" s="206">
        <f t="shared" si="13"/>
        <v>51032.136479294713</v>
      </c>
      <c r="X34" s="206">
        <f t="shared" si="13"/>
        <v>51196.399832290306</v>
      </c>
      <c r="Y34" s="206">
        <f t="shared" si="13"/>
        <v>51361.689831242125</v>
      </c>
      <c r="Z34" s="206">
        <f t="shared" si="13"/>
        <v>51528.012892687388</v>
      </c>
    </row>
    <row r="35" spans="2:26" x14ac:dyDescent="0.2">
      <c r="C35" s="209"/>
      <c r="D35" s="210"/>
      <c r="E35" s="208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spans="2:26" x14ac:dyDescent="0.2">
      <c r="B36" s="1" t="s">
        <v>42</v>
      </c>
      <c r="C36" s="201">
        <f>INDEX(ExistingTable,MATCH($B36,ExistingRow,0),MATCH(C$5,ExistingColumns,0))/4</f>
        <v>25000</v>
      </c>
      <c r="D36" s="210">
        <f t="shared" si="1"/>
        <v>4.4414913461982612E-2</v>
      </c>
      <c r="E36" s="205" t="str">
        <f>VLOOKUP($B36,Inputs!$B$60:$C$76,2,FALSE)</f>
        <v>Fixed</v>
      </c>
      <c r="G36" s="209">
        <f t="shared" ref="G36:V37" si="14">IF($E36="Variable",G$10*$D36,$C36)</f>
        <v>25000</v>
      </c>
      <c r="H36" s="209">
        <f t="shared" si="14"/>
        <v>25000</v>
      </c>
      <c r="I36" s="209">
        <f t="shared" si="14"/>
        <v>25000</v>
      </c>
      <c r="J36" s="209">
        <f t="shared" si="14"/>
        <v>25000</v>
      </c>
      <c r="K36" s="209">
        <f t="shared" si="14"/>
        <v>25000</v>
      </c>
      <c r="L36" s="209">
        <f t="shared" si="14"/>
        <v>25000</v>
      </c>
      <c r="M36" s="209">
        <f t="shared" si="14"/>
        <v>25000</v>
      </c>
      <c r="N36" s="209">
        <f t="shared" si="14"/>
        <v>25000</v>
      </c>
      <c r="O36" s="209">
        <f t="shared" si="14"/>
        <v>25000</v>
      </c>
      <c r="P36" s="209">
        <f t="shared" si="14"/>
        <v>25000</v>
      </c>
      <c r="Q36" s="209">
        <f t="shared" si="14"/>
        <v>25000</v>
      </c>
      <c r="R36" s="209">
        <f t="shared" si="14"/>
        <v>25000</v>
      </c>
      <c r="S36" s="209">
        <f t="shared" si="14"/>
        <v>25000</v>
      </c>
      <c r="T36" s="209">
        <f t="shared" si="14"/>
        <v>25000</v>
      </c>
      <c r="U36" s="209">
        <f t="shared" si="14"/>
        <v>25000</v>
      </c>
      <c r="V36" s="209">
        <f t="shared" si="14"/>
        <v>25000</v>
      </c>
      <c r="W36" s="209">
        <f t="shared" ref="W36:Z37" si="15">IF($E36="Variable",W$10*$D36,$C36)</f>
        <v>25000</v>
      </c>
      <c r="X36" s="209">
        <f t="shared" si="15"/>
        <v>25000</v>
      </c>
      <c r="Y36" s="209">
        <f t="shared" si="15"/>
        <v>25000</v>
      </c>
      <c r="Z36" s="209">
        <f t="shared" si="15"/>
        <v>25000</v>
      </c>
    </row>
    <row r="37" spans="2:26" x14ac:dyDescent="0.2">
      <c r="B37" s="1" t="s">
        <v>77</v>
      </c>
      <c r="C37" s="201">
        <f>INDEX(ExistingTable,MATCH($B37,ExistingRow,0),MATCH(C$5,ExistingColumns,0))/4</f>
        <v>7500</v>
      </c>
      <c r="D37" s="210">
        <f t="shared" si="1"/>
        <v>1.3324474038594783E-2</v>
      </c>
      <c r="E37" s="205" t="str">
        <f>VLOOKUP($B37,Inputs!$B$60:$C$76,2,FALSE)</f>
        <v>Fixed</v>
      </c>
      <c r="G37" s="209">
        <f t="shared" si="14"/>
        <v>7500</v>
      </c>
      <c r="H37" s="209">
        <f t="shared" si="14"/>
        <v>7500</v>
      </c>
      <c r="I37" s="209">
        <f t="shared" si="14"/>
        <v>7500</v>
      </c>
      <c r="J37" s="209">
        <f t="shared" si="14"/>
        <v>7500</v>
      </c>
      <c r="K37" s="209">
        <f t="shared" si="14"/>
        <v>7500</v>
      </c>
      <c r="L37" s="209">
        <f t="shared" si="14"/>
        <v>7500</v>
      </c>
      <c r="M37" s="209">
        <f t="shared" si="14"/>
        <v>7500</v>
      </c>
      <c r="N37" s="209">
        <f t="shared" si="14"/>
        <v>7500</v>
      </c>
      <c r="O37" s="209">
        <f t="shared" si="14"/>
        <v>7500</v>
      </c>
      <c r="P37" s="209">
        <f t="shared" si="14"/>
        <v>7500</v>
      </c>
      <c r="Q37" s="209">
        <f t="shared" si="14"/>
        <v>7500</v>
      </c>
      <c r="R37" s="209">
        <f t="shared" si="14"/>
        <v>7500</v>
      </c>
      <c r="S37" s="209">
        <f t="shared" si="14"/>
        <v>7500</v>
      </c>
      <c r="T37" s="209">
        <f t="shared" si="14"/>
        <v>7500</v>
      </c>
      <c r="U37" s="209">
        <f t="shared" si="14"/>
        <v>7500</v>
      </c>
      <c r="V37" s="209">
        <f t="shared" si="14"/>
        <v>7500</v>
      </c>
      <c r="W37" s="209">
        <f t="shared" si="15"/>
        <v>7500</v>
      </c>
      <c r="X37" s="209">
        <f t="shared" si="15"/>
        <v>7500</v>
      </c>
      <c r="Y37" s="209">
        <f t="shared" si="15"/>
        <v>7500</v>
      </c>
      <c r="Z37" s="209">
        <f t="shared" si="15"/>
        <v>7500</v>
      </c>
    </row>
    <row r="38" spans="2:26" x14ac:dyDescent="0.2">
      <c r="B38" s="67" t="s">
        <v>204</v>
      </c>
      <c r="C38" s="206">
        <f>SUM(C36:C37)</f>
        <v>32500</v>
      </c>
      <c r="D38" s="207">
        <f t="shared" si="1"/>
        <v>5.7739387500577395E-2</v>
      </c>
      <c r="E38" s="213"/>
      <c r="G38" s="206">
        <f>SUM(G36:G37)</f>
        <v>32500</v>
      </c>
      <c r="H38" s="206">
        <f t="shared" ref="H38:Z38" si="16">SUM(H36:H37)</f>
        <v>32500</v>
      </c>
      <c r="I38" s="206">
        <f t="shared" si="16"/>
        <v>32500</v>
      </c>
      <c r="J38" s="206">
        <f t="shared" si="16"/>
        <v>32500</v>
      </c>
      <c r="K38" s="206">
        <f t="shared" si="16"/>
        <v>32500</v>
      </c>
      <c r="L38" s="206">
        <f t="shared" si="16"/>
        <v>32500</v>
      </c>
      <c r="M38" s="206">
        <f t="shared" si="16"/>
        <v>32500</v>
      </c>
      <c r="N38" s="206">
        <f t="shared" si="16"/>
        <v>32500</v>
      </c>
      <c r="O38" s="206">
        <f t="shared" si="16"/>
        <v>32500</v>
      </c>
      <c r="P38" s="206">
        <f t="shared" si="16"/>
        <v>32500</v>
      </c>
      <c r="Q38" s="206">
        <f t="shared" si="16"/>
        <v>32500</v>
      </c>
      <c r="R38" s="206">
        <f t="shared" si="16"/>
        <v>32500</v>
      </c>
      <c r="S38" s="206">
        <f t="shared" si="16"/>
        <v>32500</v>
      </c>
      <c r="T38" s="206">
        <f t="shared" si="16"/>
        <v>32500</v>
      </c>
      <c r="U38" s="206">
        <f t="shared" si="16"/>
        <v>32500</v>
      </c>
      <c r="V38" s="206">
        <f t="shared" si="16"/>
        <v>32500</v>
      </c>
      <c r="W38" s="206">
        <f t="shared" si="16"/>
        <v>32500</v>
      </c>
      <c r="X38" s="206">
        <f t="shared" si="16"/>
        <v>32500</v>
      </c>
      <c r="Y38" s="206">
        <f t="shared" si="16"/>
        <v>32500</v>
      </c>
      <c r="Z38" s="206">
        <f t="shared" si="16"/>
        <v>32500</v>
      </c>
    </row>
    <row r="39" spans="2:26" x14ac:dyDescent="0.2">
      <c r="C39" s="209"/>
      <c r="D39" s="210"/>
      <c r="E39" s="213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</row>
    <row r="40" spans="2:26" x14ac:dyDescent="0.2">
      <c r="B40" s="67" t="s">
        <v>205</v>
      </c>
      <c r="C40" s="206">
        <f>C10-C23-C27-C34-C38</f>
        <v>164394.40750000003</v>
      </c>
      <c r="D40" s="207">
        <f t="shared" si="1"/>
        <v>0.29206253530985626</v>
      </c>
      <c r="E40" s="213"/>
      <c r="G40" s="206">
        <f>G10-G23-G27-G34-G38</f>
        <v>165815.62254687501</v>
      </c>
      <c r="H40" s="206">
        <f t="shared" ref="H40:Z40" si="17">H10-H23-H27-H34-H38</f>
        <v>167245.72018779302</v>
      </c>
      <c r="I40" s="206">
        <f t="shared" si="17"/>
        <v>168684.75593896667</v>
      </c>
      <c r="J40" s="206">
        <f t="shared" si="17"/>
        <v>170132.78566358529</v>
      </c>
      <c r="K40" s="206">
        <f t="shared" si="17"/>
        <v>171589.86557398274</v>
      </c>
      <c r="L40" s="206">
        <f t="shared" si="17"/>
        <v>173056.05223382008</v>
      </c>
      <c r="M40" s="206">
        <f t="shared" si="17"/>
        <v>174531.40256028151</v>
      </c>
      <c r="N40" s="206">
        <f t="shared" si="17"/>
        <v>176015.9738262833</v>
      </c>
      <c r="O40" s="206">
        <f t="shared" si="17"/>
        <v>177509.82366269757</v>
      </c>
      <c r="P40" s="206">
        <f t="shared" si="17"/>
        <v>179013.01006058944</v>
      </c>
      <c r="Q40" s="206">
        <f t="shared" si="17"/>
        <v>180525.59137346811</v>
      </c>
      <c r="R40" s="206">
        <f t="shared" si="17"/>
        <v>182047.62631955236</v>
      </c>
      <c r="S40" s="206">
        <f t="shared" si="17"/>
        <v>183579.17398404959</v>
      </c>
      <c r="T40" s="206">
        <f t="shared" si="17"/>
        <v>185120.29382144992</v>
      </c>
      <c r="U40" s="206">
        <f t="shared" si="17"/>
        <v>186671.0456578341</v>
      </c>
      <c r="V40" s="206">
        <f t="shared" si="17"/>
        <v>188231.4896931955</v>
      </c>
      <c r="W40" s="206">
        <f t="shared" si="17"/>
        <v>189801.68650377801</v>
      </c>
      <c r="X40" s="206">
        <f t="shared" si="17"/>
        <v>191381.69704442663</v>
      </c>
      <c r="Y40" s="206">
        <f t="shared" si="17"/>
        <v>192971.58265095431</v>
      </c>
      <c r="Z40" s="206">
        <f t="shared" si="17"/>
        <v>194571.40504252276</v>
      </c>
    </row>
  </sheetData>
  <dataValidations count="1">
    <dataValidation type="list" allowBlank="1" showInputMessage="1" showErrorMessage="1" sqref="C5" xr:uid="{5C50FFFE-8FCC-407A-BC4A-CC4747F90E93}">
      <formula1>StoreList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91F7-9374-4C10-8CFA-8F70FDE40241}">
  <sheetPr>
    <tabColor rgb="FF00B0F0"/>
  </sheetPr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6565-2F3B-4D67-8BDE-C98521889B74}">
  <sheetPr>
    <tabColor rgb="FF92D050"/>
  </sheetPr>
  <dimension ref="B2:M90"/>
  <sheetViews>
    <sheetView topLeftCell="A73" zoomScale="85" zoomScaleNormal="85" workbookViewId="0">
      <selection activeCell="H90" sqref="H90"/>
    </sheetView>
  </sheetViews>
  <sheetFormatPr defaultRowHeight="15" x14ac:dyDescent="0.25"/>
  <cols>
    <col min="1" max="1" width="5.85546875" customWidth="1"/>
    <col min="2" max="2" width="45.5703125" bestFit="1" customWidth="1"/>
    <col min="3" max="3" width="14.28515625" style="162" bestFit="1" customWidth="1"/>
    <col min="4" max="7" width="12.28515625" bestFit="1" customWidth="1"/>
    <col min="8" max="8" width="15.28515625" bestFit="1" customWidth="1"/>
    <col min="9" max="9" width="13.42578125" bestFit="1" customWidth="1"/>
    <col min="10" max="11" width="11.5703125" bestFit="1" customWidth="1"/>
    <col min="12" max="12" width="20" bestFit="1" customWidth="1"/>
  </cols>
  <sheetData>
    <row r="2" spans="2:11" x14ac:dyDescent="0.25">
      <c r="B2" s="164" t="s">
        <v>194</v>
      </c>
    </row>
    <row r="3" spans="2:11" x14ac:dyDescent="0.25">
      <c r="B3" t="s">
        <v>195</v>
      </c>
    </row>
    <row r="5" spans="2:11" x14ac:dyDescent="0.25">
      <c r="B5" s="170" t="s">
        <v>197</v>
      </c>
      <c r="C5" s="165" t="str">
        <f>"Scenario #"&amp;Inputs!C3</f>
        <v>Scenario #3</v>
      </c>
      <c r="G5" s="277">
        <f>_xlfn.STDEV.S(D13:H13)</f>
        <v>885928.63289274054</v>
      </c>
      <c r="I5" s="175">
        <f>MEDIAN(D13:H13)</f>
        <v>2251496</v>
      </c>
    </row>
    <row r="6" spans="2:11" x14ac:dyDescent="0.25">
      <c r="I6" s="175">
        <f>AVERAGE(D13:H13)</f>
        <v>2226827.2000000002</v>
      </c>
    </row>
    <row r="9" spans="2:11" x14ac:dyDescent="0.25">
      <c r="B9" s="160" t="s">
        <v>192</v>
      </c>
      <c r="C9" s="161"/>
      <c r="D9" s="159"/>
      <c r="E9" s="159"/>
      <c r="F9" s="159"/>
      <c r="G9" s="159"/>
      <c r="H9" s="159"/>
      <c r="I9" s="159"/>
    </row>
    <row r="10" spans="2:11" x14ac:dyDescent="0.25">
      <c r="D10" s="192">
        <f>D13/$I$13</f>
        <v>0.10321411558112817</v>
      </c>
      <c r="E10" s="192">
        <f t="shared" ref="E10:H10" si="0">E13/$I$13</f>
        <v>0.15738985045629045</v>
      </c>
      <c r="F10" s="192">
        <f t="shared" si="0"/>
        <v>0.2199721648810469</v>
      </c>
      <c r="G10" s="192">
        <f t="shared" si="0"/>
        <v>0.31720826833801924</v>
      </c>
      <c r="H10" s="192">
        <f t="shared" si="0"/>
        <v>0.20221560074351524</v>
      </c>
    </row>
    <row r="11" spans="2:11" x14ac:dyDescent="0.25">
      <c r="C11" s="162" t="s">
        <v>45</v>
      </c>
      <c r="D11" s="200" t="s">
        <v>82</v>
      </c>
      <c r="E11" s="200" t="s">
        <v>83</v>
      </c>
      <c r="F11" s="200" t="s">
        <v>84</v>
      </c>
      <c r="G11" s="200" t="s">
        <v>85</v>
      </c>
      <c r="H11" s="200" t="s">
        <v>86</v>
      </c>
      <c r="I11" s="162" t="s">
        <v>36</v>
      </c>
    </row>
    <row r="12" spans="2:11" x14ac:dyDescent="0.25">
      <c r="B12" s="163" t="s">
        <v>78</v>
      </c>
      <c r="D12" s="166">
        <f>VLOOKUP(D$11,Inputs!$B$10:$C$14,2,FALSE)</f>
        <v>22100</v>
      </c>
      <c r="E12" s="166">
        <f>VLOOKUP(E$11,Inputs!$B$10:$C$14,2,FALSE)</f>
        <v>33700</v>
      </c>
      <c r="F12" s="166">
        <f>VLOOKUP(F$11,Inputs!$B$10:$C$14,2,FALSE)</f>
        <v>47100</v>
      </c>
      <c r="G12" s="166">
        <f>VLOOKUP(G$11,Inputs!$B$10:$C$14,2,FALSE)</f>
        <v>67920</v>
      </c>
      <c r="H12" s="166">
        <f>VLOOKUP(H$11,Inputs!$B$10:$C$14,2,FALSE)</f>
        <v>43298</v>
      </c>
      <c r="I12" s="175">
        <f>AVERAGE(D12:H12)</f>
        <v>42823.6</v>
      </c>
      <c r="K12" s="183">
        <f>SUM(D12:H12)/5</f>
        <v>42823.6</v>
      </c>
    </row>
    <row r="13" spans="2:11" x14ac:dyDescent="0.25">
      <c r="B13" s="163" t="s">
        <v>15</v>
      </c>
      <c r="D13" s="228">
        <f>D12*52</f>
        <v>1149200</v>
      </c>
      <c r="E13" s="228">
        <f t="shared" ref="E13:H13" si="1">E12*52</f>
        <v>1752400</v>
      </c>
      <c r="F13" s="228">
        <f t="shared" si="1"/>
        <v>2449200</v>
      </c>
      <c r="G13" s="228">
        <f t="shared" si="1"/>
        <v>3531840</v>
      </c>
      <c r="H13" s="228">
        <f t="shared" si="1"/>
        <v>2251496</v>
      </c>
      <c r="I13" s="169">
        <f>SUM(D13:H13)</f>
        <v>11134136</v>
      </c>
    </row>
    <row r="14" spans="2:11" x14ac:dyDescent="0.25">
      <c r="B14" s="163" t="s">
        <v>63</v>
      </c>
      <c r="D14" s="167"/>
      <c r="E14" s="167"/>
      <c r="F14" s="167"/>
      <c r="G14" s="167"/>
      <c r="H14" s="167"/>
    </row>
    <row r="16" spans="2:11" x14ac:dyDescent="0.25">
      <c r="B16" t="s">
        <v>65</v>
      </c>
      <c r="C16" s="179">
        <f>INDEX(StoreExpenseTable,MATCH($B16,StoreExpenseRow,0),MATCH(C$5,StoreExpenseColumn,0))</f>
        <v>85000</v>
      </c>
      <c r="D16" s="175">
        <f t="shared" ref="D16:H16" si="2">$C16</f>
        <v>85000</v>
      </c>
      <c r="E16" s="175">
        <f t="shared" si="2"/>
        <v>85000</v>
      </c>
      <c r="F16" s="175">
        <f t="shared" si="2"/>
        <v>85000</v>
      </c>
      <c r="G16" s="175">
        <f t="shared" si="2"/>
        <v>85000</v>
      </c>
      <c r="H16" s="175">
        <f t="shared" si="2"/>
        <v>85000</v>
      </c>
      <c r="I16" s="175">
        <f>SUM(D16:H16)</f>
        <v>425000</v>
      </c>
    </row>
    <row r="17" spans="2:13" x14ac:dyDescent="0.25">
      <c r="B17" t="s">
        <v>64</v>
      </c>
      <c r="C17" s="171">
        <f>INDEX(StoreExpenseTable,MATCH($B17,StoreExpenseRow,0),MATCH(C$5,StoreExpenseColumn,0))</f>
        <v>0.1</v>
      </c>
      <c r="D17" s="175">
        <f>$C17*D$16</f>
        <v>8500</v>
      </c>
      <c r="E17" s="175">
        <f t="shared" ref="E17:H17" si="3">$C17*E$16</f>
        <v>8500</v>
      </c>
      <c r="F17" s="175">
        <f t="shared" si="3"/>
        <v>8500</v>
      </c>
      <c r="G17" s="175">
        <f t="shared" si="3"/>
        <v>8500</v>
      </c>
      <c r="H17" s="175">
        <f t="shared" si="3"/>
        <v>8500</v>
      </c>
      <c r="I17" s="175">
        <f>SUM(D17:H17)</f>
        <v>42500</v>
      </c>
    </row>
    <row r="18" spans="2:13" x14ac:dyDescent="0.25">
      <c r="B18" s="176" t="s">
        <v>66</v>
      </c>
      <c r="C18" s="177">
        <f>INDEX(StoreExpenseTable,MATCH($B18,StoreExpenseRow,0),MATCH(C$5,StoreExpenseColumn,0))</f>
        <v>93500.000000000015</v>
      </c>
      <c r="D18" s="178">
        <f t="shared" ref="D18:H18" si="4">SUM(D16:D17)</f>
        <v>93500</v>
      </c>
      <c r="E18" s="178">
        <f t="shared" si="4"/>
        <v>93500</v>
      </c>
      <c r="F18" s="178">
        <f t="shared" si="4"/>
        <v>93500</v>
      </c>
      <c r="G18" s="178">
        <f t="shared" si="4"/>
        <v>93500</v>
      </c>
      <c r="H18" s="178">
        <f t="shared" si="4"/>
        <v>93500</v>
      </c>
      <c r="I18" s="178">
        <f>SUM(D18:H18)</f>
        <v>467500</v>
      </c>
    </row>
    <row r="19" spans="2:13" x14ac:dyDescent="0.25">
      <c r="C19" s="172"/>
    </row>
    <row r="20" spans="2:13" x14ac:dyDescent="0.25">
      <c r="B20" t="s">
        <v>67</v>
      </c>
      <c r="C20" s="180">
        <f>INDEX(StoreExpenseTable,MATCH($B20,StoreExpenseRow,0),MATCH(C$5,StoreExpenseColumn,0))</f>
        <v>630</v>
      </c>
    </row>
    <row r="21" spans="2:13" x14ac:dyDescent="0.25">
      <c r="B21" t="s">
        <v>198</v>
      </c>
      <c r="C21" s="181">
        <f>C20*52</f>
        <v>32760</v>
      </c>
    </row>
    <row r="22" spans="2:13" x14ac:dyDescent="0.25">
      <c r="C22" s="180"/>
    </row>
    <row r="23" spans="2:13" x14ac:dyDescent="0.25">
      <c r="B23" t="s">
        <v>68</v>
      </c>
      <c r="C23" s="182">
        <f>INDEX(StoreExpenseTable,MATCH($B23,StoreExpenseRow,0),MATCH(C$5,StoreExpenseColumn,0))</f>
        <v>12.4</v>
      </c>
      <c r="L23" s="483">
        <f>_xlfn.VAR.S(D13:H13)</f>
        <v>784869542579.2002</v>
      </c>
      <c r="M23">
        <f>SQRT(L23)</f>
        <v>885928.63289274054</v>
      </c>
    </row>
    <row r="24" spans="2:13" x14ac:dyDescent="0.25">
      <c r="C24" s="173"/>
      <c r="L24" s="483">
        <f>_xlfn.STDEV.S(D13:H13)</f>
        <v>885928.63289274054</v>
      </c>
    </row>
    <row r="25" spans="2:13" x14ac:dyDescent="0.25">
      <c r="B25" s="185" t="s">
        <v>69</v>
      </c>
      <c r="C25" s="191"/>
      <c r="D25" s="189">
        <f>$C$23*$C$21</f>
        <v>406224</v>
      </c>
      <c r="E25" s="189">
        <f t="shared" ref="E25:H25" si="5">$C$23*$C$21</f>
        <v>406224</v>
      </c>
      <c r="F25" s="189">
        <f t="shared" si="5"/>
        <v>406224</v>
      </c>
      <c r="G25" s="189">
        <f t="shared" si="5"/>
        <v>406224</v>
      </c>
      <c r="H25" s="189">
        <f t="shared" si="5"/>
        <v>406224</v>
      </c>
      <c r="I25" s="189">
        <f>SUM(D25:H25)</f>
        <v>2031120</v>
      </c>
      <c r="L25">
        <f>SKEW(D13:H13)</f>
        <v>0.52451220018338196</v>
      </c>
    </row>
    <row r="26" spans="2:13" x14ac:dyDescent="0.25">
      <c r="C26" s="173"/>
      <c r="L26" s="175">
        <f>AVERAGE(D13:H13)</f>
        <v>2226827.2000000002</v>
      </c>
    </row>
    <row r="27" spans="2:13" x14ac:dyDescent="0.25">
      <c r="B27" s="185" t="s">
        <v>199</v>
      </c>
      <c r="C27" s="191"/>
      <c r="D27" s="189">
        <f>D25+D18</f>
        <v>499724</v>
      </c>
      <c r="E27" s="189">
        <f t="shared" ref="E27:H27" si="6">E25+E18</f>
        <v>499724</v>
      </c>
      <c r="F27" s="189">
        <f t="shared" si="6"/>
        <v>499724</v>
      </c>
      <c r="G27" s="189">
        <f t="shared" si="6"/>
        <v>499724</v>
      </c>
      <c r="H27" s="189">
        <f t="shared" si="6"/>
        <v>499724</v>
      </c>
      <c r="I27" s="189">
        <f>SUM(D27:H27)</f>
        <v>2498620</v>
      </c>
    </row>
    <row r="28" spans="2:13" x14ac:dyDescent="0.25">
      <c r="C28" s="173"/>
    </row>
    <row r="29" spans="2:13" x14ac:dyDescent="0.25">
      <c r="B29" t="s">
        <v>1</v>
      </c>
      <c r="C29" s="174">
        <f t="shared" ref="C29:C34" si="7">INDEX(StoreExpenseTable,MATCH($B29,StoreExpenseRow,0),MATCH(C$5,StoreExpenseColumn,0))</f>
        <v>7.6999999999999999E-2</v>
      </c>
      <c r="D29" s="175">
        <f>$C29*D$27</f>
        <v>38478.748</v>
      </c>
      <c r="E29" s="175">
        <f t="shared" ref="E29:H29" si="8">$C29*E$27</f>
        <v>38478.748</v>
      </c>
      <c r="F29" s="175">
        <f t="shared" si="8"/>
        <v>38478.748</v>
      </c>
      <c r="G29" s="175">
        <f t="shared" si="8"/>
        <v>38478.748</v>
      </c>
      <c r="H29" s="175">
        <f t="shared" si="8"/>
        <v>38478.748</v>
      </c>
      <c r="I29" s="175">
        <f t="shared" ref="I29:I34" si="9">SUM(D29:H29)</f>
        <v>192393.74</v>
      </c>
    </row>
    <row r="30" spans="2:13" x14ac:dyDescent="0.25">
      <c r="B30" t="s">
        <v>0</v>
      </c>
      <c r="C30" s="172">
        <f t="shared" si="7"/>
        <v>23000</v>
      </c>
      <c r="D30" s="175">
        <f t="shared" ref="D30:H30" si="10">$C30</f>
        <v>23000</v>
      </c>
      <c r="E30" s="175">
        <f t="shared" si="10"/>
        <v>23000</v>
      </c>
      <c r="F30" s="175">
        <f t="shared" si="10"/>
        <v>23000</v>
      </c>
      <c r="G30" s="175">
        <f t="shared" si="10"/>
        <v>23000</v>
      </c>
      <c r="H30" s="175">
        <f t="shared" si="10"/>
        <v>23000</v>
      </c>
      <c r="I30" s="175">
        <f t="shared" si="9"/>
        <v>115000</v>
      </c>
    </row>
    <row r="31" spans="2:13" x14ac:dyDescent="0.25">
      <c r="B31" t="s">
        <v>2</v>
      </c>
      <c r="C31" s="174">
        <f t="shared" si="7"/>
        <v>2.2499999999999999E-2</v>
      </c>
      <c r="D31" s="175">
        <f t="shared" ref="D31:H34" si="11">$C31*D$27</f>
        <v>11243.789999999999</v>
      </c>
      <c r="E31" s="175">
        <f t="shared" si="11"/>
        <v>11243.789999999999</v>
      </c>
      <c r="F31" s="175">
        <f t="shared" si="11"/>
        <v>11243.789999999999</v>
      </c>
      <c r="G31" s="175">
        <f t="shared" si="11"/>
        <v>11243.789999999999</v>
      </c>
      <c r="H31" s="175">
        <f t="shared" si="11"/>
        <v>11243.789999999999</v>
      </c>
      <c r="I31" s="175">
        <f t="shared" si="9"/>
        <v>56218.95</v>
      </c>
    </row>
    <row r="32" spans="2:13" x14ac:dyDescent="0.25">
      <c r="B32" t="s">
        <v>3</v>
      </c>
      <c r="C32" s="174">
        <f t="shared" si="7"/>
        <v>2.2499999999999999E-2</v>
      </c>
      <c r="D32" s="175">
        <f t="shared" si="11"/>
        <v>11243.789999999999</v>
      </c>
      <c r="E32" s="175">
        <f t="shared" si="11"/>
        <v>11243.789999999999</v>
      </c>
      <c r="F32" s="175">
        <f t="shared" si="11"/>
        <v>11243.789999999999</v>
      </c>
      <c r="G32" s="175">
        <f t="shared" si="11"/>
        <v>11243.789999999999</v>
      </c>
      <c r="H32" s="175">
        <f t="shared" si="11"/>
        <v>11243.789999999999</v>
      </c>
      <c r="I32" s="175">
        <f t="shared" si="9"/>
        <v>56218.95</v>
      </c>
    </row>
    <row r="33" spans="2:9" x14ac:dyDescent="0.25">
      <c r="B33" t="s">
        <v>16</v>
      </c>
      <c r="C33" s="174">
        <f t="shared" si="7"/>
        <v>2.2499999999999999E-2</v>
      </c>
      <c r="D33" s="175">
        <f t="shared" si="11"/>
        <v>11243.789999999999</v>
      </c>
      <c r="E33" s="175">
        <f t="shared" si="11"/>
        <v>11243.789999999999</v>
      </c>
      <c r="F33" s="175">
        <f t="shared" si="11"/>
        <v>11243.789999999999</v>
      </c>
      <c r="G33" s="175">
        <f t="shared" si="11"/>
        <v>11243.789999999999</v>
      </c>
      <c r="H33" s="175">
        <f t="shared" si="11"/>
        <v>11243.789999999999</v>
      </c>
      <c r="I33" s="175">
        <f t="shared" si="9"/>
        <v>56218.95</v>
      </c>
    </row>
    <row r="34" spans="2:9" x14ac:dyDescent="0.25">
      <c r="B34" t="s">
        <v>4</v>
      </c>
      <c r="C34" s="174">
        <f t="shared" si="7"/>
        <v>4.4999999999999998E-2</v>
      </c>
      <c r="D34" s="175">
        <f t="shared" si="11"/>
        <v>22487.579999999998</v>
      </c>
      <c r="E34" s="175">
        <f t="shared" si="11"/>
        <v>22487.579999999998</v>
      </c>
      <c r="F34" s="175">
        <f t="shared" si="11"/>
        <v>22487.579999999998</v>
      </c>
      <c r="G34" s="175">
        <f t="shared" si="11"/>
        <v>22487.579999999998</v>
      </c>
      <c r="H34" s="175">
        <f t="shared" si="11"/>
        <v>22487.579999999998</v>
      </c>
      <c r="I34" s="175">
        <f t="shared" si="9"/>
        <v>112437.9</v>
      </c>
    </row>
    <row r="35" spans="2:9" x14ac:dyDescent="0.25">
      <c r="B35" s="185" t="s">
        <v>200</v>
      </c>
      <c r="C35" s="186"/>
      <c r="D35" s="189">
        <f>SUM(D29:D34)</f>
        <v>117697.69799999999</v>
      </c>
      <c r="E35" s="189">
        <f t="shared" ref="E35:H35" si="12">SUM(E29:E34)</f>
        <v>117697.69799999999</v>
      </c>
      <c r="F35" s="189">
        <f t="shared" si="12"/>
        <v>117697.69799999999</v>
      </c>
      <c r="G35" s="189">
        <f t="shared" si="12"/>
        <v>117697.69799999999</v>
      </c>
      <c r="H35" s="189">
        <f t="shared" si="12"/>
        <v>117697.69799999999</v>
      </c>
      <c r="I35" s="189">
        <f>SUM(D35:H35)</f>
        <v>588488.49</v>
      </c>
    </row>
    <row r="36" spans="2:9" x14ac:dyDescent="0.25">
      <c r="C36" s="174"/>
      <c r="I36" s="175"/>
    </row>
    <row r="37" spans="2:9" x14ac:dyDescent="0.25">
      <c r="B37" s="185" t="s">
        <v>201</v>
      </c>
      <c r="C37" s="186"/>
      <c r="D37" s="189">
        <f>D35+D27</f>
        <v>617421.69799999997</v>
      </c>
      <c r="E37" s="189">
        <f t="shared" ref="E37:H37" si="13">E35+E27</f>
        <v>617421.69799999997</v>
      </c>
      <c r="F37" s="189">
        <f t="shared" si="13"/>
        <v>617421.69799999997</v>
      </c>
      <c r="G37" s="189">
        <f t="shared" si="13"/>
        <v>617421.69799999997</v>
      </c>
      <c r="H37" s="189">
        <f t="shared" si="13"/>
        <v>617421.69799999997</v>
      </c>
      <c r="I37" s="189">
        <f>SUM(D37:H37)</f>
        <v>3087108.4899999998</v>
      </c>
    </row>
    <row r="38" spans="2:9" x14ac:dyDescent="0.25">
      <c r="C38" s="174"/>
      <c r="I38" s="183"/>
    </row>
    <row r="39" spans="2:9" x14ac:dyDescent="0.25">
      <c r="C39" s="174"/>
    </row>
    <row r="40" spans="2:9" x14ac:dyDescent="0.25">
      <c r="C40" s="174"/>
    </row>
    <row r="41" spans="2:9" x14ac:dyDescent="0.25">
      <c r="B41" t="s">
        <v>71</v>
      </c>
      <c r="C41" s="174">
        <f>INDEX(StoreExpenseTable,MATCH($B41,StoreExpenseRow,0),MATCH(C$5,StoreExpenseColumn,0))</f>
        <v>0.26</v>
      </c>
      <c r="D41" s="184">
        <f>$C41*D$13</f>
        <v>298792</v>
      </c>
      <c r="E41" s="184">
        <f t="shared" ref="E41:H42" si="14">$C41*E$13</f>
        <v>455624</v>
      </c>
      <c r="F41" s="184">
        <f t="shared" si="14"/>
        <v>636792</v>
      </c>
      <c r="G41" s="184">
        <f t="shared" si="14"/>
        <v>918278.4</v>
      </c>
      <c r="H41" s="184">
        <f t="shared" si="14"/>
        <v>585388.96</v>
      </c>
      <c r="I41" s="184">
        <f>SUM(D41:H41)</f>
        <v>2894875.36</v>
      </c>
    </row>
    <row r="42" spans="2:9" x14ac:dyDescent="0.25">
      <c r="B42" t="s">
        <v>72</v>
      </c>
      <c r="C42" s="174">
        <f>INDEX(StoreExpenseTable,MATCH($B42,StoreExpenseRow,0),MATCH(C$5,StoreExpenseColumn,0))</f>
        <v>0.03</v>
      </c>
      <c r="D42" s="184">
        <f t="shared" ref="D42" si="15">$C42*D$13</f>
        <v>34476</v>
      </c>
      <c r="E42" s="184">
        <f t="shared" si="14"/>
        <v>52572</v>
      </c>
      <c r="F42" s="184">
        <f t="shared" si="14"/>
        <v>73476</v>
      </c>
      <c r="G42" s="184">
        <f t="shared" si="14"/>
        <v>105955.2</v>
      </c>
      <c r="H42" s="184">
        <f t="shared" si="14"/>
        <v>67544.88</v>
      </c>
      <c r="I42" s="184">
        <f>SUM(D42:H42)</f>
        <v>334024.08</v>
      </c>
    </row>
    <row r="43" spans="2:9" x14ac:dyDescent="0.25">
      <c r="B43" s="185" t="s">
        <v>202</v>
      </c>
      <c r="C43" s="186"/>
      <c r="D43" s="187">
        <f>SUM(D41:D42)</f>
        <v>333268</v>
      </c>
      <c r="E43" s="187">
        <f t="shared" ref="E43:H43" si="16">SUM(E41:E42)</f>
        <v>508196</v>
      </c>
      <c r="F43" s="187">
        <f t="shared" si="16"/>
        <v>710268</v>
      </c>
      <c r="G43" s="187">
        <f t="shared" si="16"/>
        <v>1024233.6</v>
      </c>
      <c r="H43" s="187">
        <f t="shared" si="16"/>
        <v>652933.84</v>
      </c>
      <c r="I43" s="187">
        <f>SUM(D43:H43)</f>
        <v>3228899.44</v>
      </c>
    </row>
    <row r="44" spans="2:9" x14ac:dyDescent="0.25">
      <c r="C44" s="174"/>
    </row>
    <row r="45" spans="2:9" x14ac:dyDescent="0.25">
      <c r="C45" s="174"/>
    </row>
    <row r="46" spans="2:9" x14ac:dyDescent="0.25">
      <c r="B46" t="s">
        <v>73</v>
      </c>
      <c r="C46" s="174">
        <f>INDEX(StoreExpenseTable,MATCH($B46,StoreExpenseRow,0),MATCH(C$5,StoreExpenseColumn,0))</f>
        <v>1.4999999999999999E-2</v>
      </c>
      <c r="D46" s="184">
        <f t="shared" ref="D46:H48" si="17">$C46*D$13</f>
        <v>17238</v>
      </c>
      <c r="E46" s="184">
        <f t="shared" si="17"/>
        <v>26286</v>
      </c>
      <c r="F46" s="184">
        <f t="shared" si="17"/>
        <v>36738</v>
      </c>
      <c r="G46" s="184">
        <f t="shared" si="17"/>
        <v>52977.599999999999</v>
      </c>
      <c r="H46" s="184">
        <f t="shared" si="17"/>
        <v>33772.44</v>
      </c>
      <c r="I46" s="184">
        <f t="shared" ref="I46:I50" si="18">SUM(D46:H46)</f>
        <v>167012.04</v>
      </c>
    </row>
    <row r="47" spans="2:9" x14ac:dyDescent="0.25">
      <c r="B47" t="s">
        <v>74</v>
      </c>
      <c r="C47" s="174">
        <f>INDEX(StoreExpenseTable,MATCH($B47,StoreExpenseRow,0),MATCH(C$5,StoreExpenseColumn,0))</f>
        <v>0.02</v>
      </c>
      <c r="D47" s="184">
        <f t="shared" si="17"/>
        <v>22984</v>
      </c>
      <c r="E47" s="184">
        <f t="shared" si="17"/>
        <v>35048</v>
      </c>
      <c r="F47" s="184">
        <f t="shared" si="17"/>
        <v>48984</v>
      </c>
      <c r="G47" s="184">
        <f t="shared" si="17"/>
        <v>70636.800000000003</v>
      </c>
      <c r="H47" s="184">
        <f t="shared" si="17"/>
        <v>45029.919999999998</v>
      </c>
      <c r="I47" s="184">
        <f t="shared" si="18"/>
        <v>222682.71999999997</v>
      </c>
    </row>
    <row r="48" spans="2:9" x14ac:dyDescent="0.25">
      <c r="B48" t="s">
        <v>75</v>
      </c>
      <c r="C48" s="174">
        <f>INDEX(StoreExpenseTable,MATCH($B48,StoreExpenseRow,0),MATCH(C$5,StoreExpenseColumn,0))</f>
        <v>7.0000000000000001E-3</v>
      </c>
      <c r="D48" s="184">
        <f t="shared" si="17"/>
        <v>8044.4000000000005</v>
      </c>
      <c r="E48" s="184">
        <f t="shared" si="17"/>
        <v>12266.800000000001</v>
      </c>
      <c r="F48" s="184">
        <f t="shared" si="17"/>
        <v>17144.400000000001</v>
      </c>
      <c r="G48" s="184">
        <f t="shared" si="17"/>
        <v>24722.880000000001</v>
      </c>
      <c r="H48" s="184">
        <f t="shared" si="17"/>
        <v>15760.472</v>
      </c>
      <c r="I48" s="184">
        <f t="shared" si="18"/>
        <v>77938.952000000005</v>
      </c>
    </row>
    <row r="49" spans="2:10" x14ac:dyDescent="0.25">
      <c r="B49" t="s">
        <v>76</v>
      </c>
      <c r="C49" s="172">
        <f>INDEX(StoreExpenseTable,MATCH($B49,StoreExpenseRow,0),MATCH(C$5,StoreExpenseColumn,0))</f>
        <v>16000</v>
      </c>
      <c r="D49" s="175">
        <f>$C49</f>
        <v>16000</v>
      </c>
      <c r="E49" s="175">
        <f t="shared" ref="E49:H49" si="19">$C49</f>
        <v>16000</v>
      </c>
      <c r="F49" s="175">
        <f t="shared" si="19"/>
        <v>16000</v>
      </c>
      <c r="G49" s="175">
        <f t="shared" si="19"/>
        <v>16000</v>
      </c>
      <c r="H49" s="175">
        <f t="shared" si="19"/>
        <v>16000</v>
      </c>
      <c r="I49" s="175">
        <f t="shared" si="18"/>
        <v>80000</v>
      </c>
    </row>
    <row r="50" spans="2:10" x14ac:dyDescent="0.25">
      <c r="B50" t="s">
        <v>43</v>
      </c>
      <c r="C50" s="172">
        <f>INDEX(StoreExpenseTable,MATCH($B50,StoreExpenseRow,0),MATCH(C$5,StoreExpenseColumn,0))</f>
        <v>83000</v>
      </c>
      <c r="D50" s="175">
        <f t="shared" ref="D50:G50" si="20">$C50</f>
        <v>83000</v>
      </c>
      <c r="E50" s="175">
        <f t="shared" si="20"/>
        <v>83000</v>
      </c>
      <c r="F50" s="175">
        <f t="shared" si="20"/>
        <v>83000</v>
      </c>
      <c r="G50" s="175">
        <f t="shared" si="20"/>
        <v>83000</v>
      </c>
      <c r="H50" s="175">
        <f>$C50</f>
        <v>83000</v>
      </c>
      <c r="I50" s="175">
        <f t="shared" si="18"/>
        <v>415000</v>
      </c>
    </row>
    <row r="51" spans="2:10" x14ac:dyDescent="0.25">
      <c r="B51" s="185" t="s">
        <v>203</v>
      </c>
      <c r="C51" s="188"/>
      <c r="D51" s="187">
        <f>SUM(D46:D50)</f>
        <v>147266.4</v>
      </c>
      <c r="E51" s="187">
        <f t="shared" ref="E51:H51" si="21">SUM(E46:E50)</f>
        <v>172600.8</v>
      </c>
      <c r="F51" s="187">
        <f t="shared" si="21"/>
        <v>201866.4</v>
      </c>
      <c r="G51" s="187">
        <f t="shared" si="21"/>
        <v>247337.28</v>
      </c>
      <c r="H51" s="187">
        <f t="shared" si="21"/>
        <v>193562.83199999999</v>
      </c>
      <c r="I51" s="189">
        <f>SUM(D51:H51)</f>
        <v>962633.71200000006</v>
      </c>
    </row>
    <row r="52" spans="2:10" ht="14.25" customHeight="1" x14ac:dyDescent="0.25">
      <c r="C52" s="172"/>
    </row>
    <row r="53" spans="2:10" x14ac:dyDescent="0.25">
      <c r="C53" s="172"/>
    </row>
    <row r="54" spans="2:10" x14ac:dyDescent="0.25">
      <c r="B54" t="s">
        <v>42</v>
      </c>
      <c r="C54" s="172">
        <f>INDEX(StoreExpenseTable,MATCH($B54,StoreExpenseRow,0),MATCH(C$5,StoreExpenseColumn,0))</f>
        <v>100000</v>
      </c>
      <c r="D54" s="175">
        <f t="shared" ref="D54:H55" si="22">$C54</f>
        <v>100000</v>
      </c>
      <c r="E54" s="175">
        <f t="shared" si="22"/>
        <v>100000</v>
      </c>
      <c r="F54" s="175">
        <f t="shared" si="22"/>
        <v>100000</v>
      </c>
      <c r="G54" s="175">
        <f t="shared" si="22"/>
        <v>100000</v>
      </c>
      <c r="H54" s="175">
        <f t="shared" si="22"/>
        <v>100000</v>
      </c>
      <c r="I54" s="175">
        <f t="shared" ref="I54:I55" si="23">SUM(D54:H54)</f>
        <v>500000</v>
      </c>
    </row>
    <row r="55" spans="2:10" x14ac:dyDescent="0.25">
      <c r="B55" t="s">
        <v>77</v>
      </c>
      <c r="C55" s="172">
        <f>INDEX(StoreExpenseTable,MATCH($B55,StoreExpenseRow,0),MATCH(C$5,StoreExpenseColumn,0))</f>
        <v>30000</v>
      </c>
      <c r="D55" s="175">
        <f t="shared" si="22"/>
        <v>30000</v>
      </c>
      <c r="E55" s="175">
        <f t="shared" si="22"/>
        <v>30000</v>
      </c>
      <c r="F55" s="175">
        <f t="shared" si="22"/>
        <v>30000</v>
      </c>
      <c r="G55" s="175">
        <f t="shared" si="22"/>
        <v>30000</v>
      </c>
      <c r="H55" s="175">
        <f t="shared" si="22"/>
        <v>30000</v>
      </c>
      <c r="I55" s="175">
        <f t="shared" si="23"/>
        <v>150000</v>
      </c>
    </row>
    <row r="56" spans="2:10" x14ac:dyDescent="0.25">
      <c r="B56" s="185" t="s">
        <v>204</v>
      </c>
      <c r="C56" s="190"/>
      <c r="D56" s="187">
        <f>SUM(D54:D55)</f>
        <v>130000</v>
      </c>
      <c r="E56" s="187">
        <f t="shared" ref="E56:H56" si="24">SUM(E54:E55)</f>
        <v>130000</v>
      </c>
      <c r="F56" s="187">
        <f t="shared" si="24"/>
        <v>130000</v>
      </c>
      <c r="G56" s="187">
        <f t="shared" si="24"/>
        <v>130000</v>
      </c>
      <c r="H56" s="187">
        <f t="shared" si="24"/>
        <v>130000</v>
      </c>
      <c r="I56" s="189">
        <f>SUM(D56:H56)</f>
        <v>650000</v>
      </c>
    </row>
    <row r="58" spans="2:10" x14ac:dyDescent="0.25">
      <c r="B58" s="185" t="s">
        <v>205</v>
      </c>
      <c r="C58" s="190"/>
      <c r="D58" s="189">
        <f>D13-(D37+D43+D51+D56)</f>
        <v>-78756.097999999998</v>
      </c>
      <c r="E58" s="189">
        <f t="shared" ref="E58:H58" si="25">E13-(E37+E43+E51+E56)</f>
        <v>324181.50200000009</v>
      </c>
      <c r="F58" s="189">
        <f t="shared" si="25"/>
        <v>789643.90200000023</v>
      </c>
      <c r="G58" s="189">
        <f>G13-(G37+G43+G51+G56)</f>
        <v>1512847.422</v>
      </c>
      <c r="H58" s="189">
        <f t="shared" si="25"/>
        <v>657577.63000000012</v>
      </c>
      <c r="I58" s="189">
        <f>SUM(D58:H58)</f>
        <v>3205494.358</v>
      </c>
    </row>
    <row r="60" spans="2:10" x14ac:dyDescent="0.25">
      <c r="D60" s="183">
        <f>D58/52</f>
        <v>-1514.540346153846</v>
      </c>
      <c r="E60" s="183">
        <f>E58/52</f>
        <v>6234.2596538461557</v>
      </c>
      <c r="F60" s="183">
        <f t="shared" ref="F60:H60" si="26">F58/52</f>
        <v>15185.459653846159</v>
      </c>
      <c r="G60" s="183">
        <f t="shared" si="26"/>
        <v>29093.219653846154</v>
      </c>
      <c r="H60" s="183">
        <f t="shared" si="26"/>
        <v>12645.723653846157</v>
      </c>
    </row>
    <row r="61" spans="2:10" x14ac:dyDescent="0.25">
      <c r="D61" s="192">
        <f>D58/$I$58</f>
        <v>-2.4569095809963675E-2</v>
      </c>
      <c r="E61" s="192">
        <f t="shared" ref="E61:G61" si="27">E58/$I$58</f>
        <v>0.10113307521223223</v>
      </c>
      <c r="F61" s="192">
        <f t="shared" si="27"/>
        <v>0.24634075553097581</v>
      </c>
      <c r="G61" s="192">
        <f t="shared" si="27"/>
        <v>0.4719544797277101</v>
      </c>
      <c r="H61" s="192">
        <f>H58/$I$58</f>
        <v>0.2051407853390457</v>
      </c>
    </row>
    <row r="62" spans="2:10" x14ac:dyDescent="0.25">
      <c r="J62" s="277">
        <f>_xlfn.STDEV.S(D58:H58)</f>
        <v>591800.32677235082</v>
      </c>
    </row>
    <row r="63" spans="2:10" x14ac:dyDescent="0.25">
      <c r="C63" s="194"/>
      <c r="D63" s="194"/>
      <c r="E63" s="194"/>
      <c r="F63" s="194"/>
      <c r="G63" s="194"/>
      <c r="H63" s="194"/>
    </row>
    <row r="65" spans="3:7" x14ac:dyDescent="0.25">
      <c r="C65" s="391"/>
    </row>
    <row r="68" spans="3:7" x14ac:dyDescent="0.25">
      <c r="G68" s="183"/>
    </row>
    <row r="88" spans="8:8" x14ac:dyDescent="0.25">
      <c r="H88" s="277">
        <v>140121321</v>
      </c>
    </row>
    <row r="89" spans="8:8" x14ac:dyDescent="0.25">
      <c r="H89" s="277">
        <v>-12534844</v>
      </c>
    </row>
    <row r="90" spans="8:8" x14ac:dyDescent="0.25">
      <c r="H90" s="278">
        <f>(H88+H89)/2</f>
        <v>63793238.5</v>
      </c>
    </row>
  </sheetData>
  <phoneticPr fontId="2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B486-F941-4F0F-9A50-EAF5BF35C05B}">
  <sheetPr>
    <tabColor rgb="FFFFC000"/>
  </sheetPr>
  <dimension ref="B1:Z69"/>
  <sheetViews>
    <sheetView topLeftCell="A31" zoomScale="80" zoomScaleNormal="80" workbookViewId="0">
      <selection activeCell="Z36" sqref="Z36"/>
    </sheetView>
  </sheetViews>
  <sheetFormatPr defaultRowHeight="15" x14ac:dyDescent="0.25"/>
  <cols>
    <col min="2" max="2" width="45.5703125" bestFit="1" customWidth="1"/>
    <col min="3" max="5" width="3.7109375" customWidth="1"/>
    <col min="6" max="7" width="10.85546875" bestFit="1" customWidth="1"/>
    <col min="8" max="10" width="11.28515625" bestFit="1" customWidth="1"/>
    <col min="11" max="14" width="12.42578125" bestFit="1" customWidth="1"/>
    <col min="15" max="20" width="12.85546875" bestFit="1" customWidth="1"/>
    <col min="21" max="21" width="12.42578125" bestFit="1" customWidth="1"/>
    <col min="22" max="23" width="12.85546875" bestFit="1" customWidth="1"/>
    <col min="24" max="24" width="12.42578125" bestFit="1" customWidth="1"/>
    <col min="25" max="26" width="12.85546875" bestFit="1" customWidth="1"/>
  </cols>
  <sheetData>
    <row r="1" spans="2:26" s="1" customFormat="1" ht="11.25" x14ac:dyDescent="0.2">
      <c r="G1" s="213">
        <v>1</v>
      </c>
      <c r="H1" s="213">
        <v>1</v>
      </c>
      <c r="I1" s="213">
        <v>1</v>
      </c>
      <c r="J1" s="213">
        <v>1</v>
      </c>
      <c r="K1" s="213">
        <f>G1+1</f>
        <v>2</v>
      </c>
      <c r="L1" s="213">
        <f t="shared" ref="L1:Z1" si="0">H1+1</f>
        <v>2</v>
      </c>
      <c r="M1" s="213">
        <f t="shared" si="0"/>
        <v>2</v>
      </c>
      <c r="N1" s="213">
        <f t="shared" si="0"/>
        <v>2</v>
      </c>
      <c r="O1" s="213">
        <f t="shared" si="0"/>
        <v>3</v>
      </c>
      <c r="P1" s="213">
        <f t="shared" si="0"/>
        <v>3</v>
      </c>
      <c r="Q1" s="213">
        <f t="shared" si="0"/>
        <v>3</v>
      </c>
      <c r="R1" s="213">
        <f t="shared" si="0"/>
        <v>3</v>
      </c>
      <c r="S1" s="213">
        <f t="shared" si="0"/>
        <v>4</v>
      </c>
      <c r="T1" s="213">
        <f t="shared" si="0"/>
        <v>4</v>
      </c>
      <c r="U1" s="213">
        <f t="shared" si="0"/>
        <v>4</v>
      </c>
      <c r="V1" s="213">
        <f t="shared" si="0"/>
        <v>4</v>
      </c>
      <c r="W1" s="213">
        <f t="shared" si="0"/>
        <v>5</v>
      </c>
      <c r="X1" s="213">
        <f t="shared" si="0"/>
        <v>5</v>
      </c>
      <c r="Y1" s="213">
        <f t="shared" si="0"/>
        <v>5</v>
      </c>
      <c r="Z1" s="213">
        <f t="shared" si="0"/>
        <v>5</v>
      </c>
    </row>
    <row r="2" spans="2:26" s="1" customFormat="1" ht="11.25" x14ac:dyDescent="0.2">
      <c r="F2" s="197" t="s">
        <v>214</v>
      </c>
      <c r="G2" s="213" t="str">
        <f>"Year " &amp;G1</f>
        <v>Year 1</v>
      </c>
      <c r="H2" s="213" t="str">
        <f t="shared" ref="H2:K2" si="1">"Year " &amp;H1</f>
        <v>Year 1</v>
      </c>
      <c r="I2" s="213" t="str">
        <f t="shared" si="1"/>
        <v>Year 1</v>
      </c>
      <c r="J2" s="213" t="str">
        <f t="shared" si="1"/>
        <v>Year 1</v>
      </c>
      <c r="K2" s="213" t="str">
        <f t="shared" si="1"/>
        <v>Year 2</v>
      </c>
      <c r="L2" s="213" t="str">
        <f t="shared" ref="L2" si="2">"Year " &amp;L1</f>
        <v>Year 2</v>
      </c>
      <c r="M2" s="213" t="str">
        <f t="shared" ref="M2" si="3">"Year " &amp;M1</f>
        <v>Year 2</v>
      </c>
      <c r="N2" s="213" t="str">
        <f t="shared" ref="N2" si="4">"Year " &amp;N1</f>
        <v>Year 2</v>
      </c>
      <c r="O2" s="213" t="str">
        <f t="shared" ref="O2" si="5">"Year " &amp;O1</f>
        <v>Year 3</v>
      </c>
      <c r="P2" s="213" t="str">
        <f t="shared" ref="P2" si="6">"Year " &amp;P1</f>
        <v>Year 3</v>
      </c>
      <c r="Q2" s="213" t="str">
        <f t="shared" ref="Q2" si="7">"Year " &amp;Q1</f>
        <v>Year 3</v>
      </c>
      <c r="R2" s="213" t="str">
        <f t="shared" ref="R2" si="8">"Year " &amp;R1</f>
        <v>Year 3</v>
      </c>
      <c r="S2" s="213" t="str">
        <f t="shared" ref="S2" si="9">"Year " &amp;S1</f>
        <v>Year 4</v>
      </c>
      <c r="T2" s="213" t="str">
        <f t="shared" ref="T2" si="10">"Year " &amp;T1</f>
        <v>Year 4</v>
      </c>
      <c r="U2" s="213" t="str">
        <f t="shared" ref="U2" si="11">"Year " &amp;U1</f>
        <v>Year 4</v>
      </c>
      <c r="V2" s="213" t="str">
        <f t="shared" ref="V2" si="12">"Year " &amp;V1</f>
        <v>Year 4</v>
      </c>
      <c r="W2" s="213" t="str">
        <f t="shared" ref="W2" si="13">"Year " &amp;W1</f>
        <v>Year 5</v>
      </c>
      <c r="X2" s="213" t="str">
        <f t="shared" ref="X2" si="14">"Year " &amp;X1</f>
        <v>Year 5</v>
      </c>
      <c r="Y2" s="213" t="str">
        <f t="shared" ref="Y2" si="15">"Year " &amp;Y1</f>
        <v>Year 5</v>
      </c>
      <c r="Z2" s="213" t="str">
        <f t="shared" ref="Z2" si="16">"Year " &amp;Z1</f>
        <v>Year 5</v>
      </c>
    </row>
    <row r="3" spans="2:26" x14ac:dyDescent="0.25">
      <c r="B3" t="s">
        <v>207</v>
      </c>
    </row>
    <row r="4" spans="2:26" x14ac:dyDescent="0.25">
      <c r="B4" t="s">
        <v>213</v>
      </c>
    </row>
    <row r="7" spans="2:26" x14ac:dyDescent="0.25">
      <c r="G7" s="199" t="s">
        <v>6</v>
      </c>
      <c r="H7" s="199"/>
      <c r="I7" s="199"/>
      <c r="J7" s="199"/>
      <c r="K7" s="199" t="s">
        <v>7</v>
      </c>
      <c r="L7" s="199"/>
      <c r="M7" s="199"/>
      <c r="N7" s="199"/>
      <c r="O7" s="199" t="s">
        <v>8</v>
      </c>
      <c r="P7" s="199"/>
      <c r="Q7" s="199"/>
      <c r="R7" s="199"/>
      <c r="S7" s="199" t="s">
        <v>9</v>
      </c>
      <c r="T7" s="199"/>
      <c r="U7" s="199"/>
      <c r="V7" s="199"/>
      <c r="W7" s="199" t="s">
        <v>10</v>
      </c>
      <c r="X7" s="199"/>
      <c r="Y7" s="199"/>
      <c r="Z7" s="199"/>
    </row>
    <row r="8" spans="2:26" x14ac:dyDescent="0.25">
      <c r="F8" s="194" t="s">
        <v>210</v>
      </c>
      <c r="G8" s="200" t="s">
        <v>11</v>
      </c>
      <c r="H8" s="200" t="s">
        <v>12</v>
      </c>
      <c r="I8" s="200" t="s">
        <v>13</v>
      </c>
      <c r="J8" s="200" t="s">
        <v>14</v>
      </c>
      <c r="K8" s="200" t="s">
        <v>11</v>
      </c>
      <c r="L8" s="200" t="s">
        <v>12</v>
      </c>
      <c r="M8" s="200" t="s">
        <v>13</v>
      </c>
      <c r="N8" s="200" t="s">
        <v>14</v>
      </c>
      <c r="O8" s="200" t="s">
        <v>11</v>
      </c>
      <c r="P8" s="200" t="s">
        <v>12</v>
      </c>
      <c r="Q8" s="200" t="s">
        <v>13</v>
      </c>
      <c r="R8" s="200" t="s">
        <v>14</v>
      </c>
      <c r="S8" s="200" t="s">
        <v>11</v>
      </c>
      <c r="T8" s="200" t="s">
        <v>12</v>
      </c>
      <c r="U8" s="200" t="s">
        <v>13</v>
      </c>
      <c r="V8" s="200" t="s">
        <v>14</v>
      </c>
      <c r="W8" s="200" t="s">
        <v>11</v>
      </c>
      <c r="X8" s="200" t="s">
        <v>12</v>
      </c>
      <c r="Y8" s="200" t="s">
        <v>13</v>
      </c>
      <c r="Z8" s="200" t="s">
        <v>14</v>
      </c>
    </row>
    <row r="9" spans="2:26" x14ac:dyDescent="0.25">
      <c r="B9" t="s">
        <v>215</v>
      </c>
      <c r="G9" s="215">
        <v>5</v>
      </c>
      <c r="H9" s="194">
        <f>G11</f>
        <v>6</v>
      </c>
      <c r="I9" s="194">
        <f t="shared" ref="I9:Z9" si="17">H11</f>
        <v>8</v>
      </c>
      <c r="J9" s="194">
        <f t="shared" si="17"/>
        <v>10</v>
      </c>
      <c r="K9" s="194">
        <f t="shared" si="17"/>
        <v>11</v>
      </c>
      <c r="L9" s="194">
        <f t="shared" si="17"/>
        <v>12</v>
      </c>
      <c r="M9" s="194">
        <f t="shared" si="17"/>
        <v>14</v>
      </c>
      <c r="N9" s="194">
        <f t="shared" si="17"/>
        <v>16</v>
      </c>
      <c r="O9" s="194">
        <f t="shared" si="17"/>
        <v>17</v>
      </c>
      <c r="P9" s="194">
        <f t="shared" si="17"/>
        <v>18</v>
      </c>
      <c r="Q9" s="194">
        <f t="shared" si="17"/>
        <v>20</v>
      </c>
      <c r="R9" s="194">
        <f t="shared" si="17"/>
        <v>22</v>
      </c>
      <c r="S9" s="194">
        <f t="shared" si="17"/>
        <v>23</v>
      </c>
      <c r="T9" s="194">
        <f t="shared" si="17"/>
        <v>24</v>
      </c>
      <c r="U9" s="194">
        <f t="shared" si="17"/>
        <v>26</v>
      </c>
      <c r="V9" s="194">
        <f t="shared" si="17"/>
        <v>28</v>
      </c>
      <c r="W9" s="194">
        <f t="shared" si="17"/>
        <v>29</v>
      </c>
      <c r="X9" s="194">
        <f t="shared" si="17"/>
        <v>30</v>
      </c>
      <c r="Y9" s="194">
        <f t="shared" si="17"/>
        <v>32</v>
      </c>
      <c r="Z9" s="194">
        <f t="shared" si="17"/>
        <v>34</v>
      </c>
    </row>
    <row r="10" spans="2:26" x14ac:dyDescent="0.25">
      <c r="B10" t="s">
        <v>216</v>
      </c>
      <c r="G10" s="214">
        <f t="shared" ref="G10:Z10" si="18">INDEX(ScheduleTable,MATCH(G$8,ScheduleRow,0),MATCH(G$2,ScheduleColumn,0))</f>
        <v>1</v>
      </c>
      <c r="H10" s="214">
        <f t="shared" si="18"/>
        <v>2</v>
      </c>
      <c r="I10" s="214">
        <f t="shared" si="18"/>
        <v>2</v>
      </c>
      <c r="J10" s="214">
        <f t="shared" si="18"/>
        <v>1</v>
      </c>
      <c r="K10" s="214">
        <f t="shared" si="18"/>
        <v>1</v>
      </c>
      <c r="L10" s="214">
        <f t="shared" si="18"/>
        <v>2</v>
      </c>
      <c r="M10" s="214">
        <f t="shared" si="18"/>
        <v>2</v>
      </c>
      <c r="N10" s="214">
        <f t="shared" si="18"/>
        <v>1</v>
      </c>
      <c r="O10" s="214">
        <f t="shared" si="18"/>
        <v>1</v>
      </c>
      <c r="P10" s="214">
        <f t="shared" si="18"/>
        <v>2</v>
      </c>
      <c r="Q10" s="214">
        <f t="shared" si="18"/>
        <v>2</v>
      </c>
      <c r="R10" s="214">
        <f t="shared" si="18"/>
        <v>1</v>
      </c>
      <c r="S10" s="214">
        <f t="shared" si="18"/>
        <v>1</v>
      </c>
      <c r="T10" s="214">
        <f t="shared" si="18"/>
        <v>2</v>
      </c>
      <c r="U10" s="214">
        <f t="shared" si="18"/>
        <v>2</v>
      </c>
      <c r="V10" s="214">
        <f t="shared" si="18"/>
        <v>1</v>
      </c>
      <c r="W10" s="214">
        <f t="shared" si="18"/>
        <v>1</v>
      </c>
      <c r="X10" s="214">
        <f t="shared" si="18"/>
        <v>2</v>
      </c>
      <c r="Y10" s="214">
        <f t="shared" si="18"/>
        <v>2</v>
      </c>
      <c r="Z10" s="214">
        <f t="shared" si="18"/>
        <v>1</v>
      </c>
    </row>
    <row r="11" spans="2:26" x14ac:dyDescent="0.25">
      <c r="B11" s="164" t="s">
        <v>217</v>
      </c>
      <c r="G11" s="216">
        <f>G9+G10</f>
        <v>6</v>
      </c>
      <c r="H11" s="216">
        <f>H9+H10</f>
        <v>8</v>
      </c>
      <c r="I11" s="216">
        <f t="shared" ref="I11:Z11" si="19">I9+I10</f>
        <v>10</v>
      </c>
      <c r="J11" s="216">
        <f t="shared" si="19"/>
        <v>11</v>
      </c>
      <c r="K11" s="216">
        <f t="shared" si="19"/>
        <v>12</v>
      </c>
      <c r="L11" s="216">
        <f t="shared" si="19"/>
        <v>14</v>
      </c>
      <c r="M11" s="216">
        <f t="shared" si="19"/>
        <v>16</v>
      </c>
      <c r="N11" s="216">
        <f t="shared" si="19"/>
        <v>17</v>
      </c>
      <c r="O11" s="216">
        <f t="shared" si="19"/>
        <v>18</v>
      </c>
      <c r="P11" s="216">
        <f t="shared" si="19"/>
        <v>20</v>
      </c>
      <c r="Q11" s="216">
        <f t="shared" si="19"/>
        <v>22</v>
      </c>
      <c r="R11" s="216">
        <f t="shared" si="19"/>
        <v>23</v>
      </c>
      <c r="S11" s="216">
        <f t="shared" si="19"/>
        <v>24</v>
      </c>
      <c r="T11" s="216">
        <f t="shared" si="19"/>
        <v>26</v>
      </c>
      <c r="U11" s="216">
        <f t="shared" si="19"/>
        <v>28</v>
      </c>
      <c r="V11" s="216">
        <f t="shared" si="19"/>
        <v>29</v>
      </c>
      <c r="W11" s="216">
        <f t="shared" si="19"/>
        <v>30</v>
      </c>
      <c r="X11" s="216">
        <f t="shared" si="19"/>
        <v>32</v>
      </c>
      <c r="Y11" s="216">
        <f t="shared" si="19"/>
        <v>34</v>
      </c>
      <c r="Z11" s="216">
        <f t="shared" si="19"/>
        <v>35</v>
      </c>
    </row>
    <row r="13" spans="2:26" x14ac:dyDescent="0.25">
      <c r="B13" s="194" t="s">
        <v>218</v>
      </c>
    </row>
    <row r="14" spans="2:26" x14ac:dyDescent="0.25">
      <c r="B14" s="217">
        <v>1</v>
      </c>
      <c r="C14" s="218"/>
      <c r="D14" s="218"/>
      <c r="E14" s="218"/>
      <c r="F14" s="218"/>
      <c r="G14" s="219">
        <f t="shared" ref="G14:Z14" si="20">INDEX(ScheduleTable,MATCH(G$8,ScheduleRow,0),MATCH(G$2,ScheduleColumn,0))</f>
        <v>1</v>
      </c>
      <c r="H14" s="219">
        <f t="shared" si="20"/>
        <v>2</v>
      </c>
      <c r="I14" s="219">
        <f t="shared" si="20"/>
        <v>2</v>
      </c>
      <c r="J14" s="219">
        <f t="shared" si="20"/>
        <v>1</v>
      </c>
      <c r="K14" s="219">
        <f t="shared" si="20"/>
        <v>1</v>
      </c>
      <c r="L14" s="219">
        <f t="shared" si="20"/>
        <v>2</v>
      </c>
      <c r="M14" s="219">
        <f t="shared" si="20"/>
        <v>2</v>
      </c>
      <c r="N14" s="219">
        <f t="shared" si="20"/>
        <v>1</v>
      </c>
      <c r="O14" s="219">
        <f t="shared" si="20"/>
        <v>1</v>
      </c>
      <c r="P14" s="219">
        <f t="shared" si="20"/>
        <v>2</v>
      </c>
      <c r="Q14" s="219">
        <f t="shared" si="20"/>
        <v>2</v>
      </c>
      <c r="R14" s="219">
        <f t="shared" si="20"/>
        <v>1</v>
      </c>
      <c r="S14" s="219">
        <f t="shared" si="20"/>
        <v>1</v>
      </c>
      <c r="T14" s="219">
        <f t="shared" si="20"/>
        <v>2</v>
      </c>
      <c r="U14" s="219">
        <f t="shared" si="20"/>
        <v>2</v>
      </c>
      <c r="V14" s="219">
        <f t="shared" si="20"/>
        <v>1</v>
      </c>
      <c r="W14" s="219">
        <f t="shared" si="20"/>
        <v>1</v>
      </c>
      <c r="X14" s="219">
        <f t="shared" si="20"/>
        <v>2</v>
      </c>
      <c r="Y14" s="219">
        <f t="shared" si="20"/>
        <v>2</v>
      </c>
      <c r="Z14" s="219">
        <f t="shared" si="20"/>
        <v>1</v>
      </c>
    </row>
    <row r="15" spans="2:26" x14ac:dyDescent="0.25">
      <c r="B15" s="217">
        <v>2</v>
      </c>
      <c r="C15" s="218"/>
      <c r="D15" s="218"/>
      <c r="E15" s="218"/>
      <c r="F15" s="218"/>
      <c r="G15" s="220"/>
      <c r="H15" s="221">
        <f ca="1">OFFSET(H15,-1,-1)</f>
        <v>1</v>
      </c>
      <c r="I15" s="221">
        <f t="shared" ref="I15:Z29" ca="1" si="21">OFFSET(I15,-1,-1)</f>
        <v>2</v>
      </c>
      <c r="J15" s="221">
        <f t="shared" ca="1" si="21"/>
        <v>2</v>
      </c>
      <c r="K15" s="221">
        <f t="shared" ca="1" si="21"/>
        <v>1</v>
      </c>
      <c r="L15" s="221">
        <f t="shared" ca="1" si="21"/>
        <v>1</v>
      </c>
      <c r="M15" s="221">
        <f t="shared" ca="1" si="21"/>
        <v>2</v>
      </c>
      <c r="N15" s="221">
        <f t="shared" ca="1" si="21"/>
        <v>2</v>
      </c>
      <c r="O15" s="221">
        <f t="shared" ca="1" si="21"/>
        <v>1</v>
      </c>
      <c r="P15" s="221">
        <f t="shared" ca="1" si="21"/>
        <v>1</v>
      </c>
      <c r="Q15" s="221">
        <f t="shared" ca="1" si="21"/>
        <v>2</v>
      </c>
      <c r="R15" s="221">
        <f t="shared" ca="1" si="21"/>
        <v>2</v>
      </c>
      <c r="S15" s="221">
        <f t="shared" ca="1" si="21"/>
        <v>1</v>
      </c>
      <c r="T15" s="221">
        <f t="shared" ca="1" si="21"/>
        <v>1</v>
      </c>
      <c r="U15" s="221">
        <f t="shared" ca="1" si="21"/>
        <v>2</v>
      </c>
      <c r="V15" s="221">
        <f t="shared" ca="1" si="21"/>
        <v>2</v>
      </c>
      <c r="W15" s="221">
        <f t="shared" ca="1" si="21"/>
        <v>1</v>
      </c>
      <c r="X15" s="221">
        <f t="shared" ca="1" si="21"/>
        <v>1</v>
      </c>
      <c r="Y15" s="221">
        <f t="shared" ca="1" si="21"/>
        <v>2</v>
      </c>
      <c r="Z15" s="221">
        <f t="shared" ca="1" si="21"/>
        <v>2</v>
      </c>
    </row>
    <row r="16" spans="2:26" x14ac:dyDescent="0.25">
      <c r="B16" s="217">
        <v>3</v>
      </c>
      <c r="C16" s="218"/>
      <c r="D16" s="218"/>
      <c r="E16" s="218"/>
      <c r="F16" s="218"/>
      <c r="G16" s="220"/>
      <c r="H16" s="221">
        <f t="shared" ref="H16:W33" ca="1" si="22">OFFSET(H16,-1,-1)</f>
        <v>0</v>
      </c>
      <c r="I16" s="221">
        <f t="shared" ca="1" si="21"/>
        <v>1</v>
      </c>
      <c r="J16" s="221">
        <f t="shared" ca="1" si="21"/>
        <v>2</v>
      </c>
      <c r="K16" s="221">
        <f t="shared" ca="1" si="21"/>
        <v>2</v>
      </c>
      <c r="L16" s="221">
        <f t="shared" ca="1" si="21"/>
        <v>1</v>
      </c>
      <c r="M16" s="221">
        <f t="shared" ca="1" si="21"/>
        <v>1</v>
      </c>
      <c r="N16" s="221">
        <f t="shared" ca="1" si="21"/>
        <v>2</v>
      </c>
      <c r="O16" s="221">
        <f t="shared" ca="1" si="21"/>
        <v>2</v>
      </c>
      <c r="P16" s="221">
        <f t="shared" ca="1" si="21"/>
        <v>1</v>
      </c>
      <c r="Q16" s="221">
        <f t="shared" ca="1" si="21"/>
        <v>1</v>
      </c>
      <c r="R16" s="221">
        <f t="shared" ca="1" si="21"/>
        <v>2</v>
      </c>
      <c r="S16" s="221">
        <f t="shared" ca="1" si="21"/>
        <v>2</v>
      </c>
      <c r="T16" s="221">
        <f t="shared" ca="1" si="21"/>
        <v>1</v>
      </c>
      <c r="U16" s="221">
        <f t="shared" ca="1" si="21"/>
        <v>1</v>
      </c>
      <c r="V16" s="221">
        <f t="shared" ca="1" si="21"/>
        <v>2</v>
      </c>
      <c r="W16" s="221">
        <f t="shared" ca="1" si="21"/>
        <v>2</v>
      </c>
      <c r="X16" s="221">
        <f t="shared" ca="1" si="21"/>
        <v>1</v>
      </c>
      <c r="Y16" s="221">
        <f t="shared" ca="1" si="21"/>
        <v>1</v>
      </c>
      <c r="Z16" s="221">
        <f t="shared" ca="1" si="21"/>
        <v>2</v>
      </c>
    </row>
    <row r="17" spans="2:26" x14ac:dyDescent="0.25">
      <c r="B17" s="217">
        <v>4</v>
      </c>
      <c r="C17" s="218"/>
      <c r="D17" s="218"/>
      <c r="E17" s="218"/>
      <c r="F17" s="218"/>
      <c r="G17" s="220"/>
      <c r="H17" s="221">
        <f t="shared" ca="1" si="22"/>
        <v>0</v>
      </c>
      <c r="I17" s="221">
        <f t="shared" ca="1" si="21"/>
        <v>0</v>
      </c>
      <c r="J17" s="221">
        <f t="shared" ca="1" si="21"/>
        <v>1</v>
      </c>
      <c r="K17" s="221">
        <f t="shared" ca="1" si="21"/>
        <v>2</v>
      </c>
      <c r="L17" s="221">
        <f t="shared" ca="1" si="21"/>
        <v>2</v>
      </c>
      <c r="M17" s="221">
        <f t="shared" ca="1" si="21"/>
        <v>1</v>
      </c>
      <c r="N17" s="221">
        <f t="shared" ca="1" si="21"/>
        <v>1</v>
      </c>
      <c r="O17" s="221">
        <f t="shared" ca="1" si="21"/>
        <v>2</v>
      </c>
      <c r="P17" s="221">
        <f t="shared" ca="1" si="21"/>
        <v>2</v>
      </c>
      <c r="Q17" s="221">
        <f t="shared" ca="1" si="21"/>
        <v>1</v>
      </c>
      <c r="R17" s="221">
        <f t="shared" ca="1" si="21"/>
        <v>1</v>
      </c>
      <c r="S17" s="221">
        <f t="shared" ca="1" si="21"/>
        <v>2</v>
      </c>
      <c r="T17" s="221">
        <f t="shared" ca="1" si="21"/>
        <v>2</v>
      </c>
      <c r="U17" s="221">
        <f t="shared" ca="1" si="21"/>
        <v>1</v>
      </c>
      <c r="V17" s="221">
        <f t="shared" ca="1" si="21"/>
        <v>1</v>
      </c>
      <c r="W17" s="221">
        <f t="shared" ca="1" si="21"/>
        <v>2</v>
      </c>
      <c r="X17" s="221">
        <f t="shared" ca="1" si="21"/>
        <v>2</v>
      </c>
      <c r="Y17" s="221">
        <f t="shared" ca="1" si="21"/>
        <v>1</v>
      </c>
      <c r="Z17" s="221">
        <f t="shared" ca="1" si="21"/>
        <v>1</v>
      </c>
    </row>
    <row r="18" spans="2:26" x14ac:dyDescent="0.25">
      <c r="B18" s="217">
        <v>5</v>
      </c>
      <c r="C18" s="218"/>
      <c r="D18" s="218"/>
      <c r="E18" s="218"/>
      <c r="F18" s="218"/>
      <c r="G18" s="220"/>
      <c r="H18" s="221">
        <f t="shared" ca="1" si="22"/>
        <v>0</v>
      </c>
      <c r="I18" s="221">
        <f t="shared" ca="1" si="21"/>
        <v>0</v>
      </c>
      <c r="J18" s="221">
        <f t="shared" ca="1" si="21"/>
        <v>0</v>
      </c>
      <c r="K18" s="221">
        <f t="shared" ca="1" si="21"/>
        <v>1</v>
      </c>
      <c r="L18" s="221">
        <f t="shared" ca="1" si="21"/>
        <v>2</v>
      </c>
      <c r="M18" s="221">
        <f t="shared" ca="1" si="21"/>
        <v>2</v>
      </c>
      <c r="N18" s="221">
        <f t="shared" ca="1" si="21"/>
        <v>1</v>
      </c>
      <c r="O18" s="221">
        <f t="shared" ca="1" si="21"/>
        <v>1</v>
      </c>
      <c r="P18" s="221">
        <f t="shared" ca="1" si="21"/>
        <v>2</v>
      </c>
      <c r="Q18" s="221">
        <f t="shared" ca="1" si="21"/>
        <v>2</v>
      </c>
      <c r="R18" s="221">
        <f t="shared" ca="1" si="21"/>
        <v>1</v>
      </c>
      <c r="S18" s="221">
        <f t="shared" ca="1" si="21"/>
        <v>1</v>
      </c>
      <c r="T18" s="221">
        <f t="shared" ca="1" si="21"/>
        <v>2</v>
      </c>
      <c r="U18" s="221">
        <f t="shared" ca="1" si="21"/>
        <v>2</v>
      </c>
      <c r="V18" s="221">
        <f t="shared" ca="1" si="21"/>
        <v>1</v>
      </c>
      <c r="W18" s="221">
        <f t="shared" ca="1" si="21"/>
        <v>1</v>
      </c>
      <c r="X18" s="221">
        <f t="shared" ca="1" si="21"/>
        <v>2</v>
      </c>
      <c r="Y18" s="221">
        <f t="shared" ca="1" si="21"/>
        <v>2</v>
      </c>
      <c r="Z18" s="221">
        <f t="shared" ca="1" si="21"/>
        <v>1</v>
      </c>
    </row>
    <row r="19" spans="2:26" x14ac:dyDescent="0.25">
      <c r="B19" s="217">
        <v>6</v>
      </c>
      <c r="C19" s="218"/>
      <c r="D19" s="218"/>
      <c r="E19" s="218"/>
      <c r="F19" s="218"/>
      <c r="G19" s="220"/>
      <c r="H19" s="221">
        <f t="shared" ca="1" si="22"/>
        <v>0</v>
      </c>
      <c r="I19" s="221">
        <f t="shared" ca="1" si="21"/>
        <v>0</v>
      </c>
      <c r="J19" s="221">
        <f t="shared" ca="1" si="21"/>
        <v>0</v>
      </c>
      <c r="K19" s="221">
        <f t="shared" ca="1" si="21"/>
        <v>0</v>
      </c>
      <c r="L19" s="221">
        <f t="shared" ca="1" si="21"/>
        <v>1</v>
      </c>
      <c r="M19" s="221">
        <f t="shared" ca="1" si="21"/>
        <v>2</v>
      </c>
      <c r="N19" s="221">
        <f t="shared" ca="1" si="21"/>
        <v>2</v>
      </c>
      <c r="O19" s="221">
        <f t="shared" ca="1" si="21"/>
        <v>1</v>
      </c>
      <c r="P19" s="221">
        <f t="shared" ca="1" si="21"/>
        <v>1</v>
      </c>
      <c r="Q19" s="221">
        <f t="shared" ca="1" si="21"/>
        <v>2</v>
      </c>
      <c r="R19" s="221">
        <f t="shared" ca="1" si="21"/>
        <v>2</v>
      </c>
      <c r="S19" s="221">
        <f t="shared" ca="1" si="21"/>
        <v>1</v>
      </c>
      <c r="T19" s="221">
        <f t="shared" ca="1" si="21"/>
        <v>1</v>
      </c>
      <c r="U19" s="221">
        <f t="shared" ca="1" si="21"/>
        <v>2</v>
      </c>
      <c r="V19" s="221">
        <f t="shared" ca="1" si="21"/>
        <v>2</v>
      </c>
      <c r="W19" s="221">
        <f t="shared" ca="1" si="21"/>
        <v>1</v>
      </c>
      <c r="X19" s="221">
        <f t="shared" ca="1" si="21"/>
        <v>1</v>
      </c>
      <c r="Y19" s="221">
        <f t="shared" ca="1" si="21"/>
        <v>2</v>
      </c>
      <c r="Z19" s="221">
        <f t="shared" ca="1" si="21"/>
        <v>2</v>
      </c>
    </row>
    <row r="20" spans="2:26" x14ac:dyDescent="0.25">
      <c r="B20" s="217">
        <v>7</v>
      </c>
      <c r="C20" s="218"/>
      <c r="D20" s="218"/>
      <c r="E20" s="218"/>
      <c r="F20" s="218"/>
      <c r="G20" s="220"/>
      <c r="H20" s="221">
        <f t="shared" ca="1" si="22"/>
        <v>0</v>
      </c>
      <c r="I20" s="221">
        <f t="shared" ca="1" si="21"/>
        <v>0</v>
      </c>
      <c r="J20" s="221">
        <f t="shared" ca="1" si="21"/>
        <v>0</v>
      </c>
      <c r="K20" s="221">
        <f t="shared" ca="1" si="21"/>
        <v>0</v>
      </c>
      <c r="L20" s="221">
        <f t="shared" ca="1" si="21"/>
        <v>0</v>
      </c>
      <c r="M20" s="221">
        <f t="shared" ca="1" si="21"/>
        <v>1</v>
      </c>
      <c r="N20" s="221">
        <f t="shared" ca="1" si="21"/>
        <v>2</v>
      </c>
      <c r="O20" s="221">
        <f t="shared" ca="1" si="21"/>
        <v>2</v>
      </c>
      <c r="P20" s="221">
        <f t="shared" ca="1" si="21"/>
        <v>1</v>
      </c>
      <c r="Q20" s="221">
        <f t="shared" ca="1" si="21"/>
        <v>1</v>
      </c>
      <c r="R20" s="221">
        <f t="shared" ca="1" si="21"/>
        <v>2</v>
      </c>
      <c r="S20" s="221">
        <f t="shared" ca="1" si="21"/>
        <v>2</v>
      </c>
      <c r="T20" s="221">
        <f t="shared" ca="1" si="21"/>
        <v>1</v>
      </c>
      <c r="U20" s="221">
        <f t="shared" ca="1" si="21"/>
        <v>1</v>
      </c>
      <c r="V20" s="221">
        <f t="shared" ca="1" si="21"/>
        <v>2</v>
      </c>
      <c r="W20" s="221">
        <f t="shared" ca="1" si="21"/>
        <v>2</v>
      </c>
      <c r="X20" s="221">
        <f t="shared" ca="1" si="21"/>
        <v>1</v>
      </c>
      <c r="Y20" s="221">
        <f t="shared" ca="1" si="21"/>
        <v>1</v>
      </c>
      <c r="Z20" s="221">
        <f t="shared" ca="1" si="21"/>
        <v>2</v>
      </c>
    </row>
    <row r="21" spans="2:26" x14ac:dyDescent="0.25">
      <c r="B21" s="217">
        <v>8</v>
      </c>
      <c r="C21" s="218"/>
      <c r="D21" s="218"/>
      <c r="E21" s="218"/>
      <c r="F21" s="218"/>
      <c r="G21" s="220"/>
      <c r="H21" s="221">
        <f t="shared" ca="1" si="22"/>
        <v>0</v>
      </c>
      <c r="I21" s="221">
        <f t="shared" ca="1" si="21"/>
        <v>0</v>
      </c>
      <c r="J21" s="221">
        <f t="shared" ca="1" si="21"/>
        <v>0</v>
      </c>
      <c r="K21" s="221">
        <f t="shared" ca="1" si="21"/>
        <v>0</v>
      </c>
      <c r="L21" s="221">
        <f t="shared" ca="1" si="21"/>
        <v>0</v>
      </c>
      <c r="M21" s="221">
        <f t="shared" ca="1" si="21"/>
        <v>0</v>
      </c>
      <c r="N21" s="221">
        <f t="shared" ca="1" si="21"/>
        <v>1</v>
      </c>
      <c r="O21" s="221">
        <f t="shared" ca="1" si="21"/>
        <v>2</v>
      </c>
      <c r="P21" s="221">
        <f t="shared" ca="1" si="21"/>
        <v>2</v>
      </c>
      <c r="Q21" s="221">
        <f t="shared" ca="1" si="21"/>
        <v>1</v>
      </c>
      <c r="R21" s="221">
        <f t="shared" ca="1" si="21"/>
        <v>1</v>
      </c>
      <c r="S21" s="221">
        <f t="shared" ca="1" si="21"/>
        <v>2</v>
      </c>
      <c r="T21" s="221">
        <f t="shared" ca="1" si="21"/>
        <v>2</v>
      </c>
      <c r="U21" s="221">
        <f t="shared" ca="1" si="21"/>
        <v>1</v>
      </c>
      <c r="V21" s="221">
        <f t="shared" ca="1" si="21"/>
        <v>1</v>
      </c>
      <c r="W21" s="221">
        <f t="shared" ca="1" si="21"/>
        <v>2</v>
      </c>
      <c r="X21" s="221">
        <f t="shared" ca="1" si="21"/>
        <v>2</v>
      </c>
      <c r="Y21" s="221">
        <f t="shared" ca="1" si="21"/>
        <v>1</v>
      </c>
      <c r="Z21" s="221">
        <f t="shared" ca="1" si="21"/>
        <v>1</v>
      </c>
    </row>
    <row r="22" spans="2:26" x14ac:dyDescent="0.25">
      <c r="B22" s="217">
        <v>9</v>
      </c>
      <c r="C22" s="218"/>
      <c r="D22" s="218"/>
      <c r="E22" s="218"/>
      <c r="F22" s="218"/>
      <c r="G22" s="220"/>
      <c r="H22" s="221">
        <f t="shared" ca="1" si="22"/>
        <v>0</v>
      </c>
      <c r="I22" s="221">
        <f t="shared" ca="1" si="21"/>
        <v>0</v>
      </c>
      <c r="J22" s="221">
        <f t="shared" ca="1" si="21"/>
        <v>0</v>
      </c>
      <c r="K22" s="221">
        <f t="shared" ca="1" si="21"/>
        <v>0</v>
      </c>
      <c r="L22" s="221">
        <f t="shared" ca="1" si="21"/>
        <v>0</v>
      </c>
      <c r="M22" s="221">
        <f t="shared" ca="1" si="21"/>
        <v>0</v>
      </c>
      <c r="N22" s="221">
        <f t="shared" ca="1" si="21"/>
        <v>0</v>
      </c>
      <c r="O22" s="221">
        <f t="shared" ca="1" si="21"/>
        <v>1</v>
      </c>
      <c r="P22" s="221">
        <f t="shared" ca="1" si="21"/>
        <v>2</v>
      </c>
      <c r="Q22" s="221">
        <f t="shared" ca="1" si="21"/>
        <v>2</v>
      </c>
      <c r="R22" s="221">
        <f t="shared" ca="1" si="21"/>
        <v>1</v>
      </c>
      <c r="S22" s="221">
        <f t="shared" ca="1" si="21"/>
        <v>1</v>
      </c>
      <c r="T22" s="221">
        <f t="shared" ca="1" si="21"/>
        <v>2</v>
      </c>
      <c r="U22" s="221">
        <f t="shared" ca="1" si="21"/>
        <v>2</v>
      </c>
      <c r="V22" s="221">
        <f t="shared" ca="1" si="21"/>
        <v>1</v>
      </c>
      <c r="W22" s="221">
        <f t="shared" ca="1" si="21"/>
        <v>1</v>
      </c>
      <c r="X22" s="221">
        <f t="shared" ca="1" si="21"/>
        <v>2</v>
      </c>
      <c r="Y22" s="221">
        <f t="shared" ca="1" si="21"/>
        <v>2</v>
      </c>
      <c r="Z22" s="221">
        <f t="shared" ca="1" si="21"/>
        <v>1</v>
      </c>
    </row>
    <row r="23" spans="2:26" x14ac:dyDescent="0.25">
      <c r="B23" s="217">
        <v>10</v>
      </c>
      <c r="C23" s="218"/>
      <c r="D23" s="218"/>
      <c r="E23" s="218"/>
      <c r="F23" s="218"/>
      <c r="G23" s="220"/>
      <c r="H23" s="221">
        <f t="shared" ca="1" si="22"/>
        <v>0</v>
      </c>
      <c r="I23" s="221">
        <f t="shared" ca="1" si="21"/>
        <v>0</v>
      </c>
      <c r="J23" s="221">
        <f t="shared" ca="1" si="21"/>
        <v>0</v>
      </c>
      <c r="K23" s="221">
        <f t="shared" ca="1" si="21"/>
        <v>0</v>
      </c>
      <c r="L23" s="221">
        <f t="shared" ca="1" si="21"/>
        <v>0</v>
      </c>
      <c r="M23" s="221">
        <f t="shared" ca="1" si="21"/>
        <v>0</v>
      </c>
      <c r="N23" s="221">
        <f t="shared" ca="1" si="21"/>
        <v>0</v>
      </c>
      <c r="O23" s="221">
        <f t="shared" ca="1" si="21"/>
        <v>0</v>
      </c>
      <c r="P23" s="221">
        <f t="shared" ca="1" si="21"/>
        <v>1</v>
      </c>
      <c r="Q23" s="221">
        <f t="shared" ca="1" si="21"/>
        <v>2</v>
      </c>
      <c r="R23" s="221">
        <f t="shared" ca="1" si="21"/>
        <v>2</v>
      </c>
      <c r="S23" s="221">
        <f t="shared" ca="1" si="21"/>
        <v>1</v>
      </c>
      <c r="T23" s="221">
        <f t="shared" ca="1" si="21"/>
        <v>1</v>
      </c>
      <c r="U23" s="221">
        <f t="shared" ca="1" si="21"/>
        <v>2</v>
      </c>
      <c r="V23" s="221">
        <f t="shared" ca="1" si="21"/>
        <v>2</v>
      </c>
      <c r="W23" s="221">
        <f t="shared" ca="1" si="21"/>
        <v>1</v>
      </c>
      <c r="X23" s="221">
        <f t="shared" ca="1" si="21"/>
        <v>1</v>
      </c>
      <c r="Y23" s="221">
        <f t="shared" ca="1" si="21"/>
        <v>2</v>
      </c>
      <c r="Z23" s="221">
        <f t="shared" ca="1" si="21"/>
        <v>2</v>
      </c>
    </row>
    <row r="24" spans="2:26" x14ac:dyDescent="0.25">
      <c r="B24" s="217">
        <v>11</v>
      </c>
      <c r="C24" s="218"/>
      <c r="D24" s="218"/>
      <c r="E24" s="218"/>
      <c r="F24" s="218"/>
      <c r="G24" s="220"/>
      <c r="H24" s="221">
        <f t="shared" ca="1" si="22"/>
        <v>0</v>
      </c>
      <c r="I24" s="221">
        <f t="shared" ca="1" si="21"/>
        <v>0</v>
      </c>
      <c r="J24" s="221">
        <f t="shared" ca="1" si="21"/>
        <v>0</v>
      </c>
      <c r="K24" s="221">
        <f t="shared" ca="1" si="21"/>
        <v>0</v>
      </c>
      <c r="L24" s="221">
        <f t="shared" ca="1" si="21"/>
        <v>0</v>
      </c>
      <c r="M24" s="221">
        <f t="shared" ca="1" si="21"/>
        <v>0</v>
      </c>
      <c r="N24" s="221">
        <f t="shared" ca="1" si="21"/>
        <v>0</v>
      </c>
      <c r="O24" s="221">
        <f t="shared" ca="1" si="21"/>
        <v>0</v>
      </c>
      <c r="P24" s="221">
        <f t="shared" ca="1" si="21"/>
        <v>0</v>
      </c>
      <c r="Q24" s="221">
        <f t="shared" ca="1" si="21"/>
        <v>1</v>
      </c>
      <c r="R24" s="221">
        <f t="shared" ca="1" si="21"/>
        <v>2</v>
      </c>
      <c r="S24" s="221">
        <f t="shared" ca="1" si="21"/>
        <v>2</v>
      </c>
      <c r="T24" s="221">
        <f t="shared" ca="1" si="21"/>
        <v>1</v>
      </c>
      <c r="U24" s="221">
        <f t="shared" ca="1" si="21"/>
        <v>1</v>
      </c>
      <c r="V24" s="221">
        <f t="shared" ca="1" si="21"/>
        <v>2</v>
      </c>
      <c r="W24" s="221">
        <f t="shared" ca="1" si="21"/>
        <v>2</v>
      </c>
      <c r="X24" s="221">
        <f t="shared" ca="1" si="21"/>
        <v>1</v>
      </c>
      <c r="Y24" s="221">
        <f t="shared" ca="1" si="21"/>
        <v>1</v>
      </c>
      <c r="Z24" s="221">
        <f t="shared" ca="1" si="21"/>
        <v>2</v>
      </c>
    </row>
    <row r="25" spans="2:26" x14ac:dyDescent="0.25">
      <c r="B25" s="217">
        <v>12</v>
      </c>
      <c r="C25" s="218"/>
      <c r="D25" s="218"/>
      <c r="E25" s="218"/>
      <c r="F25" s="218"/>
      <c r="G25" s="220"/>
      <c r="H25" s="221">
        <f t="shared" ca="1" si="22"/>
        <v>0</v>
      </c>
      <c r="I25" s="221">
        <f t="shared" ca="1" si="21"/>
        <v>0</v>
      </c>
      <c r="J25" s="221">
        <f t="shared" ca="1" si="21"/>
        <v>0</v>
      </c>
      <c r="K25" s="221">
        <f t="shared" ca="1" si="21"/>
        <v>0</v>
      </c>
      <c r="L25" s="221">
        <f t="shared" ca="1" si="21"/>
        <v>0</v>
      </c>
      <c r="M25" s="221">
        <f t="shared" ca="1" si="21"/>
        <v>0</v>
      </c>
      <c r="N25" s="221">
        <f t="shared" ca="1" si="21"/>
        <v>0</v>
      </c>
      <c r="O25" s="221">
        <f t="shared" ca="1" si="21"/>
        <v>0</v>
      </c>
      <c r="P25" s="221">
        <f t="shared" ca="1" si="21"/>
        <v>0</v>
      </c>
      <c r="Q25" s="221">
        <f t="shared" ca="1" si="21"/>
        <v>0</v>
      </c>
      <c r="R25" s="221">
        <f t="shared" ca="1" si="21"/>
        <v>1</v>
      </c>
      <c r="S25" s="221">
        <f t="shared" ca="1" si="21"/>
        <v>2</v>
      </c>
      <c r="T25" s="221">
        <f t="shared" ca="1" si="21"/>
        <v>2</v>
      </c>
      <c r="U25" s="221">
        <f t="shared" ca="1" si="21"/>
        <v>1</v>
      </c>
      <c r="V25" s="221">
        <f t="shared" ca="1" si="21"/>
        <v>1</v>
      </c>
      <c r="W25" s="221">
        <f t="shared" ca="1" si="21"/>
        <v>2</v>
      </c>
      <c r="X25" s="221">
        <f t="shared" ca="1" si="21"/>
        <v>2</v>
      </c>
      <c r="Y25" s="221">
        <f t="shared" ca="1" si="21"/>
        <v>1</v>
      </c>
      <c r="Z25" s="221">
        <f t="shared" ca="1" si="21"/>
        <v>1</v>
      </c>
    </row>
    <row r="26" spans="2:26" x14ac:dyDescent="0.25">
      <c r="B26" s="217">
        <v>13</v>
      </c>
      <c r="C26" s="218"/>
      <c r="D26" s="218"/>
      <c r="E26" s="218"/>
      <c r="F26" s="218"/>
      <c r="G26" s="220"/>
      <c r="H26" s="221">
        <f t="shared" ca="1" si="22"/>
        <v>0</v>
      </c>
      <c r="I26" s="221">
        <f t="shared" ca="1" si="21"/>
        <v>0</v>
      </c>
      <c r="J26" s="221">
        <f t="shared" ca="1" si="21"/>
        <v>0</v>
      </c>
      <c r="K26" s="221">
        <f t="shared" ca="1" si="21"/>
        <v>0</v>
      </c>
      <c r="L26" s="221">
        <f t="shared" ca="1" si="21"/>
        <v>0</v>
      </c>
      <c r="M26" s="221">
        <f t="shared" ca="1" si="21"/>
        <v>0</v>
      </c>
      <c r="N26" s="221">
        <f t="shared" ca="1" si="21"/>
        <v>0</v>
      </c>
      <c r="O26" s="221">
        <f t="shared" ca="1" si="21"/>
        <v>0</v>
      </c>
      <c r="P26" s="221">
        <f t="shared" ca="1" si="21"/>
        <v>0</v>
      </c>
      <c r="Q26" s="221">
        <f t="shared" ca="1" si="21"/>
        <v>0</v>
      </c>
      <c r="R26" s="221">
        <f t="shared" ca="1" si="21"/>
        <v>0</v>
      </c>
      <c r="S26" s="221">
        <f t="shared" ca="1" si="21"/>
        <v>1</v>
      </c>
      <c r="T26" s="221">
        <f t="shared" ca="1" si="21"/>
        <v>2</v>
      </c>
      <c r="U26" s="221">
        <f t="shared" ca="1" si="21"/>
        <v>2</v>
      </c>
      <c r="V26" s="221">
        <f t="shared" ca="1" si="21"/>
        <v>1</v>
      </c>
      <c r="W26" s="221">
        <f t="shared" ca="1" si="21"/>
        <v>1</v>
      </c>
      <c r="X26" s="221">
        <f t="shared" ca="1" si="21"/>
        <v>2</v>
      </c>
      <c r="Y26" s="221">
        <f t="shared" ca="1" si="21"/>
        <v>2</v>
      </c>
      <c r="Z26" s="221">
        <f t="shared" ca="1" si="21"/>
        <v>1</v>
      </c>
    </row>
    <row r="27" spans="2:26" x14ac:dyDescent="0.25">
      <c r="B27" s="217">
        <v>14</v>
      </c>
      <c r="C27" s="218"/>
      <c r="D27" s="218"/>
      <c r="E27" s="218"/>
      <c r="F27" s="218"/>
      <c r="G27" s="220"/>
      <c r="H27" s="221">
        <f t="shared" ca="1" si="22"/>
        <v>0</v>
      </c>
      <c r="I27" s="221">
        <f t="shared" ca="1" si="21"/>
        <v>0</v>
      </c>
      <c r="J27" s="221">
        <f t="shared" ca="1" si="21"/>
        <v>0</v>
      </c>
      <c r="K27" s="221">
        <f t="shared" ca="1" si="21"/>
        <v>0</v>
      </c>
      <c r="L27" s="221">
        <f t="shared" ca="1" si="21"/>
        <v>0</v>
      </c>
      <c r="M27" s="221">
        <f t="shared" ca="1" si="21"/>
        <v>0</v>
      </c>
      <c r="N27" s="221">
        <f t="shared" ca="1" si="21"/>
        <v>0</v>
      </c>
      <c r="O27" s="221">
        <f t="shared" ca="1" si="21"/>
        <v>0</v>
      </c>
      <c r="P27" s="221">
        <f t="shared" ca="1" si="21"/>
        <v>0</v>
      </c>
      <c r="Q27" s="221">
        <f t="shared" ca="1" si="21"/>
        <v>0</v>
      </c>
      <c r="R27" s="221">
        <f t="shared" ca="1" si="21"/>
        <v>0</v>
      </c>
      <c r="S27" s="221">
        <f t="shared" ca="1" si="21"/>
        <v>0</v>
      </c>
      <c r="T27" s="221">
        <f t="shared" ca="1" si="21"/>
        <v>1</v>
      </c>
      <c r="U27" s="221">
        <f t="shared" ca="1" si="21"/>
        <v>2</v>
      </c>
      <c r="V27" s="221">
        <f t="shared" ca="1" si="21"/>
        <v>2</v>
      </c>
      <c r="W27" s="221">
        <f t="shared" ca="1" si="21"/>
        <v>1</v>
      </c>
      <c r="X27" s="221">
        <f t="shared" ca="1" si="21"/>
        <v>1</v>
      </c>
      <c r="Y27" s="221">
        <f t="shared" ca="1" si="21"/>
        <v>2</v>
      </c>
      <c r="Z27" s="221">
        <f t="shared" ca="1" si="21"/>
        <v>2</v>
      </c>
    </row>
    <row r="28" spans="2:26" x14ac:dyDescent="0.25">
      <c r="B28" s="217">
        <v>15</v>
      </c>
      <c r="C28" s="218"/>
      <c r="D28" s="218"/>
      <c r="E28" s="218"/>
      <c r="F28" s="218"/>
      <c r="G28" s="220"/>
      <c r="H28" s="221">
        <f t="shared" ca="1" si="22"/>
        <v>0</v>
      </c>
      <c r="I28" s="221">
        <f t="shared" ca="1" si="21"/>
        <v>0</v>
      </c>
      <c r="J28" s="221">
        <f t="shared" ca="1" si="21"/>
        <v>0</v>
      </c>
      <c r="K28" s="221">
        <f t="shared" ca="1" si="21"/>
        <v>0</v>
      </c>
      <c r="L28" s="221">
        <f t="shared" ca="1" si="21"/>
        <v>0</v>
      </c>
      <c r="M28" s="221">
        <f t="shared" ca="1" si="21"/>
        <v>0</v>
      </c>
      <c r="N28" s="221">
        <f t="shared" ca="1" si="21"/>
        <v>0</v>
      </c>
      <c r="O28" s="221">
        <f t="shared" ca="1" si="21"/>
        <v>0</v>
      </c>
      <c r="P28" s="221">
        <f t="shared" ca="1" si="21"/>
        <v>0</v>
      </c>
      <c r="Q28" s="221">
        <f t="shared" ca="1" si="21"/>
        <v>0</v>
      </c>
      <c r="R28" s="221">
        <f t="shared" ca="1" si="21"/>
        <v>0</v>
      </c>
      <c r="S28" s="221">
        <f t="shared" ca="1" si="21"/>
        <v>0</v>
      </c>
      <c r="T28" s="221">
        <f t="shared" ca="1" si="21"/>
        <v>0</v>
      </c>
      <c r="U28" s="221">
        <f t="shared" ca="1" si="21"/>
        <v>1</v>
      </c>
      <c r="V28" s="221">
        <f t="shared" ca="1" si="21"/>
        <v>2</v>
      </c>
      <c r="W28" s="221">
        <f t="shared" ca="1" si="21"/>
        <v>2</v>
      </c>
      <c r="X28" s="221">
        <f t="shared" ca="1" si="21"/>
        <v>1</v>
      </c>
      <c r="Y28" s="221">
        <f t="shared" ca="1" si="21"/>
        <v>1</v>
      </c>
      <c r="Z28" s="221">
        <f t="shared" ca="1" si="21"/>
        <v>2</v>
      </c>
    </row>
    <row r="29" spans="2:26" x14ac:dyDescent="0.25">
      <c r="B29" s="217">
        <v>16</v>
      </c>
      <c r="C29" s="218"/>
      <c r="D29" s="218"/>
      <c r="E29" s="218"/>
      <c r="F29" s="218"/>
      <c r="G29" s="220"/>
      <c r="H29" s="221">
        <f t="shared" ca="1" si="22"/>
        <v>0</v>
      </c>
      <c r="I29" s="221">
        <f t="shared" ca="1" si="21"/>
        <v>0</v>
      </c>
      <c r="J29" s="221">
        <f t="shared" ca="1" si="21"/>
        <v>0</v>
      </c>
      <c r="K29" s="221">
        <f t="shared" ca="1" si="21"/>
        <v>0</v>
      </c>
      <c r="L29" s="221">
        <f t="shared" ref="L29:Z33" ca="1" si="23">OFFSET(L29,-1,-1)</f>
        <v>0</v>
      </c>
      <c r="M29" s="221">
        <f t="shared" ca="1" si="23"/>
        <v>0</v>
      </c>
      <c r="N29" s="221">
        <f t="shared" ca="1" si="23"/>
        <v>0</v>
      </c>
      <c r="O29" s="221">
        <f t="shared" ca="1" si="23"/>
        <v>0</v>
      </c>
      <c r="P29" s="221">
        <f t="shared" ca="1" si="23"/>
        <v>0</v>
      </c>
      <c r="Q29" s="221">
        <f t="shared" ca="1" si="23"/>
        <v>0</v>
      </c>
      <c r="R29" s="221">
        <f t="shared" ca="1" si="23"/>
        <v>0</v>
      </c>
      <c r="S29" s="221">
        <f t="shared" ca="1" si="23"/>
        <v>0</v>
      </c>
      <c r="T29" s="221">
        <f t="shared" ca="1" si="23"/>
        <v>0</v>
      </c>
      <c r="U29" s="221">
        <f t="shared" ca="1" si="23"/>
        <v>0</v>
      </c>
      <c r="V29" s="221">
        <f t="shared" ca="1" si="23"/>
        <v>1</v>
      </c>
      <c r="W29" s="221">
        <f t="shared" ca="1" si="23"/>
        <v>2</v>
      </c>
      <c r="X29" s="221">
        <f t="shared" ca="1" si="23"/>
        <v>2</v>
      </c>
      <c r="Y29" s="221">
        <f t="shared" ca="1" si="23"/>
        <v>1</v>
      </c>
      <c r="Z29" s="221">
        <f t="shared" ca="1" si="23"/>
        <v>1</v>
      </c>
    </row>
    <row r="30" spans="2:26" x14ac:dyDescent="0.25">
      <c r="B30" s="217">
        <v>17</v>
      </c>
      <c r="C30" s="218"/>
      <c r="D30" s="218"/>
      <c r="E30" s="218"/>
      <c r="F30" s="218"/>
      <c r="G30" s="220"/>
      <c r="H30" s="221">
        <f t="shared" ca="1" si="22"/>
        <v>0</v>
      </c>
      <c r="I30" s="221">
        <f t="shared" ca="1" si="22"/>
        <v>0</v>
      </c>
      <c r="J30" s="221">
        <f t="shared" ca="1" si="22"/>
        <v>0</v>
      </c>
      <c r="K30" s="221">
        <f t="shared" ca="1" si="22"/>
        <v>0</v>
      </c>
      <c r="L30" s="221">
        <f t="shared" ca="1" si="22"/>
        <v>0</v>
      </c>
      <c r="M30" s="221">
        <f t="shared" ca="1" si="22"/>
        <v>0</v>
      </c>
      <c r="N30" s="221">
        <f t="shared" ca="1" si="22"/>
        <v>0</v>
      </c>
      <c r="O30" s="221">
        <f t="shared" ca="1" si="22"/>
        <v>0</v>
      </c>
      <c r="P30" s="221">
        <f t="shared" ca="1" si="22"/>
        <v>0</v>
      </c>
      <c r="Q30" s="221">
        <f t="shared" ca="1" si="22"/>
        <v>0</v>
      </c>
      <c r="R30" s="221">
        <f t="shared" ca="1" si="22"/>
        <v>0</v>
      </c>
      <c r="S30" s="221">
        <f t="shared" ca="1" si="22"/>
        <v>0</v>
      </c>
      <c r="T30" s="221">
        <f t="shared" ca="1" si="22"/>
        <v>0</v>
      </c>
      <c r="U30" s="221">
        <f t="shared" ca="1" si="22"/>
        <v>0</v>
      </c>
      <c r="V30" s="221">
        <f t="shared" ca="1" si="22"/>
        <v>0</v>
      </c>
      <c r="W30" s="221">
        <f t="shared" ca="1" si="22"/>
        <v>1</v>
      </c>
      <c r="X30" s="221">
        <f t="shared" ca="1" si="23"/>
        <v>2</v>
      </c>
      <c r="Y30" s="221">
        <f t="shared" ca="1" si="23"/>
        <v>2</v>
      </c>
      <c r="Z30" s="221">
        <f t="shared" ca="1" si="23"/>
        <v>1</v>
      </c>
    </row>
    <row r="31" spans="2:26" x14ac:dyDescent="0.25">
      <c r="B31" s="217">
        <v>18</v>
      </c>
      <c r="C31" s="218"/>
      <c r="D31" s="218"/>
      <c r="E31" s="218"/>
      <c r="F31" s="218"/>
      <c r="G31" s="220"/>
      <c r="H31" s="221">
        <f t="shared" ca="1" si="22"/>
        <v>0</v>
      </c>
      <c r="I31" s="221">
        <f t="shared" ca="1" si="22"/>
        <v>0</v>
      </c>
      <c r="J31" s="221">
        <f t="shared" ca="1" si="22"/>
        <v>0</v>
      </c>
      <c r="K31" s="221">
        <f t="shared" ca="1" si="22"/>
        <v>0</v>
      </c>
      <c r="L31" s="221">
        <f t="shared" ca="1" si="22"/>
        <v>0</v>
      </c>
      <c r="M31" s="221">
        <f t="shared" ca="1" si="22"/>
        <v>0</v>
      </c>
      <c r="N31" s="221">
        <f t="shared" ca="1" si="22"/>
        <v>0</v>
      </c>
      <c r="O31" s="221">
        <f t="shared" ca="1" si="22"/>
        <v>0</v>
      </c>
      <c r="P31" s="221">
        <f t="shared" ca="1" si="22"/>
        <v>0</v>
      </c>
      <c r="Q31" s="221">
        <f t="shared" ca="1" si="22"/>
        <v>0</v>
      </c>
      <c r="R31" s="221">
        <f t="shared" ca="1" si="22"/>
        <v>0</v>
      </c>
      <c r="S31" s="221">
        <f t="shared" ca="1" si="22"/>
        <v>0</v>
      </c>
      <c r="T31" s="221">
        <f t="shared" ca="1" si="22"/>
        <v>0</v>
      </c>
      <c r="U31" s="221">
        <f t="shared" ca="1" si="22"/>
        <v>0</v>
      </c>
      <c r="V31" s="221">
        <f t="shared" ca="1" si="22"/>
        <v>0</v>
      </c>
      <c r="W31" s="221">
        <f t="shared" ca="1" si="22"/>
        <v>0</v>
      </c>
      <c r="X31" s="221">
        <f t="shared" ca="1" si="23"/>
        <v>1</v>
      </c>
      <c r="Y31" s="221">
        <f t="shared" ca="1" si="23"/>
        <v>2</v>
      </c>
      <c r="Z31" s="221">
        <f t="shared" ca="1" si="23"/>
        <v>2</v>
      </c>
    </row>
    <row r="32" spans="2:26" x14ac:dyDescent="0.25">
      <c r="B32" s="217">
        <v>19</v>
      </c>
      <c r="C32" s="218"/>
      <c r="D32" s="218"/>
      <c r="E32" s="218"/>
      <c r="F32" s="218"/>
      <c r="G32" s="220"/>
      <c r="H32" s="221">
        <f t="shared" ca="1" si="22"/>
        <v>0</v>
      </c>
      <c r="I32" s="221">
        <f t="shared" ca="1" si="22"/>
        <v>0</v>
      </c>
      <c r="J32" s="221">
        <f t="shared" ca="1" si="22"/>
        <v>0</v>
      </c>
      <c r="K32" s="221">
        <f t="shared" ca="1" si="22"/>
        <v>0</v>
      </c>
      <c r="L32" s="221">
        <f t="shared" ca="1" si="22"/>
        <v>0</v>
      </c>
      <c r="M32" s="221">
        <f t="shared" ca="1" si="22"/>
        <v>0</v>
      </c>
      <c r="N32" s="221">
        <f t="shared" ca="1" si="22"/>
        <v>0</v>
      </c>
      <c r="O32" s="221">
        <f t="shared" ca="1" si="22"/>
        <v>0</v>
      </c>
      <c r="P32" s="221">
        <f t="shared" ca="1" si="22"/>
        <v>0</v>
      </c>
      <c r="Q32" s="221">
        <f t="shared" ca="1" si="22"/>
        <v>0</v>
      </c>
      <c r="R32" s="221">
        <f t="shared" ca="1" si="22"/>
        <v>0</v>
      </c>
      <c r="S32" s="221">
        <f t="shared" ca="1" si="22"/>
        <v>0</v>
      </c>
      <c r="T32" s="221">
        <f t="shared" ca="1" si="22"/>
        <v>0</v>
      </c>
      <c r="U32" s="221">
        <f t="shared" ca="1" si="22"/>
        <v>0</v>
      </c>
      <c r="V32" s="221">
        <f t="shared" ca="1" si="22"/>
        <v>0</v>
      </c>
      <c r="W32" s="221">
        <f t="shared" ca="1" si="22"/>
        <v>0</v>
      </c>
      <c r="X32" s="221">
        <f t="shared" ca="1" si="23"/>
        <v>0</v>
      </c>
      <c r="Y32" s="221">
        <f t="shared" ca="1" si="23"/>
        <v>1</v>
      </c>
      <c r="Z32" s="221">
        <f t="shared" ca="1" si="23"/>
        <v>2</v>
      </c>
    </row>
    <row r="33" spans="2:26" x14ac:dyDescent="0.25">
      <c r="B33" s="217">
        <v>20</v>
      </c>
      <c r="C33" s="218"/>
      <c r="D33" s="218"/>
      <c r="E33" s="218"/>
      <c r="F33" s="218"/>
      <c r="G33" s="220"/>
      <c r="H33" s="221">
        <f t="shared" ca="1" si="22"/>
        <v>0</v>
      </c>
      <c r="I33" s="221">
        <f t="shared" ca="1" si="22"/>
        <v>0</v>
      </c>
      <c r="J33" s="221">
        <f t="shared" ca="1" si="22"/>
        <v>0</v>
      </c>
      <c r="K33" s="221">
        <f t="shared" ca="1" si="22"/>
        <v>0</v>
      </c>
      <c r="L33" s="221">
        <f t="shared" ca="1" si="22"/>
        <v>0</v>
      </c>
      <c r="M33" s="221">
        <f t="shared" ca="1" si="22"/>
        <v>0</v>
      </c>
      <c r="N33" s="221">
        <f t="shared" ca="1" si="22"/>
        <v>0</v>
      </c>
      <c r="O33" s="221">
        <f t="shared" ca="1" si="22"/>
        <v>0</v>
      </c>
      <c r="P33" s="221">
        <f t="shared" ca="1" si="22"/>
        <v>0</v>
      </c>
      <c r="Q33" s="221">
        <f t="shared" ca="1" si="22"/>
        <v>0</v>
      </c>
      <c r="R33" s="221">
        <f t="shared" ca="1" si="22"/>
        <v>0</v>
      </c>
      <c r="S33" s="221">
        <f t="shared" ca="1" si="22"/>
        <v>0</v>
      </c>
      <c r="T33" s="221">
        <f t="shared" ca="1" si="22"/>
        <v>0</v>
      </c>
      <c r="U33" s="221">
        <f t="shared" ca="1" si="22"/>
        <v>0</v>
      </c>
      <c r="V33" s="221">
        <f t="shared" ca="1" si="22"/>
        <v>0</v>
      </c>
      <c r="W33" s="221">
        <f t="shared" ca="1" si="22"/>
        <v>0</v>
      </c>
      <c r="X33" s="221">
        <f t="shared" ca="1" si="23"/>
        <v>0</v>
      </c>
      <c r="Y33" s="221">
        <f t="shared" ca="1" si="23"/>
        <v>0</v>
      </c>
      <c r="Z33" s="221">
        <f t="shared" ca="1" si="23"/>
        <v>1</v>
      </c>
    </row>
    <row r="34" spans="2:26" x14ac:dyDescent="0.25">
      <c r="B34" s="222" t="s">
        <v>219</v>
      </c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</row>
    <row r="36" spans="2:26" x14ac:dyDescent="0.25">
      <c r="B36" s="163" t="s">
        <v>15</v>
      </c>
      <c r="C36" s="201"/>
      <c r="D36" s="201"/>
      <c r="E36" s="201"/>
      <c r="F36" s="201"/>
      <c r="G36" s="223" cm="1">
        <f t="array" aca="1" ref="G36" ca="1">SUMPRODUCT(TRANSPOSE(G$14:G$33),Is_NewStore_Trend!$G8:$Z8)</f>
        <v>379827.5</v>
      </c>
      <c r="H36" s="223" cm="1">
        <f t="array" aca="1" ref="H36" ca="1">SUMPRODUCT(TRANSPOSE(H$14:H$33),Is_NewStore_Trend!$G8:$Z8)</f>
        <v>1142331.20625</v>
      </c>
      <c r="I36" s="223" cm="1">
        <f t="array" aca="1" ref="I36" ca="1">SUMPRODUCT(TRANSPOSE(I$14:I$33),Is_NewStore_Trend!$G8:$Z8)</f>
        <v>1910553.6902968751</v>
      </c>
      <c r="J36" s="223" cm="1">
        <f t="array" aca="1" ref="J36" ca="1">SUMPRODUCT(TRANSPOSE(J$14:J$33),Is_NewStore_Trend!$G8:$Z8)</f>
        <v>2304710.3429741017</v>
      </c>
      <c r="K36" s="223" cm="1">
        <f t="array" aca="1" ref="K36" ca="1">SUMPRODUCT(TRANSPOSE(K$14:K$33),Is_NewStore_Trend!$G8:$Z8)</f>
        <v>2701823.1705464078</v>
      </c>
      <c r="L36" s="223" cm="1">
        <f t="array" aca="1" ref="L36" ca="1">SUMPRODUCT(TRANSPOSE(L$14:L$33),Is_NewStore_Trend!$G8:$Z8)</f>
        <v>3481741.8443255061</v>
      </c>
      <c r="M36" s="223" cm="1">
        <f t="array" aca="1" ref="M36" ca="1">SUMPRODUCT(TRANSPOSE(M$14:M$33),Is_NewStore_Trend!$G8:$Z8)</f>
        <v>4267509.9081579475</v>
      </c>
      <c r="N36" s="223" cm="1">
        <f t="array" aca="1" ref="N36" ca="1">SUMPRODUCT(TRANSPOSE(N$14:N$33),Is_NewStore_Trend!$G8:$Z8)</f>
        <v>4679343.7324691322</v>
      </c>
      <c r="O36" s="223" cm="1">
        <f t="array" aca="1" ref="O36" ca="1">SUMPRODUCT(TRANSPOSE(O$14:O$33),Is_NewStore_Trend!$G8:$Z8)</f>
        <v>5094266.3104626518</v>
      </c>
      <c r="P36" s="223" cm="1">
        <f t="array" aca="1" ref="P36" ca="1">SUMPRODUCT(TRANSPOSE(P$14:P$33),Is_NewStore_Trend!$G8:$Z8)</f>
        <v>5892128.3077911213</v>
      </c>
      <c r="Q36" s="223" cm="1">
        <f t="array" aca="1" ref="Q36" ca="1">SUMPRODUCT(TRANSPOSE(Q$14:Q$33),Is_NewStore_Trend!$G8:$Z8)</f>
        <v>6695974.2700995561</v>
      </c>
      <c r="R36" s="223" cm="1">
        <f t="array" aca="1" ref="R36" ca="1">SUMPRODUCT(TRANSPOSE(R$14:R$33),Is_NewStore_Trend!$G8:$Z8)</f>
        <v>7126021.5771253034</v>
      </c>
      <c r="S36" s="223" cm="1">
        <f t="array" aca="1" ref="S36" ca="1">SUMPRODUCT(TRANSPOSE(S$14:S$33),Is_NewStore_Trend!$G8:$Z8)</f>
        <v>7559294.2389537431</v>
      </c>
      <c r="T36" s="223" cm="1">
        <f t="array" aca="1" ref="T36" ca="1">SUMPRODUCT(TRANSPOSE(T$14:T$33),Is_NewStore_Trend!$G8:$Z8)</f>
        <v>8375643.9457458965</v>
      </c>
      <c r="U36" s="223" cm="1">
        <f t="array" aca="1" ref="U36" ca="1">SUMPRODUCT(TRANSPOSE(U$14:U$33),Is_NewStore_Trend!$G8:$Z8)</f>
        <v>9198116.2753389925</v>
      </c>
      <c r="V36" s="223" cm="1">
        <f t="array" aca="1" ref="V36" ca="1">SUMPRODUCT(TRANSPOSE(V$14:V$33),Is_NewStore_Trend!$G8:$Z8)</f>
        <v>9646929.6474040337</v>
      </c>
      <c r="W36" s="223" cm="1">
        <f t="array" aca="1" ref="W36" ca="1">SUMPRODUCT(TRANSPOSE(W$14:W$33),Is_NewStore_Trend!$G8:$Z8)</f>
        <v>10099109.119759565</v>
      </c>
      <c r="X36" s="223" cm="1">
        <f t="array" aca="1" ref="X36" ca="1">SUMPRODUCT(TRANSPOSE(X$14:X$33),Is_NewStore_Trend!$G8:$Z8)</f>
        <v>10934507.438157763</v>
      </c>
      <c r="Y36" s="223" cm="1">
        <f t="array" aca="1" ref="Y36" ca="1">SUMPRODUCT(TRANSPOSE(Y$14:Y$33),Is_NewStore_Trend!$G8:$Z8)</f>
        <v>11776171.243943946</v>
      </c>
      <c r="Z36" s="223" cm="1">
        <f t="array" aca="1" ref="Z36" ca="1">SUMPRODUCT(TRANSPOSE(Z$14:Z$33),Is_NewStore_Trend!$G8:$Z8)</f>
        <v>12244320.028273527</v>
      </c>
    </row>
    <row r="37" spans="2:26" x14ac:dyDescent="0.25">
      <c r="B37" s="163"/>
      <c r="C37" s="201"/>
      <c r="D37" s="201"/>
      <c r="E37" s="201"/>
      <c r="F37" s="201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 spans="2:26" x14ac:dyDescent="0.25">
      <c r="B38" t="s">
        <v>66</v>
      </c>
      <c r="C38" s="203"/>
      <c r="D38" s="203"/>
      <c r="E38" s="203"/>
      <c r="F38" s="203"/>
      <c r="G38" s="224" cm="1">
        <f t="array" aca="1" ref="G38" ca="1">SUMPRODUCT(TRANSPOSE(G$14:G$33),Is_NewStore_Trend!$G10:$Z10)</f>
        <v>23550.3125</v>
      </c>
      <c r="H38" s="224" cm="1">
        <f t="array" aca="1" ref="H38" ca="1">SUMPRODUCT(TRANSPOSE(H$14:H$33),Is_NewStore_Trend!$G10:$Z10)</f>
        <v>70827.564843750006</v>
      </c>
      <c r="I38" s="224" cm="1">
        <f t="array" aca="1" ref="I38" ca="1">SUMPRODUCT(TRANSPOSE(I$14:I$33),Is_NewStore_Trend!$G10:$Z10)</f>
        <v>118459.39658007814</v>
      </c>
      <c r="J38" s="224" cm="1">
        <f t="array" aca="1" ref="J38" ca="1">SUMPRODUCT(TRANSPOSE(J$14:J$33),Is_NewStore_Trend!$G10:$Z10)</f>
        <v>142898.15455442874</v>
      </c>
      <c r="K38" s="224" cm="1">
        <f t="array" aca="1" ref="K38" ca="1">SUMPRODUCT(TRANSPOSE(K$14:K$33),Is_NewStore_Trend!$G10:$Z10)</f>
        <v>167520.20321358694</v>
      </c>
      <c r="L38" s="224" cm="1">
        <f t="array" aca="1" ref="L38" ca="1">SUMPRODUCT(TRANSPOSE(L$14:L$33),Is_NewStore_Trend!$G10:$Z10)</f>
        <v>215877.22973768885</v>
      </c>
      <c r="M38" s="224" cm="1">
        <f t="array" aca="1" ref="M38" ca="1">SUMPRODUCT(TRANSPOSE(M$14:M$33),Is_NewStore_Trend!$G10:$Z10)</f>
        <v>264596.93396072154</v>
      </c>
      <c r="N38" s="224" cm="1">
        <f t="array" aca="1" ref="N38" ca="1">SUMPRODUCT(TRANSPOSE(N$14:N$33),Is_NewStore_Trend!$G10:$Z10)</f>
        <v>290131.72346542694</v>
      </c>
      <c r="O38" s="224" cm="1">
        <f t="array" aca="1" ref="O38" ca="1">SUMPRODUCT(TRANSPOSE(O$14:O$33),Is_NewStore_Trend!$G10:$Z10)</f>
        <v>315858.02389141766</v>
      </c>
      <c r="P38" s="224" cm="1">
        <f t="array" aca="1" ref="P38" ca="1">SUMPRODUCT(TRANSPOSE(P$14:P$33),Is_NewStore_Trend!$G10:$Z10)</f>
        <v>365327.58407060331</v>
      </c>
      <c r="Q38" s="224" cm="1">
        <f t="array" aca="1" ref="Q38" ca="1">SUMPRODUCT(TRANSPOSE(Q$14:Q$33),Is_NewStore_Trend!$G10:$Z10)</f>
        <v>415168.16595113283</v>
      </c>
      <c r="R38" s="224" cm="1">
        <f t="array" aca="1" ref="R38" ca="1">SUMPRODUCT(TRANSPOSE(R$14:R$33),Is_NewStore_Trend!$G10:$Z10)</f>
        <v>441832.23969576642</v>
      </c>
      <c r="S38" s="224" cm="1">
        <f t="array" aca="1" ref="S38" ca="1">SUMPRODUCT(TRANSPOSE(S$14:S$33),Is_NewStore_Trend!$G10:$Z10)</f>
        <v>468696.29399348469</v>
      </c>
      <c r="T38" s="224" cm="1">
        <f t="array" aca="1" ref="T38" ca="1">SUMPRODUCT(TRANSPOSE(T$14:T$33),Is_NewStore_Trend!$G10:$Z10)</f>
        <v>519312.1411984358</v>
      </c>
      <c r="U38" s="224" cm="1">
        <f t="array" aca="1" ref="U38" ca="1">SUMPRODUCT(TRANSPOSE(U$14:U$33),Is_NewStore_Trend!$G10:$Z10)</f>
        <v>570307.60725742404</v>
      </c>
      <c r="V38" s="224" cm="1">
        <f t="array" aca="1" ref="V38" ca="1">SUMPRODUCT(TRANSPOSE(V$14:V$33),Is_NewStore_Trend!$G10:$Z10)</f>
        <v>598135.22681185487</v>
      </c>
      <c r="W38" s="224" cm="1">
        <f t="array" aca="1" ref="W38" ca="1">SUMPRODUCT(TRANSPOSE(W$14:W$33),Is_NewStore_Trend!$G10:$Z10)</f>
        <v>626171.55351294379</v>
      </c>
      <c r="X38" s="224" cm="1">
        <f t="array" aca="1" ref="X38" ca="1">SUMPRODUCT(TRANSPOSE(X$14:X$33),Is_NewStore_Trend!$G10:$Z10)</f>
        <v>677968.46516429074</v>
      </c>
      <c r="Y38" s="224" cm="1">
        <f t="array" aca="1" ref="Y38" ca="1">SUMPRODUCT(TRANSPOSE(Y$14:Y$33),Is_NewStore_Trend!$G10:$Z10)</f>
        <v>730153.8536530229</v>
      </c>
      <c r="Z38" s="224" cm="1">
        <f t="array" aca="1" ref="Z38" ca="1">SUMPRODUCT(TRANSPOSE(Z$14:Z$33),Is_NewStore_Trend!$G10:$Z10)</f>
        <v>759180.32005542086</v>
      </c>
    </row>
    <row r="39" spans="2:26" x14ac:dyDescent="0.25">
      <c r="B39" t="s">
        <v>69</v>
      </c>
      <c r="C39" s="203"/>
      <c r="D39" s="203"/>
      <c r="E39" s="203"/>
      <c r="F39" s="203"/>
      <c r="G39" s="224" cm="1">
        <f t="array" aca="1" ref="G39" ca="1">SUMPRODUCT(TRANSPOSE(G$14:G$33),Is_NewStore_Trend!$G11:$Z11)</f>
        <v>102317.67</v>
      </c>
      <c r="H39" s="224" cm="1">
        <f t="array" aca="1" ref="H39" ca="1">SUMPRODUCT(TRANSPOSE(H$14:H$33),Is_NewStore_Trend!$G11:$Z11)</f>
        <v>307720.39252500003</v>
      </c>
      <c r="I39" s="224" cm="1">
        <f t="array" aca="1" ref="I39" ca="1">SUMPRODUCT(TRANSPOSE(I$14:I$33),Is_NewStore_Trend!$G11:$Z11)</f>
        <v>514663.63546893757</v>
      </c>
      <c r="J39" s="224" cm="1">
        <f t="array" aca="1" ref="J39" ca="1">SUMPRODUCT(TRANSPOSE(J$14:J$33),Is_NewStore_Trend!$G11:$Z11)</f>
        <v>620841.28273495473</v>
      </c>
      <c r="K39" s="224" cm="1">
        <f t="array" aca="1" ref="K39" ca="1">SUMPRODUCT(TRANSPOSE(K$14:K$33),Is_NewStore_Trend!$G11:$Z11)</f>
        <v>727815.26235546684</v>
      </c>
      <c r="L39" s="224" cm="1">
        <f t="array" aca="1" ref="L39" ca="1">SUMPRODUCT(TRANSPOSE(L$14:L$33),Is_NewStore_Trend!$G11:$Z11)</f>
        <v>937909.21682313294</v>
      </c>
      <c r="M39" s="224" cm="1">
        <f t="array" aca="1" ref="M39" ca="1">SUMPRODUCT(TRANSPOSE(M$14:M$33),Is_NewStore_Trend!$G11:$Z11)</f>
        <v>1149578.8759493066</v>
      </c>
      <c r="N39" s="224" cm="1">
        <f t="array" aca="1" ref="N39" ca="1">SUMPRODUCT(TRANSPOSE(N$14:N$33),Is_NewStore_Trend!$G11:$Z11)</f>
        <v>1260518.3875189263</v>
      </c>
      <c r="O39" s="224" cm="1">
        <f t="array" aca="1" ref="O39" ca="1">SUMPRODUCT(TRANSPOSE(O$14:O$33),Is_NewStore_Trend!$G11:$Z11)</f>
        <v>1372289.9454253183</v>
      </c>
      <c r="P39" s="224" cm="1">
        <f t="array" aca="1" ref="P39" ca="1">SUMPRODUCT(TRANSPOSE(P$14:P$33),Is_NewStore_Trend!$G11:$Z11)</f>
        <v>1587217.4600160085</v>
      </c>
      <c r="Q39" s="224" cm="1">
        <f t="array" aca="1" ref="Q39" ca="1">SUMPRODUCT(TRANSPOSE(Q$14:Q$33),Is_NewStore_Trend!$G11:$Z11)</f>
        <v>1803756.9309661286</v>
      </c>
      <c r="R39" s="224" cm="1">
        <f t="array" aca="1" ref="R39" ca="1">SUMPRODUCT(TRANSPOSE(R$14:R$33),Is_NewStore_Trend!$G11:$Z11)</f>
        <v>1919602.7779483746</v>
      </c>
      <c r="S39" s="224" cm="1">
        <f t="array" aca="1" ref="S39" ca="1">SUMPRODUCT(TRANSPOSE(S$14:S$33),Is_NewStore_Trend!$G11:$Z11)</f>
        <v>2036317.4687829874</v>
      </c>
      <c r="T39" s="224" cm="1">
        <f t="array" aca="1" ref="T39" ca="1">SUMPRODUCT(TRANSPOSE(T$14:T$33),Is_NewStore_Trend!$G11:$Z11)</f>
        <v>2256225.1897988599</v>
      </c>
      <c r="U39" s="224" cm="1">
        <f t="array" aca="1" ref="U39" ca="1">SUMPRODUCT(TRANSPOSE(U$14:U$33),Is_NewStore_Trend!$G11:$Z11)</f>
        <v>2477782.2187223518</v>
      </c>
      <c r="V39" s="224" cm="1">
        <f t="array" aca="1" ref="V39" ca="1">SUMPRODUCT(TRANSPOSE(V$14:V$33),Is_NewStore_Trend!$G11:$Z11)</f>
        <v>2598683.2553627696</v>
      </c>
      <c r="W39" s="224" cm="1">
        <f t="array" aca="1" ref="W39" ca="1">SUMPRODUCT(TRANSPOSE(W$14:W$33),Is_NewStore_Trend!$G11:$Z11)</f>
        <v>2720491.0497779907</v>
      </c>
      <c r="X39" s="224" cm="1">
        <f t="array" aca="1" ref="X39" ca="1">SUMPRODUCT(TRANSPOSE(X$14:X$33),Is_NewStore_Trend!$G11:$Z11)</f>
        <v>2945530.0726513253</v>
      </c>
      <c r="Y39" s="224" cm="1">
        <f t="array" aca="1" ref="Y39" ca="1">SUMPRODUCT(TRANSPOSE(Y$14:Y$33),Is_NewStore_Trend!$G11:$Z11)</f>
        <v>3172256.8881962108</v>
      </c>
      <c r="Z39" s="224" cm="1">
        <f t="array" aca="1" ref="Z39" ca="1">SUMPRODUCT(TRANSPOSE(Z$14:Z$33),Is_NewStore_Trend!$G11:$Z11)</f>
        <v>3298366.4848576826</v>
      </c>
    </row>
    <row r="40" spans="2:26" x14ac:dyDescent="0.25">
      <c r="B40" s="185" t="s">
        <v>199</v>
      </c>
      <c r="C40" s="206"/>
      <c r="D40" s="206"/>
      <c r="E40" s="206"/>
      <c r="F40" s="206"/>
      <c r="G40" s="225" cm="1">
        <f t="array" aca="1" ref="G40" ca="1">SUMPRODUCT(TRANSPOSE(G$14:G$33),Is_NewStore_Trend!$G12:$Z12)</f>
        <v>125867.9825</v>
      </c>
      <c r="H40" s="225" cm="1">
        <f t="array" aca="1" ref="H40" ca="1">SUMPRODUCT(TRANSPOSE(H$14:H$33),Is_NewStore_Trend!$G12:$Z12)</f>
        <v>378547.95736875001</v>
      </c>
      <c r="I40" s="225" cm="1">
        <f t="array" aca="1" ref="I40" ca="1">SUMPRODUCT(TRANSPOSE(I$14:I$33),Is_NewStore_Trend!$G12:$Z12)</f>
        <v>633123.03204901563</v>
      </c>
      <c r="J40" s="225" cm="1">
        <f t="array" aca="1" ref="J40" ca="1">SUMPRODUCT(TRANSPOSE(J$14:J$33),Is_NewStore_Trend!$G12:$Z12)</f>
        <v>763739.4372893835</v>
      </c>
      <c r="K40" s="225" cm="1">
        <f t="array" aca="1" ref="K40" ca="1">SUMPRODUCT(TRANSPOSE(K$14:K$33),Is_NewStore_Trend!$G12:$Z12)</f>
        <v>895335.46556905378</v>
      </c>
      <c r="L40" s="225" cm="1">
        <f t="array" aca="1" ref="L40" ca="1">SUMPRODUCT(TRANSPOSE(L$14:L$33),Is_NewStore_Trend!$G12:$Z12)</f>
        <v>1153786.4465608217</v>
      </c>
      <c r="M40" s="225" cm="1">
        <f t="array" aca="1" ref="M40" ca="1">SUMPRODUCT(TRANSPOSE(M$14:M$33),Is_NewStore_Trend!$G12:$Z12)</f>
        <v>1414175.809910028</v>
      </c>
      <c r="N40" s="225" cm="1">
        <f t="array" aca="1" ref="N40" ca="1">SUMPRODUCT(TRANSPOSE(N$14:N$33),Is_NewStore_Trend!$G12:$Z12)</f>
        <v>1550650.1109843533</v>
      </c>
      <c r="O40" s="225" cm="1">
        <f t="array" aca="1" ref="O40" ca="1">SUMPRODUCT(TRANSPOSE(O$14:O$33),Is_NewStore_Trend!$G12:$Z12)</f>
        <v>1688147.9693167359</v>
      </c>
      <c r="P40" s="225" cm="1">
        <f t="array" aca="1" ref="P40" ca="1">SUMPRODUCT(TRANSPOSE(P$14:P$33),Is_NewStore_Trend!$G12:$Z12)</f>
        <v>1952545.0440866114</v>
      </c>
      <c r="Q40" s="225" cm="1">
        <f t="array" aca="1" ref="Q40" ca="1">SUMPRODUCT(TRANSPOSE(Q$14:Q$33),Is_NewStore_Trend!$G12:$Z12)</f>
        <v>2218925.0969172614</v>
      </c>
      <c r="R40" s="225" cm="1">
        <f t="array" aca="1" ref="R40" ca="1">SUMPRODUCT(TRANSPOSE(R$14:R$33),Is_NewStore_Trend!$G12:$Z12)</f>
        <v>2361435.0176441409</v>
      </c>
      <c r="S40" s="225" cm="1">
        <f t="array" aca="1" ref="S40" ca="1">SUMPRODUCT(TRANSPOSE(S$14:S$33),Is_NewStore_Trend!$G12:$Z12)</f>
        <v>2505013.7627764717</v>
      </c>
      <c r="T40" s="225" cm="1">
        <f t="array" aca="1" ref="T40" ca="1">SUMPRODUCT(TRANSPOSE(T$14:T$33),Is_NewStore_Trend!$G12:$Z12)</f>
        <v>2775537.3309972957</v>
      </c>
      <c r="U40" s="225" cm="1">
        <f t="array" aca="1" ref="U40" ca="1">SUMPRODUCT(TRANSPOSE(U$14:U$33),Is_NewStore_Trend!$G12:$Z12)</f>
        <v>3048089.8259797753</v>
      </c>
      <c r="V40" s="225" cm="1">
        <f t="array" aca="1" ref="V40" ca="1">SUMPRODUCT(TRANSPOSE(V$14:V$33),Is_NewStore_Trend!$G12:$Z12)</f>
        <v>3196818.4821746238</v>
      </c>
      <c r="W40" s="225" cm="1">
        <f t="array" aca="1" ref="W40" ca="1">SUMPRODUCT(TRANSPOSE(W$14:W$33),Is_NewStore_Trend!$G12:$Z12)</f>
        <v>3346662.6032909341</v>
      </c>
      <c r="X40" s="225" cm="1">
        <f t="array" aca="1" ref="X40" ca="1">SUMPRODUCT(TRANSPOSE(X$14:X$33),Is_NewStore_Trend!$G12:$Z12)</f>
        <v>3623498.5378156165</v>
      </c>
      <c r="Y40" s="225" cm="1">
        <f t="array" aca="1" ref="Y40" ca="1">SUMPRODUCT(TRANSPOSE(Y$14:Y$33),Is_NewStore_Trend!$G12:$Z12)</f>
        <v>3902410.7418492334</v>
      </c>
      <c r="Z40" s="225" cm="1">
        <f t="array" aca="1" ref="Z40" ca="1">SUMPRODUCT(TRANSPOSE(Z$14:Z$33),Is_NewStore_Trend!$G12:$Z12)</f>
        <v>4057546.8049131026</v>
      </c>
    </row>
    <row r="41" spans="2:26" x14ac:dyDescent="0.25">
      <c r="C41" s="203"/>
      <c r="D41" s="203"/>
      <c r="E41" s="203"/>
      <c r="F41" s="203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</row>
    <row r="42" spans="2:26" x14ac:dyDescent="0.25">
      <c r="B42" t="s">
        <v>1</v>
      </c>
      <c r="C42" s="209"/>
      <c r="D42" s="209"/>
      <c r="E42" s="209"/>
      <c r="F42" s="209"/>
      <c r="G42" s="226" cm="1">
        <f t="array" aca="1" ref="G42" ca="1">SUMPRODUCT(TRANSPOSE(G$14:G$33),Is_NewStore_Trend!$G14:$Z14)</f>
        <v>9691.8346524999997</v>
      </c>
      <c r="H42" s="226" cm="1">
        <f t="array" aca="1" ref="H42" ca="1">SUMPRODUCT(TRANSPOSE(H$14:H$33),Is_NewStore_Trend!$G14:$Z14)</f>
        <v>29148.192717393751</v>
      </c>
      <c r="I42" s="226" cm="1">
        <f t="array" aca="1" ref="I42" ca="1">SUMPRODUCT(TRANSPOSE(I$14:I$33),Is_NewStore_Trend!$G14:$Z14)</f>
        <v>48750.473467774202</v>
      </c>
      <c r="J42" s="226" cm="1">
        <f t="array" aca="1" ref="J42" ca="1">SUMPRODUCT(TRANSPOSE(J$14:J$33),Is_NewStore_Trend!$G14:$Z14)</f>
        <v>58807.936671282514</v>
      </c>
      <c r="K42" s="226" cm="1">
        <f t="array" aca="1" ref="K42" ca="1">SUMPRODUCT(TRANSPOSE(K$14:K$33),Is_NewStore_Trend!$G14:$Z14)</f>
        <v>68940.830848817131</v>
      </c>
      <c r="L42" s="226" cm="1">
        <f t="array" aca="1" ref="L42" ca="1">SUMPRODUCT(TRANSPOSE(L$14:L$33),Is_NewStore_Trend!$G14:$Z14)</f>
        <v>88841.55638518327</v>
      </c>
      <c r="M42" s="226" cm="1">
        <f t="array" aca="1" ref="M42" ca="1">SUMPRODUCT(TRANSPOSE(M$14:M$33),Is_NewStore_Trend!$G14:$Z14)</f>
        <v>108891.53736307216</v>
      </c>
      <c r="N42" s="226" cm="1">
        <f t="array" aca="1" ref="N42" ca="1">SUMPRODUCT(TRANSPOSE(N$14:N$33),Is_NewStore_Trend!$G14:$Z14)</f>
        <v>119400.0585457952</v>
      </c>
      <c r="O42" s="226" cm="1">
        <f t="array" aca="1" ref="O42" ca="1">SUMPRODUCT(TRANSPOSE(O$14:O$33),Is_NewStore_Trend!$G14:$Z14)</f>
        <v>129987.39363738867</v>
      </c>
      <c r="P42" s="226" cm="1">
        <f t="array" aca="1" ref="P42" ca="1">SUMPRODUCT(TRANSPOSE(P$14:P$33),Is_NewStore_Trend!$G14:$Z14)</f>
        <v>150345.96839466912</v>
      </c>
      <c r="Q42" s="226" cm="1">
        <f t="array" aca="1" ref="Q42" ca="1">SUMPRODUCT(TRANSPOSE(Q$14:Q$33),Is_NewStore_Trend!$G14:$Z14)</f>
        <v>170857.23246262912</v>
      </c>
      <c r="R42" s="226" cm="1">
        <f t="array" aca="1" ref="R42" ca="1">SUMPRODUCT(TRANSPOSE(R$14:R$33),Is_NewStore_Trend!$G14:$Z14)</f>
        <v>181830.49635859884</v>
      </c>
      <c r="S42" s="226" cm="1">
        <f t="array" aca="1" ref="S42" ca="1">SUMPRODUCT(TRANSPOSE(S$14:S$33),Is_NewStore_Trend!$G14:$Z14)</f>
        <v>192886.05973378837</v>
      </c>
      <c r="T42" s="226" cm="1">
        <f t="array" aca="1" ref="T42" ca="1">SUMPRODUCT(TRANSPOSE(T$14:T$33),Is_NewStore_Trend!$G14:$Z14)</f>
        <v>213716.37448679181</v>
      </c>
      <c r="U42" s="226" cm="1">
        <f t="array" aca="1" ref="U42" ca="1">SUMPRODUCT(TRANSPOSE(U$14:U$33),Is_NewStore_Trend!$G14:$Z14)</f>
        <v>234702.91660044272</v>
      </c>
      <c r="V42" s="226" cm="1">
        <f t="array" aca="1" ref="V42" ca="1">SUMPRODUCT(TRANSPOSE(V$14:V$33),Is_NewStore_Trend!$G14:$Z14)</f>
        <v>246155.02312744604</v>
      </c>
      <c r="W42" s="226" cm="1">
        <f t="array" aca="1" ref="W42" ca="1">SUMPRODUCT(TRANSPOSE(W$14:W$33),Is_NewStore_Trend!$G14:$Z14)</f>
        <v>257693.02045340196</v>
      </c>
      <c r="X42" s="226" cm="1">
        <f t="array" aca="1" ref="X42" ca="1">SUMPRODUCT(TRANSPOSE(X$14:X$33),Is_NewStore_Trend!$G14:$Z14)</f>
        <v>279009.38741180254</v>
      </c>
      <c r="Y42" s="226" cm="1">
        <f t="array" aca="1" ref="Y42" ca="1">SUMPRODUCT(TRANSPOSE(Y$14:Y$33),Is_NewStore_Trend!$G14:$Z14)</f>
        <v>300485.62712239102</v>
      </c>
      <c r="Z42" s="226" cm="1">
        <f t="array" aca="1" ref="Z42" ca="1">SUMPRODUCT(TRANSPOSE(Z$14:Z$33),Is_NewStore_Trend!$G14:$Z14)</f>
        <v>312431.10397830897</v>
      </c>
    </row>
    <row r="43" spans="2:26" x14ac:dyDescent="0.25">
      <c r="B43" t="s">
        <v>0</v>
      </c>
      <c r="C43" s="209"/>
      <c r="D43" s="209"/>
      <c r="E43" s="209"/>
      <c r="F43" s="209"/>
      <c r="G43" s="226" cm="1">
        <f t="array" ref="G43">SUMPRODUCT(TRANSPOSE(G$14:G$33),Is_NewStore_Trend!$G15:$Z15)</f>
        <v>5750</v>
      </c>
      <c r="H43" s="226" cm="1">
        <f t="array" aca="1" ref="H43" ca="1">SUMPRODUCT(TRANSPOSE(H$14:H$33),Is_NewStore_Trend!$G15:$Z15)</f>
        <v>17250</v>
      </c>
      <c r="I43" s="226" cm="1">
        <f t="array" aca="1" ref="I43" ca="1">SUMPRODUCT(TRANSPOSE(I$14:I$33),Is_NewStore_Trend!$G15:$Z15)</f>
        <v>28750</v>
      </c>
      <c r="J43" s="226" cm="1">
        <f t="array" aca="1" ref="J43" ca="1">SUMPRODUCT(TRANSPOSE(J$14:J$33),Is_NewStore_Trend!$G15:$Z15)</f>
        <v>34500</v>
      </c>
      <c r="K43" s="226" cm="1">
        <f t="array" aca="1" ref="K43" ca="1">SUMPRODUCT(TRANSPOSE(K$14:K$33),Is_NewStore_Trend!$G15:$Z15)</f>
        <v>40250</v>
      </c>
      <c r="L43" s="226" cm="1">
        <f t="array" aca="1" ref="L43" ca="1">SUMPRODUCT(TRANSPOSE(L$14:L$33),Is_NewStore_Trend!$G15:$Z15)</f>
        <v>51750</v>
      </c>
      <c r="M43" s="226" cm="1">
        <f t="array" aca="1" ref="M43" ca="1">SUMPRODUCT(TRANSPOSE(M$14:M$33),Is_NewStore_Trend!$G15:$Z15)</f>
        <v>63250</v>
      </c>
      <c r="N43" s="226" cm="1">
        <f t="array" aca="1" ref="N43" ca="1">SUMPRODUCT(TRANSPOSE(N$14:N$33),Is_NewStore_Trend!$G15:$Z15)</f>
        <v>69000</v>
      </c>
      <c r="O43" s="226" cm="1">
        <f t="array" aca="1" ref="O43" ca="1">SUMPRODUCT(TRANSPOSE(O$14:O$33),Is_NewStore_Trend!$G15:$Z15)</f>
        <v>74750</v>
      </c>
      <c r="P43" s="226" cm="1">
        <f t="array" aca="1" ref="P43" ca="1">SUMPRODUCT(TRANSPOSE(P$14:P$33),Is_NewStore_Trend!$G15:$Z15)</f>
        <v>86250</v>
      </c>
      <c r="Q43" s="226" cm="1">
        <f t="array" aca="1" ref="Q43" ca="1">SUMPRODUCT(TRANSPOSE(Q$14:Q$33),Is_NewStore_Trend!$G15:$Z15)</f>
        <v>97750</v>
      </c>
      <c r="R43" s="226" cm="1">
        <f t="array" aca="1" ref="R43" ca="1">SUMPRODUCT(TRANSPOSE(R$14:R$33),Is_NewStore_Trend!$G15:$Z15)</f>
        <v>103500</v>
      </c>
      <c r="S43" s="226" cm="1">
        <f t="array" aca="1" ref="S43" ca="1">SUMPRODUCT(TRANSPOSE(S$14:S$33),Is_NewStore_Trend!$G15:$Z15)</f>
        <v>109250</v>
      </c>
      <c r="T43" s="226" cm="1">
        <f t="array" aca="1" ref="T43" ca="1">SUMPRODUCT(TRANSPOSE(T$14:T$33),Is_NewStore_Trend!$G15:$Z15)</f>
        <v>120750</v>
      </c>
      <c r="U43" s="226" cm="1">
        <f t="array" aca="1" ref="U43" ca="1">SUMPRODUCT(TRANSPOSE(U$14:U$33),Is_NewStore_Trend!$G15:$Z15)</f>
        <v>132250</v>
      </c>
      <c r="V43" s="226" cm="1">
        <f t="array" aca="1" ref="V43" ca="1">SUMPRODUCT(TRANSPOSE(V$14:V$33),Is_NewStore_Trend!$G15:$Z15)</f>
        <v>138000</v>
      </c>
      <c r="W43" s="226" cm="1">
        <f t="array" aca="1" ref="W43" ca="1">SUMPRODUCT(TRANSPOSE(W$14:W$33),Is_NewStore_Trend!$G15:$Z15)</f>
        <v>143750</v>
      </c>
      <c r="X43" s="226" cm="1">
        <f t="array" aca="1" ref="X43" ca="1">SUMPRODUCT(TRANSPOSE(X$14:X$33),Is_NewStore_Trend!$G15:$Z15)</f>
        <v>155250</v>
      </c>
      <c r="Y43" s="226" cm="1">
        <f t="array" aca="1" ref="Y43" ca="1">SUMPRODUCT(TRANSPOSE(Y$14:Y$33),Is_NewStore_Trend!$G15:$Z15)</f>
        <v>166750</v>
      </c>
      <c r="Z43" s="226" cm="1">
        <f t="array" aca="1" ref="Z43" ca="1">SUMPRODUCT(TRANSPOSE(Z$14:Z$33),Is_NewStore_Trend!$G15:$Z15)</f>
        <v>172500</v>
      </c>
    </row>
    <row r="44" spans="2:26" x14ac:dyDescent="0.25">
      <c r="B44" t="s">
        <v>2</v>
      </c>
      <c r="C44" s="209"/>
      <c r="D44" s="209"/>
      <c r="E44" s="209"/>
      <c r="F44" s="209"/>
      <c r="G44" s="226" cm="1">
        <f t="array" aca="1" ref="G44" ca="1">SUMPRODUCT(TRANSPOSE(G$14:G$33),Is_NewStore_Trend!$G16:$Z16)</f>
        <v>2832.0296062499997</v>
      </c>
      <c r="H44" s="226" cm="1">
        <f t="array" aca="1" ref="H44" ca="1">SUMPRODUCT(TRANSPOSE(H$14:H$33),Is_NewStore_Trend!$G16:$Z16)</f>
        <v>8517.3290407968743</v>
      </c>
      <c r="I44" s="226" cm="1">
        <f t="array" aca="1" ref="I44" ca="1">SUMPRODUCT(TRANSPOSE(I$14:I$33),Is_NewStore_Trend!$G16:$Z16)</f>
        <v>14245.26822110285</v>
      </c>
      <c r="J44" s="226" cm="1">
        <f t="array" aca="1" ref="J44" ca="1">SUMPRODUCT(TRANSPOSE(J$14:J$33),Is_NewStore_Trend!$G16:$Z16)</f>
        <v>17184.137339011122</v>
      </c>
      <c r="K44" s="226" cm="1">
        <f t="array" aca="1" ref="K44" ca="1">SUMPRODUCT(TRANSPOSE(K$14:K$33),Is_NewStore_Trend!$G16:$Z16)</f>
        <v>20145.047975303707</v>
      </c>
      <c r="L44" s="226" cm="1">
        <f t="array" aca="1" ref="L44" ca="1">SUMPRODUCT(TRANSPOSE(L$14:L$33),Is_NewStore_Trend!$G16:$Z16)</f>
        <v>25960.195047618487</v>
      </c>
      <c r="M44" s="226" cm="1">
        <f t="array" aca="1" ref="M44" ca="1">SUMPRODUCT(TRANSPOSE(M$14:M$33),Is_NewStore_Trend!$G16:$Z16)</f>
        <v>31818.955722975625</v>
      </c>
      <c r="N44" s="226" cm="1">
        <f t="array" aca="1" ref="N44" ca="1">SUMPRODUCT(TRANSPOSE(N$14:N$33),Is_NewStore_Trend!$G16:$Z16)</f>
        <v>34889.627497147943</v>
      </c>
      <c r="O44" s="226" cm="1">
        <f t="array" aca="1" ref="O44" ca="1">SUMPRODUCT(TRANSPOSE(O$14:O$33),Is_NewStore_Trend!$G16:$Z16)</f>
        <v>37983.329309626555</v>
      </c>
      <c r="P44" s="226" cm="1">
        <f t="array" aca="1" ref="P44" ca="1">SUMPRODUCT(TRANSPOSE(P$14:P$33),Is_NewStore_Trend!$G16:$Z16)</f>
        <v>43932.263491948761</v>
      </c>
      <c r="Q44" s="226" cm="1">
        <f t="array" aca="1" ref="Q44" ca="1">SUMPRODUCT(TRANSPOSE(Q$14:Q$33),Is_NewStore_Trend!$G16:$Z16)</f>
        <v>49925.814680638381</v>
      </c>
      <c r="R44" s="226" cm="1">
        <f t="array" aca="1" ref="R44" ca="1">SUMPRODUCT(TRANSPOSE(R$14:R$33),Is_NewStore_Trend!$G16:$Z16)</f>
        <v>53132.28789699317</v>
      </c>
      <c r="S44" s="226" cm="1">
        <f t="array" aca="1" ref="S44" ca="1">SUMPRODUCT(TRANSPOSE(S$14:S$33),Is_NewStore_Trend!$G16:$Z16)</f>
        <v>56362.809662470623</v>
      </c>
      <c r="T44" s="226" cm="1">
        <f t="array" aca="1" ref="T44" ca="1">SUMPRODUCT(TRANSPOSE(T$14:T$33),Is_NewStore_Trend!$G16:$Z16)</f>
        <v>62449.589947439163</v>
      </c>
      <c r="U44" s="226" cm="1">
        <f t="array" aca="1" ref="U44" ca="1">SUMPRODUCT(TRANSPOSE(U$14:U$33),Is_NewStore_Trend!$G16:$Z16)</f>
        <v>68582.021084544947</v>
      </c>
      <c r="V44" s="226" cm="1">
        <f t="array" aca="1" ref="V44" ca="1">SUMPRODUCT(TRANSPOSE(V$14:V$33),Is_NewStore_Trend!$G16:$Z16)</f>
        <v>71928.415848929042</v>
      </c>
      <c r="W44" s="226" cm="1">
        <f t="array" aca="1" ref="W44" ca="1">SUMPRODUCT(TRANSPOSE(W$14:W$33),Is_NewStore_Trend!$G16:$Z16)</f>
        <v>75299.908574046014</v>
      </c>
      <c r="X44" s="226" cm="1">
        <f t="array" aca="1" ref="X44" ca="1">SUMPRODUCT(TRANSPOSE(X$14:X$33),Is_NewStore_Trend!$G16:$Z16)</f>
        <v>81528.717100851369</v>
      </c>
      <c r="Y44" s="226" cm="1">
        <f t="array" aca="1" ref="Y44" ca="1">SUMPRODUCT(TRANSPOSE(Y$14:Y$33),Is_NewStore_Trend!$G16:$Z16)</f>
        <v>87804.241691607749</v>
      </c>
      <c r="Z44" s="226" cm="1">
        <f t="array" aca="1" ref="Z44" ca="1">SUMPRODUCT(TRANSPOSE(Z$14:Z$33),Is_NewStore_Trend!$G16:$Z16)</f>
        <v>91294.803110544803</v>
      </c>
    </row>
    <row r="45" spans="2:26" x14ac:dyDescent="0.25">
      <c r="B45" t="s">
        <v>3</v>
      </c>
      <c r="C45" s="209"/>
      <c r="D45" s="209"/>
      <c r="E45" s="209"/>
      <c r="F45" s="209"/>
      <c r="G45" s="226" cm="1">
        <f t="array" aca="1" ref="G45" ca="1">SUMPRODUCT(TRANSPOSE(G$14:G$33),Is_NewStore_Trend!$G17:$Z17)</f>
        <v>2832.0296062499997</v>
      </c>
      <c r="H45" s="226" cm="1">
        <f t="array" aca="1" ref="H45" ca="1">SUMPRODUCT(TRANSPOSE(H$14:H$33),Is_NewStore_Trend!$G17:$Z17)</f>
        <v>8517.3290407968743</v>
      </c>
      <c r="I45" s="226" cm="1">
        <f t="array" aca="1" ref="I45" ca="1">SUMPRODUCT(TRANSPOSE(I$14:I$33),Is_NewStore_Trend!$G17:$Z17)</f>
        <v>14245.26822110285</v>
      </c>
      <c r="J45" s="226" cm="1">
        <f t="array" aca="1" ref="J45" ca="1">SUMPRODUCT(TRANSPOSE(J$14:J$33),Is_NewStore_Trend!$G17:$Z17)</f>
        <v>17184.137339011122</v>
      </c>
      <c r="K45" s="226" cm="1">
        <f t="array" aca="1" ref="K45" ca="1">SUMPRODUCT(TRANSPOSE(K$14:K$33),Is_NewStore_Trend!$G17:$Z17)</f>
        <v>20145.047975303707</v>
      </c>
      <c r="L45" s="226" cm="1">
        <f t="array" aca="1" ref="L45" ca="1">SUMPRODUCT(TRANSPOSE(L$14:L$33),Is_NewStore_Trend!$G17:$Z17)</f>
        <v>25960.195047618487</v>
      </c>
      <c r="M45" s="226" cm="1">
        <f t="array" aca="1" ref="M45" ca="1">SUMPRODUCT(TRANSPOSE(M$14:M$33),Is_NewStore_Trend!$G17:$Z17)</f>
        <v>31818.955722975625</v>
      </c>
      <c r="N45" s="226" cm="1">
        <f t="array" aca="1" ref="N45" ca="1">SUMPRODUCT(TRANSPOSE(N$14:N$33),Is_NewStore_Trend!$G17:$Z17)</f>
        <v>34889.627497147943</v>
      </c>
      <c r="O45" s="226" cm="1">
        <f t="array" aca="1" ref="O45" ca="1">SUMPRODUCT(TRANSPOSE(O$14:O$33),Is_NewStore_Trend!$G17:$Z17)</f>
        <v>37983.329309626555</v>
      </c>
      <c r="P45" s="226" cm="1">
        <f t="array" aca="1" ref="P45" ca="1">SUMPRODUCT(TRANSPOSE(P$14:P$33),Is_NewStore_Trend!$G17:$Z17)</f>
        <v>43932.263491948761</v>
      </c>
      <c r="Q45" s="226" cm="1">
        <f t="array" aca="1" ref="Q45" ca="1">SUMPRODUCT(TRANSPOSE(Q$14:Q$33),Is_NewStore_Trend!$G17:$Z17)</f>
        <v>49925.814680638381</v>
      </c>
      <c r="R45" s="226" cm="1">
        <f t="array" aca="1" ref="R45" ca="1">SUMPRODUCT(TRANSPOSE(R$14:R$33),Is_NewStore_Trend!$G17:$Z17)</f>
        <v>53132.28789699317</v>
      </c>
      <c r="S45" s="226" cm="1">
        <f t="array" aca="1" ref="S45" ca="1">SUMPRODUCT(TRANSPOSE(S$14:S$33),Is_NewStore_Trend!$G17:$Z17)</f>
        <v>56362.809662470623</v>
      </c>
      <c r="T45" s="226" cm="1">
        <f t="array" aca="1" ref="T45" ca="1">SUMPRODUCT(TRANSPOSE(T$14:T$33),Is_NewStore_Trend!$G17:$Z17)</f>
        <v>62449.589947439163</v>
      </c>
      <c r="U45" s="226" cm="1">
        <f t="array" aca="1" ref="U45" ca="1">SUMPRODUCT(TRANSPOSE(U$14:U$33),Is_NewStore_Trend!$G17:$Z17)</f>
        <v>68582.021084544947</v>
      </c>
      <c r="V45" s="226" cm="1">
        <f t="array" aca="1" ref="V45" ca="1">SUMPRODUCT(TRANSPOSE(V$14:V$33),Is_NewStore_Trend!$G17:$Z17)</f>
        <v>71928.415848929042</v>
      </c>
      <c r="W45" s="226" cm="1">
        <f t="array" aca="1" ref="W45" ca="1">SUMPRODUCT(TRANSPOSE(W$14:W$33),Is_NewStore_Trend!$G17:$Z17)</f>
        <v>75299.908574046014</v>
      </c>
      <c r="X45" s="226" cm="1">
        <f t="array" aca="1" ref="X45" ca="1">SUMPRODUCT(TRANSPOSE(X$14:X$33),Is_NewStore_Trend!$G17:$Z17)</f>
        <v>81528.717100851369</v>
      </c>
      <c r="Y45" s="226" cm="1">
        <f t="array" aca="1" ref="Y45" ca="1">SUMPRODUCT(TRANSPOSE(Y$14:Y$33),Is_NewStore_Trend!$G17:$Z17)</f>
        <v>87804.241691607749</v>
      </c>
      <c r="Z45" s="226" cm="1">
        <f t="array" aca="1" ref="Z45" ca="1">SUMPRODUCT(TRANSPOSE(Z$14:Z$33),Is_NewStore_Trend!$G17:$Z17)</f>
        <v>91294.803110544803</v>
      </c>
    </row>
    <row r="46" spans="2:26" x14ac:dyDescent="0.25">
      <c r="B46" t="s">
        <v>16</v>
      </c>
      <c r="C46" s="209"/>
      <c r="D46" s="209"/>
      <c r="E46" s="209"/>
      <c r="F46" s="209"/>
      <c r="G46" s="226" cm="1">
        <f t="array" aca="1" ref="G46" ca="1">SUMPRODUCT(TRANSPOSE(G$14:G$33),Is_NewStore_Trend!$G18:$Z18)</f>
        <v>2832.0296062499997</v>
      </c>
      <c r="H46" s="226" cm="1">
        <f t="array" aca="1" ref="H46" ca="1">SUMPRODUCT(TRANSPOSE(H$14:H$33),Is_NewStore_Trend!$G18:$Z18)</f>
        <v>8517.3290407968743</v>
      </c>
      <c r="I46" s="226" cm="1">
        <f t="array" aca="1" ref="I46" ca="1">SUMPRODUCT(TRANSPOSE(I$14:I$33),Is_NewStore_Trend!$G18:$Z18)</f>
        <v>14245.26822110285</v>
      </c>
      <c r="J46" s="226" cm="1">
        <f t="array" aca="1" ref="J46" ca="1">SUMPRODUCT(TRANSPOSE(J$14:J$33),Is_NewStore_Trend!$G18:$Z18)</f>
        <v>17184.137339011122</v>
      </c>
      <c r="K46" s="226" cm="1">
        <f t="array" aca="1" ref="K46" ca="1">SUMPRODUCT(TRANSPOSE(K$14:K$33),Is_NewStore_Trend!$G18:$Z18)</f>
        <v>20145.047975303707</v>
      </c>
      <c r="L46" s="226" cm="1">
        <f t="array" aca="1" ref="L46" ca="1">SUMPRODUCT(TRANSPOSE(L$14:L$33),Is_NewStore_Trend!$G18:$Z18)</f>
        <v>25960.195047618487</v>
      </c>
      <c r="M46" s="226" cm="1">
        <f t="array" aca="1" ref="M46" ca="1">SUMPRODUCT(TRANSPOSE(M$14:M$33),Is_NewStore_Trend!$G18:$Z18)</f>
        <v>31818.955722975625</v>
      </c>
      <c r="N46" s="226" cm="1">
        <f t="array" aca="1" ref="N46" ca="1">SUMPRODUCT(TRANSPOSE(N$14:N$33),Is_NewStore_Trend!$G18:$Z18)</f>
        <v>34889.627497147943</v>
      </c>
      <c r="O46" s="226" cm="1">
        <f t="array" aca="1" ref="O46" ca="1">SUMPRODUCT(TRANSPOSE(O$14:O$33),Is_NewStore_Trend!$G18:$Z18)</f>
        <v>37983.329309626555</v>
      </c>
      <c r="P46" s="226" cm="1">
        <f t="array" aca="1" ref="P46" ca="1">SUMPRODUCT(TRANSPOSE(P$14:P$33),Is_NewStore_Trend!$G18:$Z18)</f>
        <v>43932.263491948761</v>
      </c>
      <c r="Q46" s="226" cm="1">
        <f t="array" aca="1" ref="Q46" ca="1">SUMPRODUCT(TRANSPOSE(Q$14:Q$33),Is_NewStore_Trend!$G18:$Z18)</f>
        <v>49925.814680638381</v>
      </c>
      <c r="R46" s="226" cm="1">
        <f t="array" aca="1" ref="R46" ca="1">SUMPRODUCT(TRANSPOSE(R$14:R$33),Is_NewStore_Trend!$G18:$Z18)</f>
        <v>53132.28789699317</v>
      </c>
      <c r="S46" s="226" cm="1">
        <f t="array" aca="1" ref="S46" ca="1">SUMPRODUCT(TRANSPOSE(S$14:S$33),Is_NewStore_Trend!$G18:$Z18)</f>
        <v>56362.809662470623</v>
      </c>
      <c r="T46" s="226" cm="1">
        <f t="array" aca="1" ref="T46" ca="1">SUMPRODUCT(TRANSPOSE(T$14:T$33),Is_NewStore_Trend!$G18:$Z18)</f>
        <v>62449.589947439163</v>
      </c>
      <c r="U46" s="226" cm="1">
        <f t="array" aca="1" ref="U46" ca="1">SUMPRODUCT(TRANSPOSE(U$14:U$33),Is_NewStore_Trend!$G18:$Z18)</f>
        <v>68582.021084544947</v>
      </c>
      <c r="V46" s="226" cm="1">
        <f t="array" aca="1" ref="V46" ca="1">SUMPRODUCT(TRANSPOSE(V$14:V$33),Is_NewStore_Trend!$G18:$Z18)</f>
        <v>71928.415848929042</v>
      </c>
      <c r="W46" s="226" cm="1">
        <f t="array" aca="1" ref="W46" ca="1">SUMPRODUCT(TRANSPOSE(W$14:W$33),Is_NewStore_Trend!$G18:$Z18)</f>
        <v>75299.908574046014</v>
      </c>
      <c r="X46" s="226" cm="1">
        <f t="array" aca="1" ref="X46" ca="1">SUMPRODUCT(TRANSPOSE(X$14:X$33),Is_NewStore_Trend!$G18:$Z18)</f>
        <v>81528.717100851369</v>
      </c>
      <c r="Y46" s="226" cm="1">
        <f t="array" aca="1" ref="Y46" ca="1">SUMPRODUCT(TRANSPOSE(Y$14:Y$33),Is_NewStore_Trend!$G18:$Z18)</f>
        <v>87804.241691607749</v>
      </c>
      <c r="Z46" s="226" cm="1">
        <f t="array" aca="1" ref="Z46" ca="1">SUMPRODUCT(TRANSPOSE(Z$14:Z$33),Is_NewStore_Trend!$G18:$Z18)</f>
        <v>91294.803110544803</v>
      </c>
    </row>
    <row r="47" spans="2:26" x14ac:dyDescent="0.25">
      <c r="B47" t="s">
        <v>4</v>
      </c>
      <c r="C47" s="209"/>
      <c r="D47" s="209"/>
      <c r="E47" s="209"/>
      <c r="F47" s="209"/>
      <c r="G47" s="226" cm="1">
        <f t="array" aca="1" ref="G47" ca="1">SUMPRODUCT(TRANSPOSE(G$14:G$33),Is_NewStore_Trend!$G19:$Z19)</f>
        <v>5664.0592124999994</v>
      </c>
      <c r="H47" s="226" cm="1">
        <f t="array" aca="1" ref="H47" ca="1">SUMPRODUCT(TRANSPOSE(H$14:H$33),Is_NewStore_Trend!$G19:$Z19)</f>
        <v>17034.658081593749</v>
      </c>
      <c r="I47" s="226" cm="1">
        <f t="array" aca="1" ref="I47" ca="1">SUMPRODUCT(TRANSPOSE(I$14:I$33),Is_NewStore_Trend!$G19:$Z19)</f>
        <v>28490.536442205699</v>
      </c>
      <c r="J47" s="226" cm="1">
        <f t="array" aca="1" ref="J47" ca="1">SUMPRODUCT(TRANSPOSE(J$14:J$33),Is_NewStore_Trend!$G19:$Z19)</f>
        <v>34368.274678022244</v>
      </c>
      <c r="K47" s="226" cm="1">
        <f t="array" aca="1" ref="K47" ca="1">SUMPRODUCT(TRANSPOSE(K$14:K$33),Is_NewStore_Trend!$G19:$Z19)</f>
        <v>40290.095950607414</v>
      </c>
      <c r="L47" s="226" cm="1">
        <f t="array" aca="1" ref="L47" ca="1">SUMPRODUCT(TRANSPOSE(L$14:L$33),Is_NewStore_Trend!$G19:$Z19)</f>
        <v>51920.390095236973</v>
      </c>
      <c r="M47" s="226" cm="1">
        <f t="array" aca="1" ref="M47" ca="1">SUMPRODUCT(TRANSPOSE(M$14:M$33),Is_NewStore_Trend!$G19:$Z19)</f>
        <v>63637.911445951249</v>
      </c>
      <c r="N47" s="226" cm="1">
        <f t="array" aca="1" ref="N47" ca="1">SUMPRODUCT(TRANSPOSE(N$14:N$33),Is_NewStore_Trend!$G19:$Z19)</f>
        <v>69779.254994295887</v>
      </c>
      <c r="O47" s="226" cm="1">
        <f t="array" aca="1" ref="O47" ca="1">SUMPRODUCT(TRANSPOSE(O$14:O$33),Is_NewStore_Trend!$G19:$Z19)</f>
        <v>75966.65861925311</v>
      </c>
      <c r="P47" s="226" cm="1">
        <f t="array" aca="1" ref="P47" ca="1">SUMPRODUCT(TRANSPOSE(P$14:P$33),Is_NewStore_Trend!$G19:$Z19)</f>
        <v>87864.526983897522</v>
      </c>
      <c r="Q47" s="226" cm="1">
        <f t="array" aca="1" ref="Q47" ca="1">SUMPRODUCT(TRANSPOSE(Q$14:Q$33),Is_NewStore_Trend!$G19:$Z19)</f>
        <v>99851.629361276762</v>
      </c>
      <c r="R47" s="226" cm="1">
        <f t="array" aca="1" ref="R47" ca="1">SUMPRODUCT(TRANSPOSE(R$14:R$33),Is_NewStore_Trend!$G19:$Z19)</f>
        <v>106264.57579398634</v>
      </c>
      <c r="S47" s="226" cm="1">
        <f t="array" aca="1" ref="S47" ca="1">SUMPRODUCT(TRANSPOSE(S$14:S$33),Is_NewStore_Trend!$G19:$Z19)</f>
        <v>112725.61932494125</v>
      </c>
      <c r="T47" s="226" cm="1">
        <f t="array" aca="1" ref="T47" ca="1">SUMPRODUCT(TRANSPOSE(T$14:T$33),Is_NewStore_Trend!$G19:$Z19)</f>
        <v>124899.17989487833</v>
      </c>
      <c r="U47" s="226" cm="1">
        <f t="array" aca="1" ref="U47" ca="1">SUMPRODUCT(TRANSPOSE(U$14:U$33),Is_NewStore_Trend!$G19:$Z19)</f>
        <v>137164.04216908989</v>
      </c>
      <c r="V47" s="226" cm="1">
        <f t="array" aca="1" ref="V47" ca="1">SUMPRODUCT(TRANSPOSE(V$14:V$33),Is_NewStore_Trend!$G19:$Z19)</f>
        <v>143856.83169785808</v>
      </c>
      <c r="W47" s="226" cm="1">
        <f t="array" aca="1" ref="W47" ca="1">SUMPRODUCT(TRANSPOSE(W$14:W$33),Is_NewStore_Trend!$G19:$Z19)</f>
        <v>150599.81714809203</v>
      </c>
      <c r="X47" s="226" cm="1">
        <f t="array" aca="1" ref="X47" ca="1">SUMPRODUCT(TRANSPOSE(X$14:X$33),Is_NewStore_Trend!$G19:$Z19)</f>
        <v>163057.43420170274</v>
      </c>
      <c r="Y47" s="226" cm="1">
        <f t="array" aca="1" ref="Y47" ca="1">SUMPRODUCT(TRANSPOSE(Y$14:Y$33),Is_NewStore_Trend!$G19:$Z19)</f>
        <v>175608.4833832155</v>
      </c>
      <c r="Z47" s="226" cm="1">
        <f t="array" aca="1" ref="Z47" ca="1">SUMPRODUCT(TRANSPOSE(Z$14:Z$33),Is_NewStore_Trend!$G19:$Z19)</f>
        <v>182589.60622108961</v>
      </c>
    </row>
    <row r="48" spans="2:26" x14ac:dyDescent="0.25">
      <c r="B48" s="185" t="s">
        <v>200</v>
      </c>
      <c r="C48" s="206"/>
      <c r="D48" s="206"/>
      <c r="E48" s="206"/>
      <c r="F48" s="206"/>
      <c r="G48" s="225" cm="1">
        <f t="array" aca="1" ref="G48" ca="1">SUMPRODUCT(TRANSPOSE(G$14:G$33),Is_NewStore_Trend!$G20:$Z20)</f>
        <v>29601.982683749997</v>
      </c>
      <c r="H48" s="225" cm="1">
        <f t="array" aca="1" ref="H48" ca="1">SUMPRODUCT(TRANSPOSE(H$14:H$33),Is_NewStore_Trend!$G20:$Z20)</f>
        <v>88984.837921378115</v>
      </c>
      <c r="I48" s="225" cm="1">
        <f t="array" aca="1" ref="I48" ca="1">SUMPRODUCT(TRANSPOSE(I$14:I$33),Is_NewStore_Trend!$G20:$Z20)</f>
        <v>148726.81457328843</v>
      </c>
      <c r="J48" s="225" cm="1">
        <f t="array" aca="1" ref="J48" ca="1">SUMPRODUCT(TRANSPOSE(J$14:J$33),Is_NewStore_Trend!$G20:$Z20)</f>
        <v>179228.62336633814</v>
      </c>
      <c r="K48" s="225" cm="1">
        <f t="array" aca="1" ref="K48" ca="1">SUMPRODUCT(TRANSPOSE(K$14:K$33),Is_NewStore_Trend!$G20:$Z20)</f>
        <v>209916.07072533565</v>
      </c>
      <c r="L48" s="225" cm="1">
        <f t="array" aca="1" ref="L48" ca="1">SUMPRODUCT(TRANSPOSE(L$14:L$33),Is_NewStore_Trend!$G20:$Z20)</f>
        <v>270392.53162327572</v>
      </c>
      <c r="M48" s="225" cm="1">
        <f t="array" aca="1" ref="M48" ca="1">SUMPRODUCT(TRANSPOSE(M$14:M$33),Is_NewStore_Trend!$G20:$Z20)</f>
        <v>331236.31597795029</v>
      </c>
      <c r="N48" s="225" cm="1">
        <f t="array" aca="1" ref="N48" ca="1">SUMPRODUCT(TRANSPOSE(N$14:N$33),Is_NewStore_Trend!$G20:$Z20)</f>
        <v>362848.19603153493</v>
      </c>
      <c r="O48" s="225" cm="1">
        <f t="array" aca="1" ref="O48" ca="1">SUMPRODUCT(TRANSPOSE(O$14:O$33),Is_NewStore_Trend!$G20:$Z20)</f>
        <v>394654.04018552141</v>
      </c>
      <c r="P48" s="225" cm="1">
        <f t="array" aca="1" ref="P48" ca="1">SUMPRODUCT(TRANSPOSE(P$14:P$33),Is_NewStore_Trend!$G20:$Z20)</f>
        <v>456257.28585441288</v>
      </c>
      <c r="Q48" s="225" cm="1">
        <f t="array" aca="1" ref="Q48" ca="1">SUMPRODUCT(TRANSPOSE(Q$14:Q$33),Is_NewStore_Trend!$G20:$Z20)</f>
        <v>518236.30586582102</v>
      </c>
      <c r="R48" s="225" cm="1">
        <f t="array" aca="1" ref="R48" ca="1">SUMPRODUCT(TRANSPOSE(R$14:R$33),Is_NewStore_Trend!$G20:$Z20)</f>
        <v>550991.93584356469</v>
      </c>
      <c r="S48" s="225" cm="1">
        <f t="array" aca="1" ref="S48" ca="1">SUMPRODUCT(TRANSPOSE(S$14:S$33),Is_NewStore_Trend!$G20:$Z20)</f>
        <v>583950.10804614145</v>
      </c>
      <c r="T48" s="225" cm="1">
        <f t="array" aca="1" ref="T48" ca="1">SUMPRODUCT(TRANSPOSE(T$14:T$33),Is_NewStore_Trend!$G20:$Z20)</f>
        <v>646714.32422398753</v>
      </c>
      <c r="U48" s="225" cm="1">
        <f t="array" aca="1" ref="U48" ca="1">SUMPRODUCT(TRANSPOSE(U$14:U$33),Is_NewStore_Trend!$G20:$Z20)</f>
        <v>709863.02202316746</v>
      </c>
      <c r="V48" s="225" cm="1">
        <f t="array" aca="1" ref="V48" ca="1">SUMPRODUCT(TRANSPOSE(V$14:V$33),Is_NewStore_Trend!$G20:$Z20)</f>
        <v>743797.10237209126</v>
      </c>
      <c r="W48" s="225" cm="1">
        <f t="array" aca="1" ref="W48" ca="1">SUMPRODUCT(TRANSPOSE(W$14:W$33),Is_NewStore_Trend!$G20:$Z20)</f>
        <v>777942.563323632</v>
      </c>
      <c r="X48" s="225" cm="1">
        <f t="array" aca="1" ref="X48" ca="1">SUMPRODUCT(TRANSPOSE(X$14:X$33),Is_NewStore_Trend!$G20:$Z20)</f>
        <v>841902.97291605931</v>
      </c>
      <c r="Y48" s="225" cm="1">
        <f t="array" aca="1" ref="Y48" ca="1">SUMPRODUCT(TRANSPOSE(Y$14:Y$33),Is_NewStore_Trend!$G20:$Z20)</f>
        <v>906256.83558042976</v>
      </c>
      <c r="Z48" s="225" cm="1">
        <f t="array" aca="1" ref="Z48" ca="1">SUMPRODUCT(TRANSPOSE(Z$14:Z$33),Is_NewStore_Trend!$G20:$Z20)</f>
        <v>941405.11953103286</v>
      </c>
    </row>
    <row r="49" spans="2:26" x14ac:dyDescent="0.25">
      <c r="B49" s="185" t="s">
        <v>201</v>
      </c>
      <c r="C49" s="211"/>
      <c r="D49" s="211"/>
      <c r="E49" s="211"/>
      <c r="F49" s="211"/>
      <c r="G49" s="227" cm="1">
        <f t="array" aca="1" ref="G49" ca="1">SUMPRODUCT(TRANSPOSE(G$14:G$33),Is_NewStore_Trend!$G21:$Z21)</f>
        <v>155469.96518375</v>
      </c>
      <c r="H49" s="227" cm="1">
        <f t="array" aca="1" ref="H49" ca="1">SUMPRODUCT(TRANSPOSE(H$14:H$33),Is_NewStore_Trend!$G21:$Z21)</f>
        <v>467532.79529012815</v>
      </c>
      <c r="I49" s="227" cm="1">
        <f t="array" aca="1" ref="I49" ca="1">SUMPRODUCT(TRANSPOSE(I$14:I$33),Is_NewStore_Trend!$G21:$Z21)</f>
        <v>781849.84662230429</v>
      </c>
      <c r="J49" s="227" cm="1">
        <f t="array" aca="1" ref="J49" ca="1">SUMPRODUCT(TRANSPOSE(J$14:J$33),Is_NewStore_Trend!$G21:$Z21)</f>
        <v>942968.06065572158</v>
      </c>
      <c r="K49" s="227" cm="1">
        <f t="array" aca="1" ref="K49" ca="1">SUMPRODUCT(TRANSPOSE(K$14:K$33),Is_NewStore_Trend!$G21:$Z21)</f>
        <v>1105251.5362943895</v>
      </c>
      <c r="L49" s="227" cm="1">
        <f t="array" aca="1" ref="L49" ca="1">SUMPRODUCT(TRANSPOSE(L$14:L$33),Is_NewStore_Trend!$G21:$Z21)</f>
        <v>1424178.9781840977</v>
      </c>
      <c r="M49" s="227" cm="1">
        <f t="array" aca="1" ref="M49" ca="1">SUMPRODUCT(TRANSPOSE(M$14:M$33),Is_NewStore_Trend!$G21:$Z21)</f>
        <v>1745412.1258879784</v>
      </c>
      <c r="N49" s="227" cm="1">
        <f t="array" aca="1" ref="N49" ca="1">SUMPRODUCT(TRANSPOSE(N$14:N$33),Is_NewStore_Trend!$G21:$Z21)</f>
        <v>1913498.3070158884</v>
      </c>
      <c r="O49" s="227" cm="1">
        <f t="array" aca="1" ref="O49" ca="1">SUMPRODUCT(TRANSPOSE(O$14:O$33),Is_NewStore_Trend!$G21:$Z21)</f>
        <v>2082802.0095022575</v>
      </c>
      <c r="P49" s="227" cm="1">
        <f t="array" aca="1" ref="P49" ca="1">SUMPRODUCT(TRANSPOSE(P$14:P$33),Is_NewStore_Trend!$G21:$Z21)</f>
        <v>2408802.329941025</v>
      </c>
      <c r="Q49" s="227" cm="1">
        <f t="array" aca="1" ref="Q49" ca="1">SUMPRODUCT(TRANSPOSE(Q$14:Q$33),Is_NewStore_Trend!$G21:$Z21)</f>
        <v>2737161.4027830823</v>
      </c>
      <c r="R49" s="227" cm="1">
        <f t="array" aca="1" ref="R49" ca="1">SUMPRODUCT(TRANSPOSE(R$14:R$33),Is_NewStore_Trend!$G21:$Z21)</f>
        <v>2912426.9534877059</v>
      </c>
      <c r="S49" s="227" cm="1">
        <f t="array" aca="1" ref="S49" ca="1">SUMPRODUCT(TRANSPOSE(S$14:S$33),Is_NewStore_Trend!$G21:$Z21)</f>
        <v>3088963.8708226131</v>
      </c>
      <c r="T49" s="227" cm="1">
        <f t="array" aca="1" ref="T49" ca="1">SUMPRODUCT(TRANSPOSE(T$14:T$33),Is_NewStore_Trend!$G21:$Z21)</f>
        <v>3422251.6552212839</v>
      </c>
      <c r="U49" s="227" cm="1">
        <f t="array" aca="1" ref="U49" ca="1">SUMPRODUCT(TRANSPOSE(U$14:U$33),Is_NewStore_Trend!$G21:$Z21)</f>
        <v>3757952.8480029432</v>
      </c>
      <c r="V49" s="227" cm="1">
        <f t="array" aca="1" ref="V49" ca="1">SUMPRODUCT(TRANSPOSE(V$14:V$33),Is_NewStore_Trend!$G21:$Z21)</f>
        <v>3940615.584546716</v>
      </c>
      <c r="W49" s="227" cm="1">
        <f t="array" aca="1" ref="W49" ca="1">SUMPRODUCT(TRANSPOSE(W$14:W$33),Is_NewStore_Trend!$G21:$Z21)</f>
        <v>4124605.1666145655</v>
      </c>
      <c r="X49" s="227" cm="1">
        <f t="array" aca="1" ref="X49" ca="1">SUMPRODUCT(TRANSPOSE(X$14:X$33),Is_NewStore_Trend!$G21:$Z21)</f>
        <v>4465401.5107316757</v>
      </c>
      <c r="Y49" s="227" cm="1">
        <f t="array" aca="1" ref="Y49" ca="1">SUMPRODUCT(TRANSPOSE(Y$14:Y$33),Is_NewStore_Trend!$G21:$Z21)</f>
        <v>4808667.5774296643</v>
      </c>
      <c r="Z49" s="227" cm="1">
        <f t="array" aca="1" ref="Z49" ca="1">SUMPRODUCT(TRANSPOSE(Z$14:Z$33),Is_NewStore_Trend!$G21:$Z21)</f>
        <v>4998951.9244441362</v>
      </c>
    </row>
    <row r="50" spans="2:26" x14ac:dyDescent="0.25">
      <c r="C50" s="209"/>
      <c r="D50" s="209"/>
      <c r="E50" s="209"/>
      <c r="F50" s="209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</row>
    <row r="51" spans="2:26" x14ac:dyDescent="0.25">
      <c r="B51" t="s">
        <v>71</v>
      </c>
      <c r="C51" s="209"/>
      <c r="D51" s="209"/>
      <c r="E51" s="209"/>
      <c r="F51" s="209"/>
      <c r="G51" s="226" cm="1">
        <f t="array" aca="1" ref="G51" ca="1">SUMPRODUCT(TRANSPOSE(G$14:G$33),Is_NewStore_Trend!$G23:$Z23)</f>
        <v>98755.150000000009</v>
      </c>
      <c r="H51" s="226" cm="1">
        <f t="array" aca="1" ref="H51" ca="1">SUMPRODUCT(TRANSPOSE(H$14:H$33),Is_NewStore_Trend!$G23:$Z23)</f>
        <v>297006.113625</v>
      </c>
      <c r="I51" s="226" cm="1">
        <f t="array" aca="1" ref="I51" ca="1">SUMPRODUCT(TRANSPOSE(I$14:I$33),Is_NewStore_Trend!$G23:$Z23)</f>
        <v>496743.9594771876</v>
      </c>
      <c r="J51" s="226" cm="1">
        <f t="array" aca="1" ref="J51" ca="1">SUMPRODUCT(TRANSPOSE(J$14:J$33),Is_NewStore_Trend!$G23:$Z23)</f>
        <v>599224.68917326652</v>
      </c>
      <c r="K51" s="226" cm="1">
        <f t="array" aca="1" ref="K51" ca="1">SUMPRODUCT(TRANSPOSE(K$14:K$33),Is_NewStore_Trend!$G23:$Z23)</f>
        <v>702474.02434206603</v>
      </c>
      <c r="L51" s="226" cm="1">
        <f t="array" aca="1" ref="L51" ca="1">SUMPRODUCT(TRANSPOSE(L$14:L$33),Is_NewStore_Trend!$G23:$Z23)</f>
        <v>905252.87952463154</v>
      </c>
      <c r="M51" s="226" cm="1">
        <f t="array" aca="1" ref="M51" ca="1">SUMPRODUCT(TRANSPOSE(M$14:M$33),Is_NewStore_Trend!$G23:$Z23)</f>
        <v>1109552.5761210665</v>
      </c>
      <c r="N51" s="226" cm="1">
        <f t="array" aca="1" ref="N51" ca="1">SUMPRODUCT(TRANSPOSE(N$14:N$33),Is_NewStore_Trend!$G23:$Z23)</f>
        <v>1216629.3704419744</v>
      </c>
      <c r="O51" s="226" cm="1">
        <f t="array" aca="1" ref="O51" ca="1">SUMPRODUCT(TRANSPOSE(O$14:O$33),Is_NewStore_Trend!$G23:$Z23)</f>
        <v>1324509.2407202893</v>
      </c>
      <c r="P51" s="226" cm="1">
        <f t="array" aca="1" ref="P51" ca="1">SUMPRODUCT(TRANSPOSE(P$14:P$33),Is_NewStore_Trend!$G23:$Z23)</f>
        <v>1531953.3600256916</v>
      </c>
      <c r="Q51" s="226" cm="1">
        <f t="array" aca="1" ref="Q51" ca="1">SUMPRODUCT(TRANSPOSE(Q$14:Q$33),Is_NewStore_Trend!$G23:$Z23)</f>
        <v>1740953.3102258847</v>
      </c>
      <c r="R51" s="226" cm="1">
        <f t="array" aca="1" ref="R51" ca="1">SUMPRODUCT(TRANSPOSE(R$14:R$33),Is_NewStore_Trend!$G23:$Z23)</f>
        <v>1852765.6100525786</v>
      </c>
      <c r="S51" s="226" cm="1">
        <f t="array" aca="1" ref="S51" ca="1">SUMPRODUCT(TRANSPOSE(S$14:S$33),Is_NewStore_Trend!$G23:$Z23)</f>
        <v>1965416.5021279731</v>
      </c>
      <c r="T51" s="226" cm="1">
        <f t="array" aca="1" ref="T51" ca="1">SUMPRODUCT(TRANSPOSE(T$14:T$33),Is_NewStore_Trend!$G23:$Z23)</f>
        <v>2177667.425893933</v>
      </c>
      <c r="U51" s="226" cm="1">
        <f t="array" aca="1" ref="U51" ca="1">SUMPRODUCT(TRANSPOSE(U$14:U$33),Is_NewStore_Trend!$G23:$Z23)</f>
        <v>2391510.2315881378</v>
      </c>
      <c r="V51" s="226" cm="1">
        <f t="array" aca="1" ref="V51" ca="1">SUMPRODUCT(TRANSPOSE(V$14:V$33),Is_NewStore_Trend!$G23:$Z23)</f>
        <v>2508201.7083250489</v>
      </c>
      <c r="W51" s="226" cm="1">
        <f t="array" aca="1" ref="W51" ca="1">SUMPRODUCT(TRANSPOSE(W$14:W$33),Is_NewStore_Trend!$G23:$Z23)</f>
        <v>2625768.3711374872</v>
      </c>
      <c r="X51" s="226" cm="1">
        <f t="array" aca="1" ref="X51" ca="1">SUMPRODUCT(TRANSPOSE(X$14:X$33),Is_NewStore_Trend!$G23:$Z23)</f>
        <v>2842971.9339210181</v>
      </c>
      <c r="Y51" s="226" cm="1">
        <f t="array" aca="1" ref="Y51" ca="1">SUMPRODUCT(TRANSPOSE(Y$14:Y$33),Is_NewStore_Trend!$G23:$Z23)</f>
        <v>3061804.5234254263</v>
      </c>
      <c r="Z51" s="226" cm="1">
        <f t="array" aca="1" ref="Z51" ca="1">SUMPRODUCT(TRANSPOSE(Z$14:Z$33),Is_NewStore_Trend!$G23:$Z23)</f>
        <v>3183523.2073511174</v>
      </c>
    </row>
    <row r="52" spans="2:26" x14ac:dyDescent="0.25">
      <c r="B52" t="s">
        <v>72</v>
      </c>
      <c r="C52" s="209"/>
      <c r="D52" s="209"/>
      <c r="E52" s="209"/>
      <c r="F52" s="209"/>
      <c r="G52" s="226" cm="1">
        <f t="array" aca="1" ref="G52" ca="1">SUMPRODUCT(TRANSPOSE(G$14:G$33),Is_NewStore_Trend!$G24:$Z24)</f>
        <v>11394.824999999999</v>
      </c>
      <c r="H52" s="226" cm="1">
        <f t="array" aca="1" ref="H52" ca="1">SUMPRODUCT(TRANSPOSE(H$14:H$33),Is_NewStore_Trend!$G24:$Z24)</f>
        <v>34269.936187500003</v>
      </c>
      <c r="I52" s="226" cm="1">
        <f t="array" aca="1" ref="I52" ca="1">SUMPRODUCT(TRANSPOSE(I$14:I$33),Is_NewStore_Trend!$G24:$Z24)</f>
        <v>57316.61070890625</v>
      </c>
      <c r="J52" s="226" cm="1">
        <f t="array" aca="1" ref="J52" ca="1">SUMPRODUCT(TRANSPOSE(J$14:J$33),Is_NewStore_Trend!$G24:$Z24)</f>
        <v>69141.310289223053</v>
      </c>
      <c r="K52" s="226" cm="1">
        <f t="array" aca="1" ref="K52" ca="1">SUMPRODUCT(TRANSPOSE(K$14:K$33),Is_NewStore_Trend!$G24:$Z24)</f>
        <v>81054.69511639222</v>
      </c>
      <c r="L52" s="226" cm="1">
        <f t="array" aca="1" ref="L52" ca="1">SUMPRODUCT(TRANSPOSE(L$14:L$33),Is_NewStore_Trend!$G24:$Z24)</f>
        <v>104452.25532976519</v>
      </c>
      <c r="M52" s="226" cm="1">
        <f t="array" aca="1" ref="M52" ca="1">SUMPRODUCT(TRANSPOSE(M$14:M$33),Is_NewStore_Trend!$G24:$Z24)</f>
        <v>128025.29724473842</v>
      </c>
      <c r="N52" s="226" cm="1">
        <f t="array" aca="1" ref="N52" ca="1">SUMPRODUCT(TRANSPOSE(N$14:N$33),Is_NewStore_Trend!$G24:$Z24)</f>
        <v>140380.31197407396</v>
      </c>
      <c r="O52" s="226" cm="1">
        <f t="array" aca="1" ref="O52" ca="1">SUMPRODUCT(TRANSPOSE(O$14:O$33),Is_NewStore_Trend!$G24:$Z24)</f>
        <v>152827.98931387952</v>
      </c>
      <c r="P52" s="226" cm="1">
        <f t="array" aca="1" ref="P52" ca="1">SUMPRODUCT(TRANSPOSE(P$14:P$33),Is_NewStore_Trend!$G24:$Z24)</f>
        <v>176763.84923373364</v>
      </c>
      <c r="Q52" s="226" cm="1">
        <f t="array" aca="1" ref="Q52" ca="1">SUMPRODUCT(TRANSPOSE(Q$14:Q$33),Is_NewStore_Trend!$G24:$Z24)</f>
        <v>200879.22810298667</v>
      </c>
      <c r="R52" s="226" cm="1">
        <f t="array" aca="1" ref="R52" ca="1">SUMPRODUCT(TRANSPOSE(R$14:R$33),Is_NewStore_Trend!$G24:$Z24)</f>
        <v>213780.64731375908</v>
      </c>
      <c r="S52" s="226" cm="1">
        <f t="array" aca="1" ref="S52" ca="1">SUMPRODUCT(TRANSPOSE(S$14:S$33),Is_NewStore_Trend!$G24:$Z24)</f>
        <v>226778.82716861225</v>
      </c>
      <c r="T52" s="226" cm="1">
        <f t="array" aca="1" ref="T52" ca="1">SUMPRODUCT(TRANSPOSE(T$14:T$33),Is_NewStore_Trend!$G24:$Z24)</f>
        <v>251269.3183723769</v>
      </c>
      <c r="U52" s="226" cm="1">
        <f t="array" aca="1" ref="U52" ca="1">SUMPRODUCT(TRANSPOSE(U$14:U$33),Is_NewStore_Trend!$G24:$Z24)</f>
        <v>275943.48826016975</v>
      </c>
      <c r="V52" s="226" cm="1">
        <f t="array" aca="1" ref="V52" ca="1">SUMPRODUCT(TRANSPOSE(V$14:V$33),Is_NewStore_Trend!$G24:$Z24)</f>
        <v>289407.88942212105</v>
      </c>
      <c r="W52" s="226" cm="1">
        <f t="array" aca="1" ref="W52" ca="1">SUMPRODUCT(TRANSPOSE(W$14:W$33),Is_NewStore_Trend!$G24:$Z24)</f>
        <v>302973.27359278692</v>
      </c>
      <c r="X52" s="226" cm="1">
        <f t="array" aca="1" ref="X52" ca="1">SUMPRODUCT(TRANSPOSE(X$14:X$33),Is_NewStore_Trend!$G24:$Z24)</f>
        <v>328035.22314473288</v>
      </c>
      <c r="Y52" s="226" cm="1">
        <f t="array" aca="1" ref="Y52" ca="1">SUMPRODUCT(TRANSPOSE(Y$14:Y$33),Is_NewStore_Trend!$G24:$Z24)</f>
        <v>353285.13731831836</v>
      </c>
      <c r="Z52" s="226" cm="1">
        <f t="array" aca="1" ref="Z52" ca="1">SUMPRODUCT(TRANSPOSE(Z$14:Z$33),Is_NewStore_Trend!$G24:$Z24)</f>
        <v>367329.60084820585</v>
      </c>
    </row>
    <row r="53" spans="2:26" x14ac:dyDescent="0.25">
      <c r="B53" s="185" t="s">
        <v>202</v>
      </c>
      <c r="C53" s="206"/>
      <c r="D53" s="206"/>
      <c r="E53" s="206"/>
      <c r="F53" s="206"/>
      <c r="G53" s="225" cm="1">
        <f t="array" aca="1" ref="G53" ca="1">SUMPRODUCT(TRANSPOSE(G$14:G$33),Is_NewStore_Trend!$G25:$Z25)</f>
        <v>110149.97500000001</v>
      </c>
      <c r="H53" s="225" cm="1">
        <f t="array" aca="1" ref="H53" ca="1">SUMPRODUCT(TRANSPOSE(H$14:H$33),Is_NewStore_Trend!$G25:$Z25)</f>
        <v>331276.04981250002</v>
      </c>
      <c r="I53" s="225" cm="1">
        <f t="array" aca="1" ref="I53" ca="1">SUMPRODUCT(TRANSPOSE(I$14:I$33),Is_NewStore_Trend!$G25:$Z25)</f>
        <v>554060.5701860938</v>
      </c>
      <c r="J53" s="225" cm="1">
        <f t="array" aca="1" ref="J53" ca="1">SUMPRODUCT(TRANSPOSE(J$14:J$33),Is_NewStore_Trend!$G25:$Z25)</f>
        <v>668365.9994624895</v>
      </c>
      <c r="K53" s="225" cm="1">
        <f t="array" aca="1" ref="K53" ca="1">SUMPRODUCT(TRANSPOSE(K$14:K$33),Is_NewStore_Trend!$G25:$Z25)</f>
        <v>783528.71945845825</v>
      </c>
      <c r="L53" s="225" cm="1">
        <f t="array" aca="1" ref="L53" ca="1">SUMPRODUCT(TRANSPOSE(L$14:L$33),Is_NewStore_Trend!$G25:$Z25)</f>
        <v>1009705.1348543968</v>
      </c>
      <c r="M53" s="225" cm="1">
        <f t="array" aca="1" ref="M53" ca="1">SUMPRODUCT(TRANSPOSE(M$14:M$33),Is_NewStore_Trend!$G25:$Z25)</f>
        <v>1237577.8733658048</v>
      </c>
      <c r="N53" s="225" cm="1">
        <f t="array" aca="1" ref="N53" ca="1">SUMPRODUCT(TRANSPOSE(N$14:N$33),Is_NewStore_Trend!$G25:$Z25)</f>
        <v>1357009.6824160484</v>
      </c>
      <c r="O53" s="225" cm="1">
        <f t="array" aca="1" ref="O53" ca="1">SUMPRODUCT(TRANSPOSE(O$14:O$33),Is_NewStore_Trend!$G25:$Z25)</f>
        <v>1477337.230034169</v>
      </c>
      <c r="P53" s="225" cm="1">
        <f t="array" aca="1" ref="P53" ca="1">SUMPRODUCT(TRANSPOSE(P$14:P$33),Is_NewStore_Trend!$G25:$Z25)</f>
        <v>1708717.2092594253</v>
      </c>
      <c r="Q53" s="225" cm="1">
        <f t="array" aca="1" ref="Q53" ca="1">SUMPRODUCT(TRANSPOSE(Q$14:Q$33),Is_NewStore_Trend!$G25:$Z25)</f>
        <v>1941832.5383288707</v>
      </c>
      <c r="R53" s="225" cm="1">
        <f t="array" aca="1" ref="R53" ca="1">SUMPRODUCT(TRANSPOSE(R$14:R$33),Is_NewStore_Trend!$G25:$Z25)</f>
        <v>2066546.2573663376</v>
      </c>
      <c r="S53" s="225" cm="1">
        <f t="array" aca="1" ref="S53" ca="1">SUMPRODUCT(TRANSPOSE(S$14:S$33),Is_NewStore_Trend!$G25:$Z25)</f>
        <v>2192195.3292965856</v>
      </c>
      <c r="T53" s="225" cm="1">
        <f t="array" aca="1" ref="T53" ca="1">SUMPRODUCT(TRANSPOSE(T$14:T$33),Is_NewStore_Trend!$G25:$Z25)</f>
        <v>2428936.7442663098</v>
      </c>
      <c r="U53" s="225" cm="1">
        <f t="array" aca="1" ref="U53" ca="1">SUMPRODUCT(TRANSPOSE(U$14:U$33),Is_NewStore_Trend!$G25:$Z25)</f>
        <v>2667453.7198483068</v>
      </c>
      <c r="V53" s="225" cm="1">
        <f t="array" aca="1" ref="V53" ca="1">SUMPRODUCT(TRANSPOSE(V$14:V$33),Is_NewStore_Trend!$G25:$Z25)</f>
        <v>2797609.5977471699</v>
      </c>
      <c r="W53" s="225" cm="1">
        <f t="array" aca="1" ref="W53" ca="1">SUMPRODUCT(TRANSPOSE(W$14:W$33),Is_NewStore_Trend!$G25:$Z25)</f>
        <v>2928741.6447302741</v>
      </c>
      <c r="X53" s="225" cm="1">
        <f t="array" aca="1" ref="X53" ca="1">SUMPRODUCT(TRANSPOSE(X$14:X$33),Is_NewStore_Trend!$G25:$Z25)</f>
        <v>3171007.157065751</v>
      </c>
      <c r="Y53" s="225" cm="1">
        <f t="array" aca="1" ref="Y53" ca="1">SUMPRODUCT(TRANSPOSE(Y$14:Y$33),Is_NewStore_Trend!$G25:$Z25)</f>
        <v>3415089.6607437436</v>
      </c>
      <c r="Z53" s="225" cm="1">
        <f t="array" aca="1" ref="Z53" ca="1">SUMPRODUCT(TRANSPOSE(Z$14:Z$33),Is_NewStore_Trend!$G25:$Z25)</f>
        <v>3550852.8081993228</v>
      </c>
    </row>
    <row r="54" spans="2:26" x14ac:dyDescent="0.25">
      <c r="C54" s="209"/>
      <c r="D54" s="209"/>
      <c r="E54" s="209"/>
      <c r="F54" s="209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</row>
    <row r="55" spans="2:26" x14ac:dyDescent="0.25">
      <c r="B55" t="s">
        <v>73</v>
      </c>
      <c r="C55" s="209"/>
      <c r="D55" s="209"/>
      <c r="E55" s="209"/>
      <c r="F55" s="209"/>
      <c r="G55" s="226" cm="1">
        <f t="array" aca="1" ref="G55" ca="1">SUMPRODUCT(TRANSPOSE(G$14:G$33),Is_NewStore_Trend!$G27:$Z27)</f>
        <v>5697.4124999999995</v>
      </c>
      <c r="H55" s="226" cm="1">
        <f t="array" aca="1" ref="H55" ca="1">SUMPRODUCT(TRANSPOSE(H$14:H$33),Is_NewStore_Trend!$G27:$Z27)</f>
        <v>17134.968093750002</v>
      </c>
      <c r="I55" s="226" cm="1">
        <f t="array" aca="1" ref="I55" ca="1">SUMPRODUCT(TRANSPOSE(I$14:I$33),Is_NewStore_Trend!$G27:$Z27)</f>
        <v>28658.305354453125</v>
      </c>
      <c r="J55" s="226" cm="1">
        <f t="array" aca="1" ref="J55" ca="1">SUMPRODUCT(TRANSPOSE(J$14:J$33),Is_NewStore_Trend!$G27:$Z27)</f>
        <v>34570.655144611526</v>
      </c>
      <c r="K55" s="226" cm="1">
        <f t="array" aca="1" ref="K55" ca="1">SUMPRODUCT(TRANSPOSE(K$14:K$33),Is_NewStore_Trend!$G27:$Z27)</f>
        <v>40527.34755819611</v>
      </c>
      <c r="L55" s="226" cm="1">
        <f t="array" aca="1" ref="L55" ca="1">SUMPRODUCT(TRANSPOSE(L$14:L$33),Is_NewStore_Trend!$G27:$Z27)</f>
        <v>52226.127664882595</v>
      </c>
      <c r="M55" s="226" cm="1">
        <f t="array" aca="1" ref="M55" ca="1">SUMPRODUCT(TRANSPOSE(M$14:M$33),Is_NewStore_Trend!$G27:$Z27)</f>
        <v>64012.648622369212</v>
      </c>
      <c r="N55" s="226" cm="1">
        <f t="array" aca="1" ref="N55" ca="1">SUMPRODUCT(TRANSPOSE(N$14:N$33),Is_NewStore_Trend!$G27:$Z27)</f>
        <v>70190.155987036982</v>
      </c>
      <c r="O55" s="226" cm="1">
        <f t="array" aca="1" ref="O55" ca="1">SUMPRODUCT(TRANSPOSE(O$14:O$33),Is_NewStore_Trend!$G27:$Z27)</f>
        <v>76413.994656939758</v>
      </c>
      <c r="P55" s="226" cm="1">
        <f t="array" aca="1" ref="P55" ca="1">SUMPRODUCT(TRANSPOSE(P$14:P$33),Is_NewStore_Trend!$G27:$Z27)</f>
        <v>88381.924616866818</v>
      </c>
      <c r="Q55" s="226" cm="1">
        <f t="array" aca="1" ref="Q55" ca="1">SUMPRODUCT(TRANSPOSE(Q$14:Q$33),Is_NewStore_Trend!$G27:$Z27)</f>
        <v>100439.61405149334</v>
      </c>
      <c r="R55" s="226" cm="1">
        <f t="array" aca="1" ref="R55" ca="1">SUMPRODUCT(TRANSPOSE(R$14:R$33),Is_NewStore_Trend!$G27:$Z27)</f>
        <v>106890.32365687954</v>
      </c>
      <c r="S55" s="226" cm="1">
        <f t="array" aca="1" ref="S55" ca="1">SUMPRODUCT(TRANSPOSE(S$14:S$33),Is_NewStore_Trend!$G27:$Z27)</f>
        <v>113389.41358430612</v>
      </c>
      <c r="T55" s="226" cm="1">
        <f t="array" aca="1" ref="T55" ca="1">SUMPRODUCT(TRANSPOSE(T$14:T$33),Is_NewStore_Trend!$G27:$Z27)</f>
        <v>125634.65918618845</v>
      </c>
      <c r="U55" s="226" cm="1">
        <f t="array" aca="1" ref="U55" ca="1">SUMPRODUCT(TRANSPOSE(U$14:U$33),Is_NewStore_Trend!$G27:$Z27)</f>
        <v>137971.74413008487</v>
      </c>
      <c r="V55" s="226" cm="1">
        <f t="array" aca="1" ref="V55" ca="1">SUMPRODUCT(TRANSPOSE(V$14:V$33),Is_NewStore_Trend!$G27:$Z27)</f>
        <v>144703.94471106053</v>
      </c>
      <c r="W55" s="226" cm="1">
        <f t="array" aca="1" ref="W55" ca="1">SUMPRODUCT(TRANSPOSE(W$14:W$33),Is_NewStore_Trend!$G27:$Z27)</f>
        <v>151486.63679639346</v>
      </c>
      <c r="X55" s="226" cm="1">
        <f t="array" aca="1" ref="X55" ca="1">SUMPRODUCT(TRANSPOSE(X$14:X$33),Is_NewStore_Trend!$G27:$Z27)</f>
        <v>164017.61157236644</v>
      </c>
      <c r="Y55" s="226" cm="1">
        <f t="array" aca="1" ref="Y55" ca="1">SUMPRODUCT(TRANSPOSE(Y$14:Y$33),Is_NewStore_Trend!$G27:$Z27)</f>
        <v>176642.56865915918</v>
      </c>
      <c r="Z55" s="226" cm="1">
        <f t="array" aca="1" ref="Z55" ca="1">SUMPRODUCT(TRANSPOSE(Z$14:Z$33),Is_NewStore_Trend!$G27:$Z27)</f>
        <v>183664.80042410293</v>
      </c>
    </row>
    <row r="56" spans="2:26" x14ac:dyDescent="0.25">
      <c r="B56" t="s">
        <v>74</v>
      </c>
      <c r="C56" s="209"/>
      <c r="D56" s="209"/>
      <c r="E56" s="209"/>
      <c r="F56" s="209"/>
      <c r="G56" s="226" cm="1">
        <f t="array" aca="1" ref="G56" ca="1">SUMPRODUCT(TRANSPOSE(G$14:G$33),Is_NewStore_Trend!$G28:$Z28)</f>
        <v>7596.55</v>
      </c>
      <c r="H56" s="226" cm="1">
        <f t="array" aca="1" ref="H56" ca="1">SUMPRODUCT(TRANSPOSE(H$14:H$33),Is_NewStore_Trend!$G28:$Z28)</f>
        <v>22846.624125000002</v>
      </c>
      <c r="I56" s="226" cm="1">
        <f t="array" aca="1" ref="I56" ca="1">SUMPRODUCT(TRANSPOSE(I$14:I$33),Is_NewStore_Trend!$G28:$Z28)</f>
        <v>38211.0738059375</v>
      </c>
      <c r="J56" s="226" cm="1">
        <f t="array" aca="1" ref="J56" ca="1">SUMPRODUCT(TRANSPOSE(J$14:J$33),Is_NewStore_Trend!$G28:$Z28)</f>
        <v>46094.206859482038</v>
      </c>
      <c r="K56" s="226" cm="1">
        <f t="array" aca="1" ref="K56" ca="1">SUMPRODUCT(TRANSPOSE(K$14:K$33),Is_NewStore_Trend!$G28:$Z28)</f>
        <v>54036.463410928154</v>
      </c>
      <c r="L56" s="226" cm="1">
        <f t="array" aca="1" ref="L56" ca="1">SUMPRODUCT(TRANSPOSE(L$14:L$33),Is_NewStore_Trend!$G28:$Z28)</f>
        <v>69634.836886510122</v>
      </c>
      <c r="M56" s="226" cm="1">
        <f t="array" aca="1" ref="M56" ca="1">SUMPRODUCT(TRANSPOSE(M$14:M$33),Is_NewStore_Trend!$G28:$Z28)</f>
        <v>85350.198163158944</v>
      </c>
      <c r="N56" s="226" cm="1">
        <f t="array" aca="1" ref="N56" ca="1">SUMPRODUCT(TRANSPOSE(N$14:N$33),Is_NewStore_Trend!$G28:$Z28)</f>
        <v>93586.874649382647</v>
      </c>
      <c r="O56" s="226" cm="1">
        <f t="array" aca="1" ref="O56" ca="1">SUMPRODUCT(TRANSPOSE(O$14:O$33),Is_NewStore_Trend!$G28:$Z28)</f>
        <v>101885.32620925302</v>
      </c>
      <c r="P56" s="226" cm="1">
        <f t="array" aca="1" ref="P56" ca="1">SUMPRODUCT(TRANSPOSE(P$14:P$33),Is_NewStore_Trend!$G28:$Z28)</f>
        <v>117842.56615582242</v>
      </c>
      <c r="Q56" s="226" cm="1">
        <f t="array" aca="1" ref="Q56" ca="1">SUMPRODUCT(TRANSPOSE(Q$14:Q$33),Is_NewStore_Trend!$G28:$Z28)</f>
        <v>133919.48540199111</v>
      </c>
      <c r="R56" s="226" cm="1">
        <f t="array" aca="1" ref="R56" ca="1">SUMPRODUCT(TRANSPOSE(R$14:R$33),Is_NewStore_Trend!$G28:$Z28)</f>
        <v>142520.43154250603</v>
      </c>
      <c r="S56" s="226" cm="1">
        <f t="array" aca="1" ref="S56" ca="1">SUMPRODUCT(TRANSPOSE(S$14:S$33),Is_NewStore_Trend!$G28:$Z28)</f>
        <v>151185.88477907484</v>
      </c>
      <c r="T56" s="226" cm="1">
        <f t="array" aca="1" ref="T56" ca="1">SUMPRODUCT(TRANSPOSE(T$14:T$33),Is_NewStore_Trend!$G28:$Z28)</f>
        <v>167512.87891491791</v>
      </c>
      <c r="U56" s="226" cm="1">
        <f t="array" aca="1" ref="U56" ca="1">SUMPRODUCT(TRANSPOSE(U$14:U$33),Is_NewStore_Trend!$G28:$Z28)</f>
        <v>183962.3255067798</v>
      </c>
      <c r="V56" s="226" cm="1">
        <f t="array" aca="1" ref="V56" ca="1">SUMPRODUCT(TRANSPOSE(V$14:V$33),Is_NewStore_Trend!$G28:$Z28)</f>
        <v>192938.59294808065</v>
      </c>
      <c r="W56" s="226" cm="1">
        <f t="array" aca="1" ref="W56" ca="1">SUMPRODUCT(TRANSPOSE(W$14:W$33),Is_NewStore_Trend!$G28:$Z28)</f>
        <v>201982.18239519131</v>
      </c>
      <c r="X56" s="226" cm="1">
        <f t="array" aca="1" ref="X56" ca="1">SUMPRODUCT(TRANSPOSE(X$14:X$33),Is_NewStore_Trend!$G28:$Z28)</f>
        <v>218690.14876315522</v>
      </c>
      <c r="Y56" s="226" cm="1">
        <f t="array" aca="1" ref="Y56" ca="1">SUMPRODUCT(TRANSPOSE(Y$14:Y$33),Is_NewStore_Trend!$G28:$Z28)</f>
        <v>235523.4248788789</v>
      </c>
      <c r="Z56" s="226" cm="1">
        <f t="array" aca="1" ref="Z56" ca="1">SUMPRODUCT(TRANSPOSE(Z$14:Z$33),Is_NewStore_Trend!$G28:$Z28)</f>
        <v>244886.40056547051</v>
      </c>
    </row>
    <row r="57" spans="2:26" x14ac:dyDescent="0.25">
      <c r="B57" t="s">
        <v>75</v>
      </c>
      <c r="C57" s="209"/>
      <c r="D57" s="209"/>
      <c r="E57" s="209"/>
      <c r="F57" s="209"/>
      <c r="G57" s="226" cm="1">
        <f t="array" aca="1" ref="G57" ca="1">SUMPRODUCT(TRANSPOSE(G$14:G$33),Is_NewStore_Trend!$G29:$Z29)</f>
        <v>2658.7925</v>
      </c>
      <c r="H57" s="226" cm="1">
        <f t="array" aca="1" ref="H57" ca="1">SUMPRODUCT(TRANSPOSE(H$14:H$33),Is_NewStore_Trend!$G29:$Z29)</f>
        <v>7996.3184437500004</v>
      </c>
      <c r="I57" s="226" cm="1">
        <f t="array" aca="1" ref="I57" ca="1">SUMPRODUCT(TRANSPOSE(I$14:I$33),Is_NewStore_Trend!$G29:$Z29)</f>
        <v>13373.875832078127</v>
      </c>
      <c r="J57" s="226" cm="1">
        <f t="array" aca="1" ref="J57" ca="1">SUMPRODUCT(TRANSPOSE(J$14:J$33),Is_NewStore_Trend!$G29:$Z29)</f>
        <v>16132.972400818713</v>
      </c>
      <c r="K57" s="226" cm="1">
        <f t="array" aca="1" ref="K57" ca="1">SUMPRODUCT(TRANSPOSE(K$14:K$33),Is_NewStore_Trend!$G29:$Z29)</f>
        <v>18912.762193824856</v>
      </c>
      <c r="L57" s="226" cm="1">
        <f t="array" aca="1" ref="L57" ca="1">SUMPRODUCT(TRANSPOSE(L$14:L$33),Is_NewStore_Trend!$G29:$Z29)</f>
        <v>24372.19291027854</v>
      </c>
      <c r="M57" s="226" cm="1">
        <f t="array" aca="1" ref="M57" ca="1">SUMPRODUCT(TRANSPOSE(M$14:M$33),Is_NewStore_Trend!$G29:$Z29)</f>
        <v>29872.569357105636</v>
      </c>
      <c r="N57" s="226" cm="1">
        <f t="array" aca="1" ref="N57" ca="1">SUMPRODUCT(TRANSPOSE(N$14:N$33),Is_NewStore_Trend!$G29:$Z29)</f>
        <v>32755.406127283924</v>
      </c>
      <c r="O57" s="226" cm="1">
        <f t="array" aca="1" ref="O57" ca="1">SUMPRODUCT(TRANSPOSE(O$14:O$33),Is_NewStore_Trend!$G29:$Z29)</f>
        <v>35659.864173238566</v>
      </c>
      <c r="P57" s="226" cm="1">
        <f t="array" aca="1" ref="P57" ca="1">SUMPRODUCT(TRANSPOSE(P$14:P$33),Is_NewStore_Trend!$G29:$Z29)</f>
        <v>41244.898154537848</v>
      </c>
      <c r="Q57" s="226" cm="1">
        <f t="array" aca="1" ref="Q57" ca="1">SUMPRODUCT(TRANSPOSE(Q$14:Q$33),Is_NewStore_Trend!$G29:$Z29)</f>
        <v>46871.81989069689</v>
      </c>
      <c r="R57" s="226" cm="1">
        <f t="array" aca="1" ref="R57" ca="1">SUMPRODUCT(TRANSPOSE(R$14:R$33),Is_NewStore_Trend!$G29:$Z29)</f>
        <v>49882.151039877113</v>
      </c>
      <c r="S57" s="226" cm="1">
        <f t="array" aca="1" ref="S57" ca="1">SUMPRODUCT(TRANSPOSE(S$14:S$33),Is_NewStore_Trend!$G29:$Z29)</f>
        <v>52915.059672676209</v>
      </c>
      <c r="T57" s="226" cm="1">
        <f t="array" aca="1" ref="T57" ca="1">SUMPRODUCT(TRANSPOSE(T$14:T$33),Is_NewStore_Trend!$G29:$Z29)</f>
        <v>58629.50762022128</v>
      </c>
      <c r="U57" s="226" cm="1">
        <f t="array" aca="1" ref="U57" ca="1">SUMPRODUCT(TRANSPOSE(U$14:U$33),Is_NewStore_Trend!$G29:$Z29)</f>
        <v>64386.813927372939</v>
      </c>
      <c r="V57" s="226" cm="1">
        <f t="array" aca="1" ref="V57" ca="1">SUMPRODUCT(TRANSPOSE(V$14:V$33),Is_NewStore_Trend!$G29:$Z29)</f>
        <v>67528.507531828232</v>
      </c>
      <c r="W57" s="226" cm="1">
        <f t="array" aca="1" ref="W57" ca="1">SUMPRODUCT(TRANSPOSE(W$14:W$33),Is_NewStore_Trend!$G29:$Z29)</f>
        <v>70693.763838316969</v>
      </c>
      <c r="X57" s="226" cm="1">
        <f t="array" aca="1" ref="X57" ca="1">SUMPRODUCT(TRANSPOSE(X$14:X$33),Is_NewStore_Trend!$G29:$Z29)</f>
        <v>76541.552067104334</v>
      </c>
      <c r="Y57" s="226" cm="1">
        <f t="array" aca="1" ref="Y57" ca="1">SUMPRODUCT(TRANSPOSE(Y$14:Y$33),Is_NewStore_Trend!$G29:$Z29)</f>
        <v>82433.198707607618</v>
      </c>
      <c r="Z57" s="226" cm="1">
        <f t="array" aca="1" ref="Z57" ca="1">SUMPRODUCT(TRANSPOSE(Z$14:Z$33),Is_NewStore_Trend!$G29:$Z29)</f>
        <v>85710.240197914682</v>
      </c>
    </row>
    <row r="58" spans="2:26" x14ac:dyDescent="0.25">
      <c r="B58" t="s">
        <v>76</v>
      </c>
      <c r="C58" s="209"/>
      <c r="D58" s="209"/>
      <c r="E58" s="209"/>
      <c r="F58" s="209"/>
      <c r="G58" s="226" cm="1">
        <f t="array" ref="G58">SUMPRODUCT(TRANSPOSE(G$14:G$33),Is_NewStore_Trend!$G30:$Z30)</f>
        <v>4000</v>
      </c>
      <c r="H58" s="226" cm="1">
        <f t="array" aca="1" ref="H58" ca="1">SUMPRODUCT(TRANSPOSE(H$14:H$33),Is_NewStore_Trend!$G30:$Z30)</f>
        <v>12000</v>
      </c>
      <c r="I58" s="226" cm="1">
        <f t="array" aca="1" ref="I58" ca="1">SUMPRODUCT(TRANSPOSE(I$14:I$33),Is_NewStore_Trend!$G30:$Z30)</f>
        <v>20000</v>
      </c>
      <c r="J58" s="226" cm="1">
        <f t="array" aca="1" ref="J58" ca="1">SUMPRODUCT(TRANSPOSE(J$14:J$33),Is_NewStore_Trend!$G30:$Z30)</f>
        <v>24000</v>
      </c>
      <c r="K58" s="226" cm="1">
        <f t="array" aca="1" ref="K58" ca="1">SUMPRODUCT(TRANSPOSE(K$14:K$33),Is_NewStore_Trend!$G30:$Z30)</f>
        <v>28000</v>
      </c>
      <c r="L58" s="226" cm="1">
        <f t="array" aca="1" ref="L58" ca="1">SUMPRODUCT(TRANSPOSE(L$14:L$33),Is_NewStore_Trend!$G30:$Z30)</f>
        <v>36000</v>
      </c>
      <c r="M58" s="226" cm="1">
        <f t="array" aca="1" ref="M58" ca="1">SUMPRODUCT(TRANSPOSE(M$14:M$33),Is_NewStore_Trend!$G30:$Z30)</f>
        <v>44000</v>
      </c>
      <c r="N58" s="226" cm="1">
        <f t="array" aca="1" ref="N58" ca="1">SUMPRODUCT(TRANSPOSE(N$14:N$33),Is_NewStore_Trend!$G30:$Z30)</f>
        <v>48000</v>
      </c>
      <c r="O58" s="226" cm="1">
        <f t="array" aca="1" ref="O58" ca="1">SUMPRODUCT(TRANSPOSE(O$14:O$33),Is_NewStore_Trend!$G30:$Z30)</f>
        <v>52000</v>
      </c>
      <c r="P58" s="226" cm="1">
        <f t="array" aca="1" ref="P58" ca="1">SUMPRODUCT(TRANSPOSE(P$14:P$33),Is_NewStore_Trend!$G30:$Z30)</f>
        <v>60000</v>
      </c>
      <c r="Q58" s="226" cm="1">
        <f t="array" aca="1" ref="Q58" ca="1">SUMPRODUCT(TRANSPOSE(Q$14:Q$33),Is_NewStore_Trend!$G30:$Z30)</f>
        <v>68000</v>
      </c>
      <c r="R58" s="226" cm="1">
        <f t="array" aca="1" ref="R58" ca="1">SUMPRODUCT(TRANSPOSE(R$14:R$33),Is_NewStore_Trend!$G30:$Z30)</f>
        <v>72000</v>
      </c>
      <c r="S58" s="226" cm="1">
        <f t="array" aca="1" ref="S58" ca="1">SUMPRODUCT(TRANSPOSE(S$14:S$33),Is_NewStore_Trend!$G30:$Z30)</f>
        <v>76000</v>
      </c>
      <c r="T58" s="226" cm="1">
        <f t="array" aca="1" ref="T58" ca="1">SUMPRODUCT(TRANSPOSE(T$14:T$33),Is_NewStore_Trend!$G30:$Z30)</f>
        <v>84000</v>
      </c>
      <c r="U58" s="226" cm="1">
        <f t="array" aca="1" ref="U58" ca="1">SUMPRODUCT(TRANSPOSE(U$14:U$33),Is_NewStore_Trend!$G30:$Z30)</f>
        <v>92000</v>
      </c>
      <c r="V58" s="226" cm="1">
        <f t="array" aca="1" ref="V58" ca="1">SUMPRODUCT(TRANSPOSE(V$14:V$33),Is_NewStore_Trend!$G30:$Z30)</f>
        <v>96000</v>
      </c>
      <c r="W58" s="226" cm="1">
        <f t="array" aca="1" ref="W58" ca="1">SUMPRODUCT(TRANSPOSE(W$14:W$33),Is_NewStore_Trend!$G30:$Z30)</f>
        <v>100000</v>
      </c>
      <c r="X58" s="226" cm="1">
        <f t="array" aca="1" ref="X58" ca="1">SUMPRODUCT(TRANSPOSE(X$14:X$33),Is_NewStore_Trend!$G30:$Z30)</f>
        <v>108000</v>
      </c>
      <c r="Y58" s="226" cm="1">
        <f t="array" aca="1" ref="Y58" ca="1">SUMPRODUCT(TRANSPOSE(Y$14:Y$33),Is_NewStore_Trend!$G30:$Z30)</f>
        <v>116000</v>
      </c>
      <c r="Z58" s="226" cm="1">
        <f t="array" aca="1" ref="Z58" ca="1">SUMPRODUCT(TRANSPOSE(Z$14:Z$33),Is_NewStore_Trend!$G30:$Z30)</f>
        <v>120000</v>
      </c>
    </row>
    <row r="59" spans="2:26" x14ac:dyDescent="0.25">
      <c r="B59" t="s">
        <v>43</v>
      </c>
      <c r="C59" s="209"/>
      <c r="D59" s="209"/>
      <c r="E59" s="209"/>
      <c r="F59" s="209"/>
      <c r="G59" s="226" cm="1">
        <f t="array" ref="G59">SUMPRODUCT(TRANSPOSE(G$14:G$33),Is_NewStore_Trend!$G31:$Z31)</f>
        <v>20750</v>
      </c>
      <c r="H59" s="226" cm="1">
        <f t="array" aca="1" ref="H59" ca="1">SUMPRODUCT(TRANSPOSE(H$14:H$33),Is_NewStore_Trend!$G31:$Z31)</f>
        <v>62250</v>
      </c>
      <c r="I59" s="226" cm="1">
        <f t="array" aca="1" ref="I59" ca="1">SUMPRODUCT(TRANSPOSE(I$14:I$33),Is_NewStore_Trend!$G31:$Z31)</f>
        <v>103750</v>
      </c>
      <c r="J59" s="226" cm="1">
        <f t="array" aca="1" ref="J59" ca="1">SUMPRODUCT(TRANSPOSE(J$14:J$33),Is_NewStore_Trend!$G31:$Z31)</f>
        <v>124500</v>
      </c>
      <c r="K59" s="226" cm="1">
        <f t="array" aca="1" ref="K59" ca="1">SUMPRODUCT(TRANSPOSE(K$14:K$33),Is_NewStore_Trend!$G31:$Z31)</f>
        <v>145250</v>
      </c>
      <c r="L59" s="226" cm="1">
        <f t="array" aca="1" ref="L59" ca="1">SUMPRODUCT(TRANSPOSE(L$14:L$33),Is_NewStore_Trend!$G31:$Z31)</f>
        <v>186750</v>
      </c>
      <c r="M59" s="226" cm="1">
        <f t="array" aca="1" ref="M59" ca="1">SUMPRODUCT(TRANSPOSE(M$14:M$33),Is_NewStore_Trend!$G31:$Z31)</f>
        <v>228250</v>
      </c>
      <c r="N59" s="226" cm="1">
        <f t="array" aca="1" ref="N59" ca="1">SUMPRODUCT(TRANSPOSE(N$14:N$33),Is_NewStore_Trend!$G31:$Z31)</f>
        <v>249000</v>
      </c>
      <c r="O59" s="226" cm="1">
        <f t="array" aca="1" ref="O59" ca="1">SUMPRODUCT(TRANSPOSE(O$14:O$33),Is_NewStore_Trend!$G31:$Z31)</f>
        <v>269750</v>
      </c>
      <c r="P59" s="226" cm="1">
        <f t="array" aca="1" ref="P59" ca="1">SUMPRODUCT(TRANSPOSE(P$14:P$33),Is_NewStore_Trend!$G31:$Z31)</f>
        <v>311250</v>
      </c>
      <c r="Q59" s="226" cm="1">
        <f t="array" aca="1" ref="Q59" ca="1">SUMPRODUCT(TRANSPOSE(Q$14:Q$33),Is_NewStore_Trend!$G31:$Z31)</f>
        <v>352750</v>
      </c>
      <c r="R59" s="226" cm="1">
        <f t="array" aca="1" ref="R59" ca="1">SUMPRODUCT(TRANSPOSE(R$14:R$33),Is_NewStore_Trend!$G31:$Z31)</f>
        <v>373500</v>
      </c>
      <c r="S59" s="226" cm="1">
        <f t="array" aca="1" ref="S59" ca="1">SUMPRODUCT(TRANSPOSE(S$14:S$33),Is_NewStore_Trend!$G31:$Z31)</f>
        <v>394250</v>
      </c>
      <c r="T59" s="226" cm="1">
        <f t="array" aca="1" ref="T59" ca="1">SUMPRODUCT(TRANSPOSE(T$14:T$33),Is_NewStore_Trend!$G31:$Z31)</f>
        <v>435750</v>
      </c>
      <c r="U59" s="226" cm="1">
        <f t="array" aca="1" ref="U59" ca="1">SUMPRODUCT(TRANSPOSE(U$14:U$33),Is_NewStore_Trend!$G31:$Z31)</f>
        <v>477250</v>
      </c>
      <c r="V59" s="226" cm="1">
        <f t="array" aca="1" ref="V59" ca="1">SUMPRODUCT(TRANSPOSE(V$14:V$33),Is_NewStore_Trend!$G31:$Z31)</f>
        <v>498000</v>
      </c>
      <c r="W59" s="226" cm="1">
        <f t="array" aca="1" ref="W59" ca="1">SUMPRODUCT(TRANSPOSE(W$14:W$33),Is_NewStore_Trend!$G31:$Z31)</f>
        <v>518750</v>
      </c>
      <c r="X59" s="226" cm="1">
        <f t="array" aca="1" ref="X59" ca="1">SUMPRODUCT(TRANSPOSE(X$14:X$33),Is_NewStore_Trend!$G31:$Z31)</f>
        <v>560250</v>
      </c>
      <c r="Y59" s="226" cm="1">
        <f t="array" aca="1" ref="Y59" ca="1">SUMPRODUCT(TRANSPOSE(Y$14:Y$33),Is_NewStore_Trend!$G31:$Z31)</f>
        <v>601750</v>
      </c>
      <c r="Z59" s="226" cm="1">
        <f t="array" aca="1" ref="Z59" ca="1">SUMPRODUCT(TRANSPOSE(Z$14:Z$33),Is_NewStore_Trend!$G31:$Z31)</f>
        <v>622500</v>
      </c>
    </row>
    <row r="60" spans="2:26" x14ac:dyDescent="0.25">
      <c r="B60" s="185" t="s">
        <v>203</v>
      </c>
      <c r="C60" s="206"/>
      <c r="D60" s="206"/>
      <c r="E60" s="206"/>
      <c r="F60" s="206"/>
      <c r="G60" s="225" cm="1">
        <f t="array" aca="1" ref="G60" ca="1">SUMPRODUCT(TRANSPOSE(G$14:G$33),Is_NewStore_Trend!$G32:$Z32)</f>
        <v>40702.754999999997</v>
      </c>
      <c r="H60" s="225" cm="1">
        <f t="array" aca="1" ref="H60" ca="1">SUMPRODUCT(TRANSPOSE(H$14:H$33),Is_NewStore_Trend!$G32:$Z32)</f>
        <v>122227.9106625</v>
      </c>
      <c r="I60" s="225" cm="1">
        <f t="array" aca="1" ref="I60" ca="1">SUMPRODUCT(TRANSPOSE(I$14:I$33),Is_NewStore_Trend!$G32:$Z32)</f>
        <v>203993.25499246878</v>
      </c>
      <c r="J60" s="225" cm="1">
        <f t="array" aca="1" ref="J60" ca="1">SUMPRODUCT(TRANSPOSE(J$14:J$33),Is_NewStore_Trend!$G32:$Z32)</f>
        <v>245297.83440491231</v>
      </c>
      <c r="K60" s="225" cm="1">
        <f t="array" aca="1" ref="K60" ca="1">SUMPRODUCT(TRANSPOSE(K$14:K$33),Is_NewStore_Trend!$G32:$Z32)</f>
        <v>286726.57316294918</v>
      </c>
      <c r="L60" s="225" cm="1">
        <f t="array" aca="1" ref="L60" ca="1">SUMPRODUCT(TRANSPOSE(L$14:L$33),Is_NewStore_Trend!$G32:$Z32)</f>
        <v>368983.15746167122</v>
      </c>
      <c r="M60" s="225" cm="1">
        <f t="array" aca="1" ref="M60" ca="1">SUMPRODUCT(TRANSPOSE(M$14:M$33),Is_NewStore_Trend!$G32:$Z32)</f>
        <v>451485.41614263383</v>
      </c>
      <c r="N60" s="225" cm="1">
        <f t="array" aca="1" ref="N60" ca="1">SUMPRODUCT(TRANSPOSE(N$14:N$33),Is_NewStore_Trend!$G32:$Z32)</f>
        <v>493532.43676370359</v>
      </c>
      <c r="O60" s="225" cm="1">
        <f t="array" aca="1" ref="O60" ca="1">SUMPRODUCT(TRANSPOSE(O$14:O$33),Is_NewStore_Trend!$G32:$Z32)</f>
        <v>535709.18503943144</v>
      </c>
      <c r="P60" s="225" cm="1">
        <f t="array" aca="1" ref="P60" ca="1">SUMPRODUCT(TRANSPOSE(P$14:P$33),Is_NewStore_Trend!$G32:$Z32)</f>
        <v>618719.38892722712</v>
      </c>
      <c r="Q60" s="225" cm="1">
        <f t="array" aca="1" ref="Q60" ca="1">SUMPRODUCT(TRANSPOSE(Q$14:Q$33),Is_NewStore_Trend!$G32:$Z32)</f>
        <v>701980.91934418143</v>
      </c>
      <c r="R60" s="225" cm="1">
        <f t="array" aca="1" ref="R60" ca="1">SUMPRODUCT(TRANSPOSE(R$14:R$33),Is_NewStore_Trend!$G32:$Z32)</f>
        <v>744792.90623926278</v>
      </c>
      <c r="S60" s="225" cm="1">
        <f t="array" aca="1" ref="S60" ca="1">SUMPRODUCT(TRANSPOSE(S$14:S$33),Is_NewStore_Trend!$G32:$Z32)</f>
        <v>787740.35803605733</v>
      </c>
      <c r="T60" s="225" cm="1">
        <f t="array" aca="1" ref="T60" ca="1">SUMPRODUCT(TRANSPOSE(T$14:T$33),Is_NewStore_Trend!$G32:$Z32)</f>
        <v>871527.04572132765</v>
      </c>
      <c r="U60" s="225" cm="1">
        <f t="array" aca="1" ref="U60" ca="1">SUMPRODUCT(TRANSPOSE(U$14:U$33),Is_NewStore_Trend!$G32:$Z32)</f>
        <v>955570.88356423774</v>
      </c>
      <c r="V60" s="225" cm="1">
        <f t="array" aca="1" ref="V60" ca="1">SUMPRODUCT(TRANSPOSE(V$14:V$33),Is_NewStore_Trend!$G32:$Z32)</f>
        <v>999171.04519096948</v>
      </c>
      <c r="W60" s="225" cm="1">
        <f t="array" aca="1" ref="W60" ca="1">SUMPRODUCT(TRANSPOSE(W$14:W$33),Is_NewStore_Trend!$G32:$Z32)</f>
        <v>1042912.5830299017</v>
      </c>
      <c r="X60" s="225" cm="1">
        <f t="array" aca="1" ref="X60" ca="1">SUMPRODUCT(TRANSPOSE(X$14:X$33),Is_NewStore_Trend!$G32:$Z32)</f>
        <v>1127499.312402626</v>
      </c>
      <c r="Y60" s="225" cm="1">
        <f t="array" aca="1" ref="Y60" ca="1">SUMPRODUCT(TRANSPOSE(Y$14:Y$33),Is_NewStore_Trend!$G32:$Z32)</f>
        <v>1212349.1922456457</v>
      </c>
      <c r="Z60" s="225" cm="1">
        <f t="array" aca="1" ref="Z60" ca="1">SUMPRODUCT(TRANSPOSE(Z$14:Z$33),Is_NewStore_Trend!$G32:$Z32)</f>
        <v>1256761.4411874881</v>
      </c>
    </row>
    <row r="61" spans="2:26" x14ac:dyDescent="0.25">
      <c r="C61" s="209"/>
      <c r="D61" s="209"/>
      <c r="E61" s="209"/>
      <c r="F61" s="209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</row>
    <row r="62" spans="2:26" x14ac:dyDescent="0.25">
      <c r="B62" t="s">
        <v>42</v>
      </c>
      <c r="C62" s="209"/>
      <c r="D62" s="209"/>
      <c r="E62" s="209"/>
      <c r="F62" s="209"/>
      <c r="G62" s="226" cm="1">
        <f t="array" ref="G62">SUMPRODUCT(TRANSPOSE(G$14:G$33),Is_NewStore_Trend!$G34:$Z34)</f>
        <v>25000</v>
      </c>
      <c r="H62" s="226" cm="1">
        <f t="array" aca="1" ref="H62" ca="1">SUMPRODUCT(TRANSPOSE(H$14:H$33),Is_NewStore_Trend!$G34:$Z34)</f>
        <v>75000</v>
      </c>
      <c r="I62" s="226" cm="1">
        <f t="array" aca="1" ref="I62" ca="1">SUMPRODUCT(TRANSPOSE(I$14:I$33),Is_NewStore_Trend!$G34:$Z34)</f>
        <v>125000</v>
      </c>
      <c r="J62" s="226" cm="1">
        <f t="array" aca="1" ref="J62" ca="1">SUMPRODUCT(TRANSPOSE(J$14:J$33),Is_NewStore_Trend!$G34:$Z34)</f>
        <v>150000</v>
      </c>
      <c r="K62" s="226" cm="1">
        <f t="array" aca="1" ref="K62" ca="1">SUMPRODUCT(TRANSPOSE(K$14:K$33),Is_NewStore_Trend!$G34:$Z34)</f>
        <v>175000</v>
      </c>
      <c r="L62" s="226" cm="1">
        <f t="array" aca="1" ref="L62" ca="1">SUMPRODUCT(TRANSPOSE(L$14:L$33),Is_NewStore_Trend!$G34:$Z34)</f>
        <v>225000</v>
      </c>
      <c r="M62" s="226" cm="1">
        <f t="array" aca="1" ref="M62" ca="1">SUMPRODUCT(TRANSPOSE(M$14:M$33),Is_NewStore_Trend!$G34:$Z34)</f>
        <v>275000</v>
      </c>
      <c r="N62" s="226" cm="1">
        <f t="array" aca="1" ref="N62" ca="1">SUMPRODUCT(TRANSPOSE(N$14:N$33),Is_NewStore_Trend!$G34:$Z34)</f>
        <v>300000</v>
      </c>
      <c r="O62" s="226" cm="1">
        <f t="array" aca="1" ref="O62" ca="1">SUMPRODUCT(TRANSPOSE(O$14:O$33),Is_NewStore_Trend!$G34:$Z34)</f>
        <v>325000</v>
      </c>
      <c r="P62" s="226" cm="1">
        <f t="array" aca="1" ref="P62" ca="1">SUMPRODUCT(TRANSPOSE(P$14:P$33),Is_NewStore_Trend!$G34:$Z34)</f>
        <v>375000</v>
      </c>
      <c r="Q62" s="226" cm="1">
        <f t="array" aca="1" ref="Q62" ca="1">SUMPRODUCT(TRANSPOSE(Q$14:Q$33),Is_NewStore_Trend!$G34:$Z34)</f>
        <v>425000</v>
      </c>
      <c r="R62" s="226" cm="1">
        <f t="array" aca="1" ref="R62" ca="1">SUMPRODUCT(TRANSPOSE(R$14:R$33),Is_NewStore_Trend!$G34:$Z34)</f>
        <v>450000</v>
      </c>
      <c r="S62" s="226" cm="1">
        <f t="array" aca="1" ref="S62" ca="1">SUMPRODUCT(TRANSPOSE(S$14:S$33),Is_NewStore_Trend!$G34:$Z34)</f>
        <v>475000</v>
      </c>
      <c r="T62" s="226" cm="1">
        <f t="array" aca="1" ref="T62" ca="1">SUMPRODUCT(TRANSPOSE(T$14:T$33),Is_NewStore_Trend!$G34:$Z34)</f>
        <v>525000</v>
      </c>
      <c r="U62" s="226" cm="1">
        <f t="array" aca="1" ref="U62" ca="1">SUMPRODUCT(TRANSPOSE(U$14:U$33),Is_NewStore_Trend!$G34:$Z34)</f>
        <v>575000</v>
      </c>
      <c r="V62" s="226" cm="1">
        <f t="array" aca="1" ref="V62" ca="1">SUMPRODUCT(TRANSPOSE(V$14:V$33),Is_NewStore_Trend!$G34:$Z34)</f>
        <v>600000</v>
      </c>
      <c r="W62" s="226" cm="1">
        <f t="array" aca="1" ref="W62" ca="1">SUMPRODUCT(TRANSPOSE(W$14:W$33),Is_NewStore_Trend!$G34:$Z34)</f>
        <v>625000</v>
      </c>
      <c r="X62" s="226" cm="1">
        <f t="array" aca="1" ref="X62" ca="1">SUMPRODUCT(TRANSPOSE(X$14:X$33),Is_NewStore_Trend!$G34:$Z34)</f>
        <v>675000</v>
      </c>
      <c r="Y62" s="226" cm="1">
        <f t="array" aca="1" ref="Y62" ca="1">SUMPRODUCT(TRANSPOSE(Y$14:Y$33),Is_NewStore_Trend!$G34:$Z34)</f>
        <v>725000</v>
      </c>
      <c r="Z62" s="226" cm="1">
        <f t="array" aca="1" ref="Z62" ca="1">SUMPRODUCT(TRANSPOSE(Z$14:Z$33),Is_NewStore_Trend!$G34:$Z34)</f>
        <v>750000</v>
      </c>
    </row>
    <row r="63" spans="2:26" x14ac:dyDescent="0.25">
      <c r="B63" t="s">
        <v>77</v>
      </c>
      <c r="C63" s="209"/>
      <c r="D63" s="209"/>
      <c r="E63" s="209"/>
      <c r="F63" s="209"/>
      <c r="G63" s="226" cm="1">
        <f t="array" ref="G63">SUMPRODUCT(TRANSPOSE(G$14:G$33),Is_NewStore_Trend!$G35:$Z35)</f>
        <v>7500</v>
      </c>
      <c r="H63" s="226" cm="1">
        <f t="array" aca="1" ref="H63" ca="1">SUMPRODUCT(TRANSPOSE(H$14:H$33),Is_NewStore_Trend!$G35:$Z35)</f>
        <v>22500</v>
      </c>
      <c r="I63" s="226" cm="1">
        <f t="array" aca="1" ref="I63" ca="1">SUMPRODUCT(TRANSPOSE(I$14:I$33),Is_NewStore_Trend!$G35:$Z35)</f>
        <v>37500</v>
      </c>
      <c r="J63" s="226" cm="1">
        <f t="array" aca="1" ref="J63" ca="1">SUMPRODUCT(TRANSPOSE(J$14:J$33),Is_NewStore_Trend!$G35:$Z35)</f>
        <v>45000</v>
      </c>
      <c r="K63" s="226" cm="1">
        <f t="array" aca="1" ref="K63" ca="1">SUMPRODUCT(TRANSPOSE(K$14:K$33),Is_NewStore_Trend!$G35:$Z35)</f>
        <v>52500</v>
      </c>
      <c r="L63" s="226" cm="1">
        <f t="array" aca="1" ref="L63" ca="1">SUMPRODUCT(TRANSPOSE(L$14:L$33),Is_NewStore_Trend!$G35:$Z35)</f>
        <v>67500</v>
      </c>
      <c r="M63" s="226" cm="1">
        <f t="array" aca="1" ref="M63" ca="1">SUMPRODUCT(TRANSPOSE(M$14:M$33),Is_NewStore_Trend!$G35:$Z35)</f>
        <v>82500</v>
      </c>
      <c r="N63" s="226" cm="1">
        <f t="array" aca="1" ref="N63" ca="1">SUMPRODUCT(TRANSPOSE(N$14:N$33),Is_NewStore_Trend!$G35:$Z35)</f>
        <v>90000</v>
      </c>
      <c r="O63" s="226" cm="1">
        <f t="array" aca="1" ref="O63" ca="1">SUMPRODUCT(TRANSPOSE(O$14:O$33),Is_NewStore_Trend!$G35:$Z35)</f>
        <v>97500</v>
      </c>
      <c r="P63" s="226" cm="1">
        <f t="array" aca="1" ref="P63" ca="1">SUMPRODUCT(TRANSPOSE(P$14:P$33),Is_NewStore_Trend!$G35:$Z35)</f>
        <v>112500</v>
      </c>
      <c r="Q63" s="226" cm="1">
        <f t="array" aca="1" ref="Q63" ca="1">SUMPRODUCT(TRANSPOSE(Q$14:Q$33),Is_NewStore_Trend!$G35:$Z35)</f>
        <v>127500</v>
      </c>
      <c r="R63" s="226" cm="1">
        <f t="array" aca="1" ref="R63" ca="1">SUMPRODUCT(TRANSPOSE(R$14:R$33),Is_NewStore_Trend!$G35:$Z35)</f>
        <v>135000</v>
      </c>
      <c r="S63" s="226" cm="1">
        <f t="array" aca="1" ref="S63" ca="1">SUMPRODUCT(TRANSPOSE(S$14:S$33),Is_NewStore_Trend!$G35:$Z35)</f>
        <v>142500</v>
      </c>
      <c r="T63" s="226" cm="1">
        <f t="array" aca="1" ref="T63" ca="1">SUMPRODUCT(TRANSPOSE(T$14:T$33),Is_NewStore_Trend!$G35:$Z35)</f>
        <v>157500</v>
      </c>
      <c r="U63" s="226" cm="1">
        <f t="array" aca="1" ref="U63" ca="1">SUMPRODUCT(TRANSPOSE(U$14:U$33),Is_NewStore_Trend!$G35:$Z35)</f>
        <v>172500</v>
      </c>
      <c r="V63" s="226" cm="1">
        <f t="array" aca="1" ref="V63" ca="1">SUMPRODUCT(TRANSPOSE(V$14:V$33),Is_NewStore_Trend!$G35:$Z35)</f>
        <v>180000</v>
      </c>
      <c r="W63" s="226" cm="1">
        <f t="array" aca="1" ref="W63" ca="1">SUMPRODUCT(TRANSPOSE(W$14:W$33),Is_NewStore_Trend!$G35:$Z35)</f>
        <v>187500</v>
      </c>
      <c r="X63" s="226" cm="1">
        <f t="array" aca="1" ref="X63" ca="1">SUMPRODUCT(TRANSPOSE(X$14:X$33),Is_NewStore_Trend!$G35:$Z35)</f>
        <v>202500</v>
      </c>
      <c r="Y63" s="226" cm="1">
        <f t="array" aca="1" ref="Y63" ca="1">SUMPRODUCT(TRANSPOSE(Y$14:Y$33),Is_NewStore_Trend!$G35:$Z35)</f>
        <v>217500</v>
      </c>
      <c r="Z63" s="226" cm="1">
        <f t="array" aca="1" ref="Z63" ca="1">SUMPRODUCT(TRANSPOSE(Z$14:Z$33),Is_NewStore_Trend!$G35:$Z35)</f>
        <v>225000</v>
      </c>
    </row>
    <row r="64" spans="2:26" x14ac:dyDescent="0.25">
      <c r="B64" s="185" t="s">
        <v>204</v>
      </c>
      <c r="C64" s="206"/>
      <c r="D64" s="206"/>
      <c r="E64" s="206"/>
      <c r="F64" s="206"/>
      <c r="G64" s="225" cm="1">
        <f t="array" ref="G64">SUMPRODUCT(TRANSPOSE(G$14:G$33),Is_NewStore_Trend!$G36:$Z36)</f>
        <v>32500</v>
      </c>
      <c r="H64" s="225" cm="1">
        <f t="array" aca="1" ref="H64" ca="1">SUMPRODUCT(TRANSPOSE(H$14:H$33),Is_NewStore_Trend!$G36:$Z36)</f>
        <v>97500</v>
      </c>
      <c r="I64" s="225" cm="1">
        <f t="array" aca="1" ref="I64" ca="1">SUMPRODUCT(TRANSPOSE(I$14:I$33),Is_NewStore_Trend!$G36:$Z36)</f>
        <v>162500</v>
      </c>
      <c r="J64" s="225" cm="1">
        <f t="array" aca="1" ref="J64" ca="1">SUMPRODUCT(TRANSPOSE(J$14:J$33),Is_NewStore_Trend!$G36:$Z36)</f>
        <v>195000</v>
      </c>
      <c r="K64" s="225" cm="1">
        <f t="array" aca="1" ref="K64" ca="1">SUMPRODUCT(TRANSPOSE(K$14:K$33),Is_NewStore_Trend!$G36:$Z36)</f>
        <v>227500</v>
      </c>
      <c r="L64" s="225" cm="1">
        <f t="array" aca="1" ref="L64" ca="1">SUMPRODUCT(TRANSPOSE(L$14:L$33),Is_NewStore_Trend!$G36:$Z36)</f>
        <v>292500</v>
      </c>
      <c r="M64" s="225" cm="1">
        <f t="array" aca="1" ref="M64" ca="1">SUMPRODUCT(TRANSPOSE(M$14:M$33),Is_NewStore_Trend!$G36:$Z36)</f>
        <v>357500</v>
      </c>
      <c r="N64" s="225" cm="1">
        <f t="array" aca="1" ref="N64" ca="1">SUMPRODUCT(TRANSPOSE(N$14:N$33),Is_NewStore_Trend!$G36:$Z36)</f>
        <v>390000</v>
      </c>
      <c r="O64" s="225" cm="1">
        <f t="array" aca="1" ref="O64" ca="1">SUMPRODUCT(TRANSPOSE(O$14:O$33),Is_NewStore_Trend!$G36:$Z36)</f>
        <v>422500</v>
      </c>
      <c r="P64" s="225" cm="1">
        <f t="array" aca="1" ref="P64" ca="1">SUMPRODUCT(TRANSPOSE(P$14:P$33),Is_NewStore_Trend!$G36:$Z36)</f>
        <v>487500</v>
      </c>
      <c r="Q64" s="225" cm="1">
        <f t="array" aca="1" ref="Q64" ca="1">SUMPRODUCT(TRANSPOSE(Q$14:Q$33),Is_NewStore_Trend!$G36:$Z36)</f>
        <v>552500</v>
      </c>
      <c r="R64" s="225" cm="1">
        <f t="array" aca="1" ref="R64" ca="1">SUMPRODUCT(TRANSPOSE(R$14:R$33),Is_NewStore_Trend!$G36:$Z36)</f>
        <v>585000</v>
      </c>
      <c r="S64" s="225" cm="1">
        <f t="array" aca="1" ref="S64" ca="1">SUMPRODUCT(TRANSPOSE(S$14:S$33),Is_NewStore_Trend!$G36:$Z36)</f>
        <v>617500</v>
      </c>
      <c r="T64" s="225" cm="1">
        <f t="array" aca="1" ref="T64" ca="1">SUMPRODUCT(TRANSPOSE(T$14:T$33),Is_NewStore_Trend!$G36:$Z36)</f>
        <v>682500</v>
      </c>
      <c r="U64" s="225" cm="1">
        <f t="array" aca="1" ref="U64" ca="1">SUMPRODUCT(TRANSPOSE(U$14:U$33),Is_NewStore_Trend!$G36:$Z36)</f>
        <v>747500</v>
      </c>
      <c r="V64" s="225" cm="1">
        <f t="array" aca="1" ref="V64" ca="1">SUMPRODUCT(TRANSPOSE(V$14:V$33),Is_NewStore_Trend!$G36:$Z36)</f>
        <v>780000</v>
      </c>
      <c r="W64" s="225" cm="1">
        <f t="array" aca="1" ref="W64" ca="1">SUMPRODUCT(TRANSPOSE(W$14:W$33),Is_NewStore_Trend!$G36:$Z36)</f>
        <v>812500</v>
      </c>
      <c r="X64" s="225" cm="1">
        <f t="array" aca="1" ref="X64" ca="1">SUMPRODUCT(TRANSPOSE(X$14:X$33),Is_NewStore_Trend!$G36:$Z36)</f>
        <v>877500</v>
      </c>
      <c r="Y64" s="225" cm="1">
        <f t="array" aca="1" ref="Y64" ca="1">SUMPRODUCT(TRANSPOSE(Y$14:Y$33),Is_NewStore_Trend!$G36:$Z36)</f>
        <v>942500</v>
      </c>
      <c r="Z64" s="225" cm="1">
        <f t="array" aca="1" ref="Z64" ca="1">SUMPRODUCT(TRANSPOSE(Z$14:Z$33),Is_NewStore_Trend!$G36:$Z36)</f>
        <v>975000</v>
      </c>
    </row>
    <row r="65" spans="2:26" x14ac:dyDescent="0.25">
      <c r="C65" s="209"/>
      <c r="D65" s="209"/>
      <c r="E65" s="209"/>
      <c r="F65" s="209"/>
      <c r="G65" s="226"/>
      <c r="H65" s="226"/>
      <c r="I65" s="226"/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</row>
    <row r="66" spans="2:26" x14ac:dyDescent="0.25">
      <c r="B66" s="185" t="s">
        <v>205</v>
      </c>
      <c r="C66" s="206"/>
      <c r="D66" s="206"/>
      <c r="E66" s="206"/>
      <c r="F66" s="206"/>
      <c r="G66" s="225" cm="1">
        <f t="array" aca="1" ref="G66" ca="1">SUMPRODUCT(TRANSPOSE(G$14:G$33),Is_NewStore_Trend!$G38:$Z38)</f>
        <v>41004.804816249991</v>
      </c>
      <c r="H66" s="225" cm="1">
        <f t="array" aca="1" ref="H66" ca="1">SUMPRODUCT(TRANSPOSE(H$14:H$33),Is_NewStore_Trend!$G38:$Z38)</f>
        <v>123794.45048487186</v>
      </c>
      <c r="I66" s="225" cm="1">
        <f t="array" aca="1" ref="I66" ca="1">SUMPRODUCT(TRANSPOSE(I$14:I$33),Is_NewStore_Trend!$G38:$Z38)</f>
        <v>208150.01849600842</v>
      </c>
      <c r="J66" s="225" cm="1">
        <f t="array" aca="1" ref="J66" ca="1">SUMPRODUCT(TRANSPOSE(J$14:J$33),Is_NewStore_Trend!$G38:$Z38)</f>
        <v>253078.4484509785</v>
      </c>
      <c r="K66" s="225" cm="1">
        <f t="array" aca="1" ref="K66" ca="1">SUMPRODUCT(TRANSPOSE(K$14:K$33),Is_NewStore_Trend!$G38:$Z38)</f>
        <v>298816.34163061087</v>
      </c>
      <c r="L66" s="225" cm="1">
        <f t="array" aca="1" ref="L66" ca="1">SUMPRODUCT(TRANSPOSE(L$14:L$33),Is_NewStore_Trend!$G38:$Z38)</f>
        <v>386374.57382534049</v>
      </c>
      <c r="M66" s="225" cm="1">
        <f t="array" aca="1" ref="M66" ca="1">SUMPRODUCT(TRANSPOSE(M$14:M$33),Is_NewStore_Trend!$G38:$Z38)</f>
        <v>475534.49276153056</v>
      </c>
      <c r="N66" s="225" cm="1">
        <f t="array" aca="1" ref="N66" ca="1">SUMPRODUCT(TRANSPOSE(N$14:N$33),Is_NewStore_Trend!$G38:$Z38)</f>
        <v>525303.30627349217</v>
      </c>
      <c r="O66" s="225" cm="1">
        <f t="array" aca="1" ref="O66" ca="1">SUMPRODUCT(TRANSPOSE(O$14:O$33),Is_NewStore_Trend!$G38:$Z38)</f>
        <v>575917.88588679349</v>
      </c>
      <c r="P66" s="225" cm="1">
        <f t="array" aca="1" ref="P66" ca="1">SUMPRODUCT(TRANSPOSE(P$14:P$33),Is_NewStore_Trend!$G38:$Z38)</f>
        <v>668389.37966344447</v>
      </c>
      <c r="Q66" s="225" cm="1">
        <f t="array" aca="1" ref="Q66" ca="1">SUMPRODUCT(TRANSPOSE(Q$14:Q$33),Is_NewStore_Trend!$G38:$Z38)</f>
        <v>762499.40964342025</v>
      </c>
      <c r="R66" s="225" cm="1">
        <f t="array" aca="1" ref="R66" ca="1">SUMPRODUCT(TRANSPOSE(R$14:R$33),Is_NewStore_Trend!$G38:$Z38)</f>
        <v>817255.46003199602</v>
      </c>
      <c r="S66" s="225" cm="1">
        <f t="array" aca="1" ref="S66" ca="1">SUMPRODUCT(TRANSPOSE(S$14:S$33),Is_NewStore_Trend!$G38:$Z38)</f>
        <v>872894.68079848646</v>
      </c>
      <c r="T66" s="225" cm="1">
        <f t="array" aca="1" ref="T66" ca="1">SUMPRODUCT(TRANSPOSE(T$14:T$33),Is_NewStore_Trend!$G38:$Z38)</f>
        <v>970428.5005369751</v>
      </c>
      <c r="U66" s="225" cm="1">
        <f t="array" aca="1" ref="U66" ca="1">SUMPRODUCT(TRANSPOSE(U$14:U$33),Is_NewStore_Trend!$G38:$Z38)</f>
        <v>1069638.8239235024</v>
      </c>
      <c r="V66" s="225" cm="1">
        <f t="array" aca="1" ref="V66" ca="1">SUMPRODUCT(TRANSPOSE(V$14:V$33),Is_NewStore_Trend!$G38:$Z38)</f>
        <v>1129533.4199191788</v>
      </c>
      <c r="W66" s="225" cm="1">
        <f t="array" aca="1" ref="W66" ca="1">SUMPRODUCT(TRANSPOSE(W$14:W$33),Is_NewStore_Trend!$G38:$Z38)</f>
        <v>1190349.725384823</v>
      </c>
      <c r="X66" s="225" cm="1">
        <f t="array" aca="1" ref="X66" ca="1">SUMPRODUCT(TRANSPOSE(X$14:X$33),Is_NewStore_Trend!$G38:$Z38)</f>
        <v>1293099.4579577092</v>
      </c>
      <c r="Y66" s="225" cm="1">
        <f t="array" aca="1" ref="Y66" ca="1">SUMPRODUCT(TRANSPOSE(Y$14:Y$33),Is_NewStore_Trend!$G38:$Z38)</f>
        <v>1397564.8135248921</v>
      </c>
      <c r="Z66" s="225" cm="1">
        <f t="array" aca="1" ref="Z66" ca="1">SUMPRODUCT(TRANSPOSE(Z$14:Z$33),Is_NewStore_Trend!$G38:$Z38)</f>
        <v>1462753.854442579</v>
      </c>
    </row>
    <row r="69" spans="2:26" x14ac:dyDescent="0.25">
      <c r="Z69" s="17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05A8-6A5C-4244-A277-B855BABA5259}">
  <sheetPr>
    <tabColor rgb="FF92D050"/>
  </sheetPr>
  <dimension ref="B2:K58"/>
  <sheetViews>
    <sheetView zoomScale="70" zoomScaleNormal="70" workbookViewId="0">
      <selection activeCell="D13" sqref="D13:F13"/>
    </sheetView>
  </sheetViews>
  <sheetFormatPr defaultRowHeight="15" x14ac:dyDescent="0.25"/>
  <cols>
    <col min="1" max="1" width="5.85546875" customWidth="1"/>
    <col min="2" max="2" width="47.28515625" bestFit="1" customWidth="1"/>
    <col min="3" max="3" width="14.85546875" style="162" bestFit="1" customWidth="1"/>
    <col min="4" max="6" width="16.85546875" bestFit="1" customWidth="1"/>
    <col min="7" max="7" width="19.7109375" bestFit="1" customWidth="1"/>
    <col min="8" max="8" width="12.5703125" bestFit="1" customWidth="1"/>
    <col min="10" max="10" width="2" bestFit="1" customWidth="1"/>
  </cols>
  <sheetData>
    <row r="2" spans="2:11" x14ac:dyDescent="0.25">
      <c r="B2" s="164" t="s">
        <v>194</v>
      </c>
    </row>
    <row r="3" spans="2:11" x14ac:dyDescent="0.25">
      <c r="B3" t="s">
        <v>195</v>
      </c>
    </row>
    <row r="4" spans="2:11" x14ac:dyDescent="0.25">
      <c r="B4" s="170" t="s">
        <v>196</v>
      </c>
      <c r="C4" s="165" t="str">
        <f>"NSO"&amp;Inputs!C2</f>
        <v>NSO1</v>
      </c>
    </row>
    <row r="5" spans="2:11" x14ac:dyDescent="0.25">
      <c r="B5" s="170" t="s">
        <v>197</v>
      </c>
      <c r="C5" s="165" t="str">
        <f>"Scenario #"&amp;Inputs!C3</f>
        <v>Scenario #3</v>
      </c>
    </row>
    <row r="9" spans="2:11" x14ac:dyDescent="0.25">
      <c r="B9" s="160" t="s">
        <v>192</v>
      </c>
      <c r="C9" s="161"/>
      <c r="D9" s="159"/>
      <c r="E9" s="159"/>
      <c r="F9" s="159"/>
      <c r="G9" s="159"/>
      <c r="H9" s="159"/>
      <c r="I9" s="159"/>
      <c r="J9" s="159"/>
      <c r="K9" s="159"/>
    </row>
    <row r="11" spans="2:11" x14ac:dyDescent="0.25">
      <c r="C11" s="162" t="s">
        <v>45</v>
      </c>
      <c r="D11" s="162" t="s">
        <v>62</v>
      </c>
      <c r="E11" s="162" t="s">
        <v>60</v>
      </c>
      <c r="F11" s="162" t="s">
        <v>61</v>
      </c>
      <c r="G11" s="162" t="s">
        <v>193</v>
      </c>
      <c r="H11" s="162" t="s">
        <v>70</v>
      </c>
    </row>
    <row r="12" spans="2:11" x14ac:dyDescent="0.25">
      <c r="B12" s="163" t="s">
        <v>78</v>
      </c>
      <c r="D12" s="166">
        <f ca="1">INDEX(INDIRECT($C$4&amp;"Table"),MATCH($B12,INDIRECT($C$4&amp;"Row"),0),MATCH(D$11,INDIRECT($C$4&amp;"Column"),0))</f>
        <v>25000</v>
      </c>
      <c r="E12" s="166">
        <f t="shared" ref="E12:F14" ca="1" si="0">INDEX(INDIRECT($C$4&amp;"Table"),MATCH($B12,INDIRECT($C$4&amp;"Row"),0),MATCH(E$11,INDIRECT($C$4&amp;"Column"),0))</f>
        <v>30000</v>
      </c>
      <c r="F12" s="166">
        <f t="shared" ca="1" si="0"/>
        <v>40000</v>
      </c>
    </row>
    <row r="13" spans="2:11" x14ac:dyDescent="0.25">
      <c r="B13" s="163" t="s">
        <v>15</v>
      </c>
      <c r="D13" s="168">
        <f t="shared" ref="D13:D14" ca="1" si="1">INDEX(INDIRECT($C$4&amp;"Table"),MATCH($B13,INDIRECT($C$4&amp;"Row"),0),MATCH(D$11,INDIRECT($C$4&amp;"Column"),0))</f>
        <v>1300000</v>
      </c>
      <c r="E13" s="168">
        <f t="shared" ca="1" si="0"/>
        <v>1560000</v>
      </c>
      <c r="F13" s="168">
        <f t="shared" ca="1" si="0"/>
        <v>2080000</v>
      </c>
      <c r="G13" s="169">
        <f ca="1">SUMPRODUCT(D13:F13,D14:F14)</f>
        <v>1508000</v>
      </c>
      <c r="H13" s="192">
        <f ca="1">IF(G13/$G$13&gt;0,G13/$G$13,"")</f>
        <v>1</v>
      </c>
    </row>
    <row r="14" spans="2:11" x14ac:dyDescent="0.25">
      <c r="B14" s="163" t="s">
        <v>63</v>
      </c>
      <c r="D14" s="167">
        <f t="shared" ca="1" si="1"/>
        <v>0.4</v>
      </c>
      <c r="E14" s="167">
        <f t="shared" ca="1" si="0"/>
        <v>0.5</v>
      </c>
      <c r="F14" s="167">
        <f t="shared" ca="1" si="0"/>
        <v>0.1</v>
      </c>
      <c r="H14" s="192" t="str">
        <f t="shared" ref="H14:H58" ca="1" si="2">IF(G14/$G$13&gt;0,G14/$G$13,"")</f>
        <v/>
      </c>
    </row>
    <row r="15" spans="2:11" x14ac:dyDescent="0.25">
      <c r="H15" s="192" t="str">
        <f t="shared" ca="1" si="2"/>
        <v/>
      </c>
    </row>
    <row r="16" spans="2:11" x14ac:dyDescent="0.25">
      <c r="B16" t="s">
        <v>65</v>
      </c>
      <c r="C16" s="179">
        <f>INDEX(StoreExpenseTable,MATCH($B16,StoreExpenseRow,0),MATCH(C$5,StoreExpenseColumn,0))</f>
        <v>85000</v>
      </c>
      <c r="G16" s="175">
        <f>C16</f>
        <v>85000</v>
      </c>
      <c r="H16" s="192">
        <f t="shared" ca="1" si="2"/>
        <v>5.636604774535809E-2</v>
      </c>
    </row>
    <row r="17" spans="2:8" x14ac:dyDescent="0.25">
      <c r="B17" t="s">
        <v>64</v>
      </c>
      <c r="C17" s="171">
        <f>INDEX(StoreExpenseTable,MATCH($B17,StoreExpenseRow,0),MATCH(C$5,StoreExpenseColumn,0))</f>
        <v>0.1</v>
      </c>
      <c r="G17" s="175">
        <f>C17*G16</f>
        <v>8500</v>
      </c>
      <c r="H17" s="192">
        <f t="shared" ca="1" si="2"/>
        <v>5.6366047745358087E-3</v>
      </c>
    </row>
    <row r="18" spans="2:8" x14ac:dyDescent="0.25">
      <c r="B18" s="176" t="s">
        <v>66</v>
      </c>
      <c r="C18" s="177">
        <f>INDEX(StoreExpenseTable,MATCH($B18,StoreExpenseRow,0),MATCH(C$5,StoreExpenseColumn,0))</f>
        <v>93500.000000000015</v>
      </c>
      <c r="D18" s="176"/>
      <c r="E18" s="176"/>
      <c r="F18" s="176"/>
      <c r="G18" s="178">
        <f>SUM(G16:G17)</f>
        <v>93500</v>
      </c>
      <c r="H18" s="193">
        <f t="shared" ca="1" si="2"/>
        <v>6.2002652519893897E-2</v>
      </c>
    </row>
    <row r="19" spans="2:8" x14ac:dyDescent="0.25">
      <c r="C19" s="172"/>
      <c r="H19" s="192" t="str">
        <f t="shared" ca="1" si="2"/>
        <v/>
      </c>
    </row>
    <row r="20" spans="2:8" x14ac:dyDescent="0.25">
      <c r="B20" t="s">
        <v>67</v>
      </c>
      <c r="C20" s="180">
        <f>INDEX(StoreExpenseTable,MATCH($B20,StoreExpenseRow,0),MATCH(C$5,StoreExpenseColumn,0))</f>
        <v>630</v>
      </c>
      <c r="H20" s="192" t="str">
        <f t="shared" ca="1" si="2"/>
        <v/>
      </c>
    </row>
    <row r="21" spans="2:8" x14ac:dyDescent="0.25">
      <c r="B21" t="s">
        <v>198</v>
      </c>
      <c r="C21" s="181">
        <f>C20*52</f>
        <v>32760</v>
      </c>
      <c r="H21" s="192" t="str">
        <f t="shared" ca="1" si="2"/>
        <v/>
      </c>
    </row>
    <row r="22" spans="2:8" x14ac:dyDescent="0.25">
      <c r="C22" s="180"/>
      <c r="H22" s="192" t="str">
        <f t="shared" ca="1" si="2"/>
        <v/>
      </c>
    </row>
    <row r="23" spans="2:8" x14ac:dyDescent="0.25">
      <c r="B23" t="s">
        <v>68</v>
      </c>
      <c r="C23" s="182">
        <f>INDEX(StoreExpenseTable,MATCH($B23,StoreExpenseRow,0),MATCH(C$5,StoreExpenseColumn,0))</f>
        <v>12.4</v>
      </c>
      <c r="H23" s="192" t="str">
        <f t="shared" ca="1" si="2"/>
        <v/>
      </c>
    </row>
    <row r="24" spans="2:8" x14ac:dyDescent="0.25">
      <c r="C24" s="173"/>
      <c r="H24" s="192" t="str">
        <f t="shared" ca="1" si="2"/>
        <v/>
      </c>
    </row>
    <row r="25" spans="2:8" x14ac:dyDescent="0.25">
      <c r="B25" s="185" t="s">
        <v>69</v>
      </c>
      <c r="C25" s="191"/>
      <c r="D25" s="185"/>
      <c r="E25" s="185"/>
      <c r="F25" s="185"/>
      <c r="G25" s="189">
        <f>C23*C21</f>
        <v>406224</v>
      </c>
      <c r="H25" s="193">
        <f t="shared" ca="1" si="2"/>
        <v>0.26937931034482759</v>
      </c>
    </row>
    <row r="26" spans="2:8" x14ac:dyDescent="0.25">
      <c r="C26" s="173"/>
      <c r="H26" s="192" t="str">
        <f t="shared" ca="1" si="2"/>
        <v/>
      </c>
    </row>
    <row r="27" spans="2:8" x14ac:dyDescent="0.25">
      <c r="B27" s="185" t="s">
        <v>199</v>
      </c>
      <c r="C27" s="191"/>
      <c r="D27" s="185"/>
      <c r="E27" s="185"/>
      <c r="F27" s="185"/>
      <c r="G27" s="189">
        <f>G25+G18</f>
        <v>499724</v>
      </c>
      <c r="H27" s="193">
        <f t="shared" ca="1" si="2"/>
        <v>0.33138196286472149</v>
      </c>
    </row>
    <row r="28" spans="2:8" x14ac:dyDescent="0.25">
      <c r="C28" s="173"/>
      <c r="H28" s="192" t="str">
        <f t="shared" ca="1" si="2"/>
        <v/>
      </c>
    </row>
    <row r="29" spans="2:8" x14ac:dyDescent="0.25">
      <c r="B29" t="s">
        <v>1</v>
      </c>
      <c r="C29" s="174">
        <f t="shared" ref="C29:C34" si="3">INDEX(StoreExpenseTable,MATCH($B29,StoreExpenseRow,0),MATCH(C$5,StoreExpenseColumn,0))</f>
        <v>7.6999999999999999E-2</v>
      </c>
      <c r="G29" s="175">
        <f>$C29*G$27</f>
        <v>38478.748</v>
      </c>
      <c r="H29" s="192">
        <f t="shared" ca="1" si="2"/>
        <v>2.5516411140583554E-2</v>
      </c>
    </row>
    <row r="30" spans="2:8" x14ac:dyDescent="0.25">
      <c r="B30" t="s">
        <v>0</v>
      </c>
      <c r="C30" s="172">
        <f t="shared" si="3"/>
        <v>23000</v>
      </c>
      <c r="G30" s="175">
        <f>C30</f>
        <v>23000</v>
      </c>
      <c r="H30" s="192">
        <f t="shared" ca="1" si="2"/>
        <v>1.5251989389920425E-2</v>
      </c>
    </row>
    <row r="31" spans="2:8" x14ac:dyDescent="0.25">
      <c r="B31" t="s">
        <v>2</v>
      </c>
      <c r="C31" s="174">
        <f t="shared" si="3"/>
        <v>2.2499999999999999E-2</v>
      </c>
      <c r="G31" s="175">
        <f>$C31*G$27</f>
        <v>11243.789999999999</v>
      </c>
      <c r="H31" s="192">
        <f t="shared" ca="1" si="2"/>
        <v>7.4560941644562324E-3</v>
      </c>
    </row>
    <row r="32" spans="2:8" x14ac:dyDescent="0.25">
      <c r="B32" t="s">
        <v>3</v>
      </c>
      <c r="C32" s="174">
        <f t="shared" si="3"/>
        <v>2.2499999999999999E-2</v>
      </c>
      <c r="G32" s="175">
        <f t="shared" ref="G32:G34" si="4">$C32*G$27</f>
        <v>11243.789999999999</v>
      </c>
      <c r="H32" s="192">
        <f t="shared" ca="1" si="2"/>
        <v>7.4560941644562324E-3</v>
      </c>
    </row>
    <row r="33" spans="2:8" x14ac:dyDescent="0.25">
      <c r="B33" t="s">
        <v>16</v>
      </c>
      <c r="C33" s="174">
        <f t="shared" si="3"/>
        <v>2.2499999999999999E-2</v>
      </c>
      <c r="G33" s="175">
        <f t="shared" si="4"/>
        <v>11243.789999999999</v>
      </c>
      <c r="H33" s="192">
        <f t="shared" ca="1" si="2"/>
        <v>7.4560941644562324E-3</v>
      </c>
    </row>
    <row r="34" spans="2:8" x14ac:dyDescent="0.25">
      <c r="B34" t="s">
        <v>4</v>
      </c>
      <c r="C34" s="174">
        <f t="shared" si="3"/>
        <v>4.4999999999999998E-2</v>
      </c>
      <c r="G34" s="175">
        <f t="shared" si="4"/>
        <v>22487.579999999998</v>
      </c>
      <c r="H34" s="192">
        <f t="shared" ca="1" si="2"/>
        <v>1.4912188328912465E-2</v>
      </c>
    </row>
    <row r="35" spans="2:8" x14ac:dyDescent="0.25">
      <c r="B35" s="185" t="s">
        <v>200</v>
      </c>
      <c r="C35" s="186"/>
      <c r="D35" s="185"/>
      <c r="E35" s="185"/>
      <c r="F35" s="185"/>
      <c r="G35" s="189">
        <f>SUM(G29:G34)</f>
        <v>117697.69799999999</v>
      </c>
      <c r="H35" s="193">
        <f t="shared" ca="1" si="2"/>
        <v>7.804887135278514E-2</v>
      </c>
    </row>
    <row r="36" spans="2:8" x14ac:dyDescent="0.25">
      <c r="C36" s="174"/>
      <c r="G36" s="175"/>
      <c r="H36" s="192" t="str">
        <f t="shared" ca="1" si="2"/>
        <v/>
      </c>
    </row>
    <row r="37" spans="2:8" x14ac:dyDescent="0.25">
      <c r="B37" s="185" t="s">
        <v>201</v>
      </c>
      <c r="C37" s="186"/>
      <c r="D37" s="185"/>
      <c r="E37" s="185"/>
      <c r="F37" s="185"/>
      <c r="G37" s="189">
        <f>G35+G27</f>
        <v>617421.69799999997</v>
      </c>
      <c r="H37" s="193">
        <f t="shared" ca="1" si="2"/>
        <v>0.40943083421750659</v>
      </c>
    </row>
    <row r="38" spans="2:8" x14ac:dyDescent="0.25">
      <c r="C38" s="174"/>
      <c r="G38" s="183"/>
      <c r="H38" s="192" t="str">
        <f t="shared" ca="1" si="2"/>
        <v/>
      </c>
    </row>
    <row r="39" spans="2:8" x14ac:dyDescent="0.25">
      <c r="C39" s="174"/>
      <c r="H39" s="192" t="str">
        <f t="shared" ca="1" si="2"/>
        <v/>
      </c>
    </row>
    <row r="40" spans="2:8" x14ac:dyDescent="0.25">
      <c r="C40" s="174"/>
      <c r="H40" s="192" t="str">
        <f t="shared" ca="1" si="2"/>
        <v/>
      </c>
    </row>
    <row r="41" spans="2:8" x14ac:dyDescent="0.25">
      <c r="B41" t="s">
        <v>71</v>
      </c>
      <c r="C41" s="174">
        <f>INDEX(StoreExpenseTable,MATCH($B41,StoreExpenseRow,0),MATCH(C$5,StoreExpenseColumn,0))</f>
        <v>0.26</v>
      </c>
      <c r="G41" s="184">
        <f ca="1">$C41*G$13</f>
        <v>392080</v>
      </c>
      <c r="H41" s="192">
        <f t="shared" ca="1" si="2"/>
        <v>0.26</v>
      </c>
    </row>
    <row r="42" spans="2:8" x14ac:dyDescent="0.25">
      <c r="B42" t="s">
        <v>72</v>
      </c>
      <c r="C42" s="174">
        <f>INDEX(StoreExpenseTable,MATCH($B42,StoreExpenseRow,0),MATCH(C$5,StoreExpenseColumn,0))</f>
        <v>0.03</v>
      </c>
      <c r="G42" s="184">
        <f ca="1">$C42*G$13</f>
        <v>45240</v>
      </c>
      <c r="H42" s="192">
        <f t="shared" ca="1" si="2"/>
        <v>0.03</v>
      </c>
    </row>
    <row r="43" spans="2:8" x14ac:dyDescent="0.25">
      <c r="B43" s="185" t="s">
        <v>202</v>
      </c>
      <c r="C43" s="186"/>
      <c r="D43" s="185"/>
      <c r="E43" s="185"/>
      <c r="F43" s="185"/>
      <c r="G43" s="187">
        <f ca="1">SUM(G41:G42)</f>
        <v>437320</v>
      </c>
      <c r="H43" s="193">
        <f t="shared" ca="1" si="2"/>
        <v>0.28999999999999998</v>
      </c>
    </row>
    <row r="44" spans="2:8" x14ac:dyDescent="0.25">
      <c r="C44" s="174"/>
      <c r="H44" s="192" t="str">
        <f t="shared" ca="1" si="2"/>
        <v/>
      </c>
    </row>
    <row r="45" spans="2:8" x14ac:dyDescent="0.25">
      <c r="C45" s="174"/>
      <c r="H45" s="192" t="str">
        <f t="shared" ca="1" si="2"/>
        <v/>
      </c>
    </row>
    <row r="46" spans="2:8" x14ac:dyDescent="0.25">
      <c r="B46" t="s">
        <v>73</v>
      </c>
      <c r="C46" s="174">
        <f>INDEX(StoreExpenseTable,MATCH($B46,StoreExpenseRow,0),MATCH(C$5,StoreExpenseColumn,0))</f>
        <v>1.4999999999999999E-2</v>
      </c>
      <c r="G46" s="184">
        <f t="shared" ref="G46:G48" ca="1" si="5">$C46*G$13</f>
        <v>22620</v>
      </c>
      <c r="H46" s="192">
        <f t="shared" ca="1" si="2"/>
        <v>1.4999999999999999E-2</v>
      </c>
    </row>
    <row r="47" spans="2:8" x14ac:dyDescent="0.25">
      <c r="B47" t="s">
        <v>74</v>
      </c>
      <c r="C47" s="174">
        <f>INDEX(StoreExpenseTable,MATCH($B47,StoreExpenseRow,0),MATCH(C$5,StoreExpenseColumn,0))</f>
        <v>0.02</v>
      </c>
      <c r="G47" s="184">
        <f t="shared" ca="1" si="5"/>
        <v>30160</v>
      </c>
      <c r="H47" s="192">
        <f t="shared" ca="1" si="2"/>
        <v>0.02</v>
      </c>
    </row>
    <row r="48" spans="2:8" x14ac:dyDescent="0.25">
      <c r="B48" t="s">
        <v>75</v>
      </c>
      <c r="C48" s="174">
        <f>INDEX(StoreExpenseTable,MATCH($B48,StoreExpenseRow,0),MATCH(C$5,StoreExpenseColumn,0))</f>
        <v>7.0000000000000001E-3</v>
      </c>
      <c r="G48" s="184">
        <f t="shared" ca="1" si="5"/>
        <v>10556</v>
      </c>
      <c r="H48" s="192">
        <f t="shared" ca="1" si="2"/>
        <v>7.0000000000000001E-3</v>
      </c>
    </row>
    <row r="49" spans="2:10" x14ac:dyDescent="0.25">
      <c r="B49" t="s">
        <v>76</v>
      </c>
      <c r="C49" s="172">
        <f>INDEX(StoreExpenseTable,MATCH($B49,StoreExpenseRow,0),MATCH(C$5,StoreExpenseColumn,0))</f>
        <v>16000</v>
      </c>
      <c r="G49" s="175">
        <f t="shared" ref="G49:G50" si="6">C49</f>
        <v>16000</v>
      </c>
      <c r="H49" s="192">
        <f t="shared" ca="1" si="2"/>
        <v>1.0610079575596816E-2</v>
      </c>
    </row>
    <row r="50" spans="2:10" x14ac:dyDescent="0.25">
      <c r="B50" t="s">
        <v>43</v>
      </c>
      <c r="C50" s="172">
        <f>INDEX(StoreExpenseTable,MATCH($B50,StoreExpenseRow,0),MATCH(C$5,StoreExpenseColumn,0))</f>
        <v>83000</v>
      </c>
      <c r="G50" s="175">
        <f t="shared" si="6"/>
        <v>83000</v>
      </c>
      <c r="H50" s="192">
        <f t="shared" ca="1" si="2"/>
        <v>5.5039787798408485E-2</v>
      </c>
    </row>
    <row r="51" spans="2:10" x14ac:dyDescent="0.25">
      <c r="B51" s="185" t="s">
        <v>203</v>
      </c>
      <c r="C51" s="188"/>
      <c r="D51" s="185"/>
      <c r="E51" s="185"/>
      <c r="F51" s="185"/>
      <c r="G51" s="189">
        <f ca="1">SUM(G46:G50)</f>
        <v>162336</v>
      </c>
      <c r="H51" s="193">
        <f t="shared" ca="1" si="2"/>
        <v>0.10764986737400531</v>
      </c>
    </row>
    <row r="52" spans="2:10" ht="14.25" customHeight="1" x14ac:dyDescent="0.25">
      <c r="C52" s="172"/>
      <c r="H52" s="192" t="str">
        <f t="shared" ca="1" si="2"/>
        <v/>
      </c>
    </row>
    <row r="53" spans="2:10" x14ac:dyDescent="0.25">
      <c r="C53" s="172"/>
      <c r="H53" s="192" t="str">
        <f t="shared" ca="1" si="2"/>
        <v/>
      </c>
    </row>
    <row r="54" spans="2:10" x14ac:dyDescent="0.25">
      <c r="B54" t="s">
        <v>42</v>
      </c>
      <c r="C54" s="172">
        <f>INDEX(StoreExpenseTable,MATCH($B54,StoreExpenseRow,0),MATCH(C$5,StoreExpenseColumn,0))</f>
        <v>100000</v>
      </c>
      <c r="G54" s="175">
        <f t="shared" ref="G54:G55" si="7">C54</f>
        <v>100000</v>
      </c>
      <c r="H54" s="192">
        <f t="shared" ca="1" si="2"/>
        <v>6.6312997347480113E-2</v>
      </c>
    </row>
    <row r="55" spans="2:10" x14ac:dyDescent="0.25">
      <c r="B55" t="s">
        <v>77</v>
      </c>
      <c r="C55" s="172">
        <f>INDEX(StoreExpenseTable,MATCH($B55,StoreExpenseRow,0),MATCH(C$5,StoreExpenseColumn,0))</f>
        <v>30000</v>
      </c>
      <c r="G55" s="175">
        <f t="shared" si="7"/>
        <v>30000</v>
      </c>
      <c r="H55" s="192">
        <f t="shared" ca="1" si="2"/>
        <v>1.9893899204244031E-2</v>
      </c>
      <c r="J55" t="s">
        <v>206</v>
      </c>
    </row>
    <row r="56" spans="2:10" x14ac:dyDescent="0.25">
      <c r="B56" s="185" t="s">
        <v>204</v>
      </c>
      <c r="C56" s="190"/>
      <c r="D56" s="185"/>
      <c r="E56" s="185"/>
      <c r="F56" s="185"/>
      <c r="G56" s="189">
        <f>SUM(G54:G55)</f>
        <v>130000</v>
      </c>
      <c r="H56" s="193">
        <f t="shared" ca="1" si="2"/>
        <v>8.6206896551724144E-2</v>
      </c>
    </row>
    <row r="57" spans="2:10" x14ac:dyDescent="0.25">
      <c r="H57" s="192" t="str">
        <f t="shared" ca="1" si="2"/>
        <v/>
      </c>
    </row>
    <row r="58" spans="2:10" x14ac:dyDescent="0.25">
      <c r="B58" s="185" t="s">
        <v>205</v>
      </c>
      <c r="C58" s="190"/>
      <c r="D58" s="185"/>
      <c r="E58" s="185"/>
      <c r="F58" s="185"/>
      <c r="G58" s="189">
        <f ca="1">G13-G37-G43-G51-G56</f>
        <v>160922.30200000003</v>
      </c>
      <c r="H58" s="193">
        <f t="shared" ca="1" si="2"/>
        <v>0.10671240185676394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333-D883-4152-BA21-A3AE0C15B0A3}">
  <sheetPr>
    <tabColor rgb="FF92D050"/>
  </sheetPr>
  <dimension ref="B2:Z38"/>
  <sheetViews>
    <sheetView topLeftCell="A19" zoomScaleNormal="100" workbookViewId="0">
      <selection activeCell="C46" sqref="C46"/>
    </sheetView>
  </sheetViews>
  <sheetFormatPr defaultRowHeight="11.25" x14ac:dyDescent="0.2"/>
  <cols>
    <col min="1" max="1" width="3.42578125" style="1" customWidth="1"/>
    <col min="2" max="2" width="31" style="1" bestFit="1" customWidth="1"/>
    <col min="3" max="3" width="8.5703125" style="1" bestFit="1" customWidth="1"/>
    <col min="4" max="4" width="9.85546875" style="1" bestFit="1" customWidth="1"/>
    <col min="5" max="5" width="10.85546875" style="1" bestFit="1" customWidth="1"/>
    <col min="6" max="6" width="1.7109375" style="1" customWidth="1"/>
    <col min="7" max="26" width="8.5703125" style="1" bestFit="1" customWidth="1"/>
    <col min="27" max="16384" width="9.140625" style="1"/>
  </cols>
  <sheetData>
    <row r="2" spans="2:26" x14ac:dyDescent="0.2">
      <c r="B2" s="195" t="s">
        <v>207</v>
      </c>
    </row>
    <row r="3" spans="2:26" x14ac:dyDescent="0.2">
      <c r="B3" s="195" t="s">
        <v>208</v>
      </c>
      <c r="L3" s="196"/>
    </row>
    <row r="5" spans="2:26" x14ac:dyDescent="0.2">
      <c r="B5" s="197" t="s">
        <v>209</v>
      </c>
      <c r="C5" s="198">
        <f>Inputs!C4</f>
        <v>0.03</v>
      </c>
    </row>
    <row r="6" spans="2:26" x14ac:dyDescent="0.2">
      <c r="B6" s="197"/>
      <c r="C6" s="198"/>
      <c r="G6" s="199" t="s">
        <v>6</v>
      </c>
      <c r="H6" s="199"/>
      <c r="I6" s="199"/>
      <c r="J6" s="199"/>
      <c r="K6" s="199" t="s">
        <v>7</v>
      </c>
      <c r="L6" s="199"/>
      <c r="M6" s="199"/>
      <c r="N6" s="199"/>
      <c r="O6" s="199" t="s">
        <v>8</v>
      </c>
      <c r="P6" s="199"/>
      <c r="Q6" s="199"/>
      <c r="R6" s="199"/>
      <c r="S6" s="199" t="s">
        <v>9</v>
      </c>
      <c r="T6" s="199"/>
      <c r="U6" s="199"/>
      <c r="V6" s="199"/>
      <c r="W6" s="199" t="s">
        <v>10</v>
      </c>
      <c r="X6" s="199"/>
      <c r="Y6" s="199"/>
      <c r="Z6" s="199"/>
    </row>
    <row r="7" spans="2:26" x14ac:dyDescent="0.2">
      <c r="C7" s="200" t="s">
        <v>210</v>
      </c>
      <c r="D7" s="200" t="s">
        <v>211</v>
      </c>
      <c r="E7" s="200" t="s">
        <v>212</v>
      </c>
      <c r="G7" s="200" t="s">
        <v>11</v>
      </c>
      <c r="H7" s="200" t="s">
        <v>12</v>
      </c>
      <c r="I7" s="200" t="s">
        <v>13</v>
      </c>
      <c r="J7" s="200" t="s">
        <v>14</v>
      </c>
      <c r="K7" s="200" t="s">
        <v>11</v>
      </c>
      <c r="L7" s="200" t="s">
        <v>12</v>
      </c>
      <c r="M7" s="200" t="s">
        <v>13</v>
      </c>
      <c r="N7" s="200" t="s">
        <v>14</v>
      </c>
      <c r="O7" s="200" t="s">
        <v>11</v>
      </c>
      <c r="P7" s="200" t="s">
        <v>12</v>
      </c>
      <c r="Q7" s="200" t="s">
        <v>13</v>
      </c>
      <c r="R7" s="200" t="s">
        <v>14</v>
      </c>
      <c r="S7" s="200" t="s">
        <v>11</v>
      </c>
      <c r="T7" s="200" t="s">
        <v>12</v>
      </c>
      <c r="U7" s="200" t="s">
        <v>13</v>
      </c>
      <c r="V7" s="200" t="s">
        <v>14</v>
      </c>
      <c r="W7" s="200" t="s">
        <v>11</v>
      </c>
      <c r="X7" s="200" t="s">
        <v>12</v>
      </c>
      <c r="Y7" s="200" t="s">
        <v>13</v>
      </c>
      <c r="Z7" s="200" t="s">
        <v>14</v>
      </c>
    </row>
    <row r="8" spans="2:26" x14ac:dyDescent="0.2">
      <c r="B8" s="33" t="s">
        <v>15</v>
      </c>
      <c r="C8" s="201">
        <f ca="1">VLOOKUP(B8,IS_NewStore!$B$12:$G$58,6,FALSE)/4</f>
        <v>377000</v>
      </c>
      <c r="D8" s="202">
        <f ca="1">C8/$C$8</f>
        <v>1</v>
      </c>
      <c r="G8" s="201">
        <f ca="1">$C$8*(1+$C$5/4)</f>
        <v>379827.5</v>
      </c>
      <c r="H8" s="201">
        <f ca="1">G8*(1+$C$5/4)</f>
        <v>382676.20625000005</v>
      </c>
      <c r="I8" s="201">
        <f t="shared" ref="I8:Z8" ca="1" si="0">H8*(1+$C$5/4)</f>
        <v>385546.27779687505</v>
      </c>
      <c r="J8" s="201">
        <f t="shared" ca="1" si="0"/>
        <v>388437.87488035165</v>
      </c>
      <c r="K8" s="201">
        <f t="shared" ca="1" si="0"/>
        <v>391351.15894195432</v>
      </c>
      <c r="L8" s="201">
        <f t="shared" ca="1" si="0"/>
        <v>394286.29263401899</v>
      </c>
      <c r="M8" s="201">
        <f t="shared" ca="1" si="0"/>
        <v>397243.43982877414</v>
      </c>
      <c r="N8" s="201">
        <f t="shared" ca="1" si="0"/>
        <v>400222.76562748995</v>
      </c>
      <c r="O8" s="201">
        <f t="shared" ca="1" si="0"/>
        <v>403224.43636969617</v>
      </c>
      <c r="P8" s="201">
        <f t="shared" ca="1" si="0"/>
        <v>406248.61964246893</v>
      </c>
      <c r="Q8" s="201">
        <f t="shared" ca="1" si="0"/>
        <v>409295.48428978748</v>
      </c>
      <c r="R8" s="201">
        <f t="shared" ca="1" si="0"/>
        <v>412365.20042196091</v>
      </c>
      <c r="S8" s="201">
        <f t="shared" ca="1" si="0"/>
        <v>415457.93942512566</v>
      </c>
      <c r="T8" s="201">
        <f t="shared" ca="1" si="0"/>
        <v>418573.87397081411</v>
      </c>
      <c r="U8" s="201">
        <f t="shared" ca="1" si="0"/>
        <v>421713.17802559526</v>
      </c>
      <c r="V8" s="201">
        <f t="shared" ca="1" si="0"/>
        <v>424876.02686078724</v>
      </c>
      <c r="W8" s="201">
        <f t="shared" ca="1" si="0"/>
        <v>428062.59706224315</v>
      </c>
      <c r="X8" s="201">
        <f t="shared" ca="1" si="0"/>
        <v>431273.06654020998</v>
      </c>
      <c r="Y8" s="201">
        <f t="shared" ca="1" si="0"/>
        <v>434507.61453926156</v>
      </c>
      <c r="Z8" s="201">
        <f t="shared" ca="1" si="0"/>
        <v>437766.42164830607</v>
      </c>
    </row>
    <row r="9" spans="2:26" x14ac:dyDescent="0.2">
      <c r="B9" s="33"/>
      <c r="C9" s="201"/>
      <c r="D9" s="202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</row>
    <row r="10" spans="2:26" x14ac:dyDescent="0.2">
      <c r="B10" s="1" t="s">
        <v>66</v>
      </c>
      <c r="C10" s="203">
        <f>VLOOKUP(B10,IS_NewStore!$B$12:$G$58,6,FALSE)/4</f>
        <v>23375</v>
      </c>
      <c r="D10" s="204">
        <f t="shared" ref="D10:D38" ca="1" si="1">C10/$C$8</f>
        <v>6.2002652519893897E-2</v>
      </c>
      <c r="E10" s="205" t="str">
        <f>VLOOKUP($B10,Inputs!$B$60:$C$76,2,FALSE)</f>
        <v>Variable</v>
      </c>
      <c r="G10" s="203">
        <f ca="1">IF($E10="Variable",G$8*$D10,$C10)</f>
        <v>23550.3125</v>
      </c>
      <c r="H10" s="203">
        <f t="shared" ref="H10:Z11" ca="1" si="2">IF($E10="Variable",H$8*$D10,$C10)</f>
        <v>23726.939843750002</v>
      </c>
      <c r="I10" s="203">
        <f t="shared" ca="1" si="2"/>
        <v>23904.891892578125</v>
      </c>
      <c r="J10" s="203">
        <f t="shared" ca="1" si="2"/>
        <v>24084.178581772467</v>
      </c>
      <c r="K10" s="203">
        <f t="shared" ca="1" si="2"/>
        <v>24264.809921135762</v>
      </c>
      <c r="L10" s="203">
        <f t="shared" ca="1" si="2"/>
        <v>24446.795995544278</v>
      </c>
      <c r="M10" s="203">
        <f t="shared" ca="1" si="2"/>
        <v>24630.146965510863</v>
      </c>
      <c r="N10" s="203">
        <f t="shared" ca="1" si="2"/>
        <v>24814.873067752193</v>
      </c>
      <c r="O10" s="203">
        <f t="shared" ca="1" si="2"/>
        <v>25000.984615760339</v>
      </c>
      <c r="P10" s="203">
        <f t="shared" ca="1" si="2"/>
        <v>25188.492000378545</v>
      </c>
      <c r="Q10" s="203">
        <f t="shared" ca="1" si="2"/>
        <v>25377.405690381383</v>
      </c>
      <c r="R10" s="203">
        <f t="shared" ca="1" si="2"/>
        <v>25567.736233059248</v>
      </c>
      <c r="S10" s="203">
        <f t="shared" ca="1" si="2"/>
        <v>25759.494254807192</v>
      </c>
      <c r="T10" s="203">
        <f t="shared" ca="1" si="2"/>
        <v>25952.690461718248</v>
      </c>
      <c r="U10" s="203">
        <f t="shared" ca="1" si="2"/>
        <v>26147.335640181136</v>
      </c>
      <c r="V10" s="203">
        <f t="shared" ca="1" si="2"/>
        <v>26343.440657482497</v>
      </c>
      <c r="W10" s="203">
        <f t="shared" ca="1" si="2"/>
        <v>26541.016462413616</v>
      </c>
      <c r="X10" s="203">
        <f t="shared" ca="1" si="2"/>
        <v>26740.074085881719</v>
      </c>
      <c r="Y10" s="203">
        <f t="shared" ca="1" si="2"/>
        <v>26940.624641525832</v>
      </c>
      <c r="Z10" s="203">
        <f t="shared" ca="1" si="2"/>
        <v>27142.679326337278</v>
      </c>
    </row>
    <row r="11" spans="2:26" x14ac:dyDescent="0.2">
      <c r="B11" s="1" t="s">
        <v>69</v>
      </c>
      <c r="C11" s="203">
        <f>VLOOKUP(B11,IS_NewStore!$B$12:$G$58,6,FALSE)/4</f>
        <v>101556</v>
      </c>
      <c r="D11" s="204">
        <f t="shared" ca="1" si="1"/>
        <v>0.26937931034482759</v>
      </c>
      <c r="E11" s="205" t="str">
        <f>VLOOKUP($B11,Inputs!$B$60:$C$76,2,FALSE)</f>
        <v>Variable</v>
      </c>
      <c r="G11" s="203">
        <f ca="1">IF($E11="Variable",G$8*$D11,$C11)</f>
        <v>102317.67</v>
      </c>
      <c r="H11" s="203">
        <f t="shared" ca="1" si="2"/>
        <v>103085.05252500002</v>
      </c>
      <c r="I11" s="203">
        <f t="shared" ca="1" si="2"/>
        <v>103858.19041893752</v>
      </c>
      <c r="J11" s="203">
        <f t="shared" ca="1" si="2"/>
        <v>104637.12684707956</v>
      </c>
      <c r="K11" s="203">
        <f t="shared" ca="1" si="2"/>
        <v>105421.90529843266</v>
      </c>
      <c r="L11" s="203">
        <f t="shared" ca="1" si="2"/>
        <v>106212.56958817091</v>
      </c>
      <c r="M11" s="203">
        <f t="shared" ca="1" si="2"/>
        <v>107009.16386008219</v>
      </c>
      <c r="N11" s="203">
        <f t="shared" ca="1" si="2"/>
        <v>107811.73258903281</v>
      </c>
      <c r="O11" s="203">
        <f t="shared" ca="1" si="2"/>
        <v>108620.32058345056</v>
      </c>
      <c r="P11" s="203">
        <f t="shared" ca="1" si="2"/>
        <v>109434.97298782646</v>
      </c>
      <c r="Q11" s="203">
        <f t="shared" ca="1" si="2"/>
        <v>110255.73528523516</v>
      </c>
      <c r="R11" s="203">
        <f t="shared" ca="1" si="2"/>
        <v>111082.65329987444</v>
      </c>
      <c r="S11" s="203">
        <f t="shared" ca="1" si="2"/>
        <v>111915.77319962351</v>
      </c>
      <c r="T11" s="203">
        <f t="shared" ca="1" si="2"/>
        <v>112755.14149862068</v>
      </c>
      <c r="U11" s="203">
        <f t="shared" ca="1" si="2"/>
        <v>113600.80505986036</v>
      </c>
      <c r="V11" s="203">
        <f t="shared" ca="1" si="2"/>
        <v>114452.81109780932</v>
      </c>
      <c r="W11" s="203">
        <f t="shared" ca="1" si="2"/>
        <v>115311.20718104288</v>
      </c>
      <c r="X11" s="203">
        <f t="shared" ca="1" si="2"/>
        <v>116176.04123490071</v>
      </c>
      <c r="Y11" s="203">
        <f t="shared" ca="1" si="2"/>
        <v>117047.36154416246</v>
      </c>
      <c r="Z11" s="203">
        <f t="shared" ca="1" si="2"/>
        <v>117925.21675574369</v>
      </c>
    </row>
    <row r="12" spans="2:26" x14ac:dyDescent="0.2">
      <c r="B12" s="67" t="s">
        <v>199</v>
      </c>
      <c r="C12" s="206">
        <f>VLOOKUP(B12,IS_NewStore!$B$12:$G$58,6,FALSE)/4</f>
        <v>124931</v>
      </c>
      <c r="D12" s="207">
        <f t="shared" ca="1" si="1"/>
        <v>0.33138196286472149</v>
      </c>
      <c r="E12" s="208"/>
      <c r="G12" s="206">
        <f ca="1">SUM(G10:G11)</f>
        <v>125867.9825</v>
      </c>
      <c r="H12" s="206">
        <f t="shared" ref="H12:Z12" ca="1" si="3">SUM(H10:H11)</f>
        <v>126811.99236875003</v>
      </c>
      <c r="I12" s="206">
        <f t="shared" ca="1" si="3"/>
        <v>127763.08231151564</v>
      </c>
      <c r="J12" s="206">
        <f t="shared" ca="1" si="3"/>
        <v>128721.30542885204</v>
      </c>
      <c r="K12" s="206">
        <f t="shared" ca="1" si="3"/>
        <v>129686.71521956842</v>
      </c>
      <c r="L12" s="206">
        <f t="shared" ca="1" si="3"/>
        <v>130659.36558371519</v>
      </c>
      <c r="M12" s="206">
        <f t="shared" ca="1" si="3"/>
        <v>131639.31082559304</v>
      </c>
      <c r="N12" s="206">
        <f t="shared" ca="1" si="3"/>
        <v>132626.60565678499</v>
      </c>
      <c r="O12" s="206">
        <f t="shared" ca="1" si="3"/>
        <v>133621.30519921091</v>
      </c>
      <c r="P12" s="206">
        <f t="shared" ca="1" si="3"/>
        <v>134623.464988205</v>
      </c>
      <c r="Q12" s="206">
        <f t="shared" ca="1" si="3"/>
        <v>135633.14097561655</v>
      </c>
      <c r="R12" s="206">
        <f t="shared" ca="1" si="3"/>
        <v>136650.38953293368</v>
      </c>
      <c r="S12" s="206">
        <f t="shared" ca="1" si="3"/>
        <v>137675.26745443069</v>
      </c>
      <c r="T12" s="206">
        <f t="shared" ca="1" si="3"/>
        <v>138707.83196033892</v>
      </c>
      <c r="U12" s="206">
        <f t="shared" ca="1" si="3"/>
        <v>139748.14070004149</v>
      </c>
      <c r="V12" s="206">
        <f t="shared" ca="1" si="3"/>
        <v>140796.25175529183</v>
      </c>
      <c r="W12" s="206">
        <f t="shared" ca="1" si="3"/>
        <v>141852.2236434565</v>
      </c>
      <c r="X12" s="206">
        <f t="shared" ca="1" si="3"/>
        <v>142916.11532078244</v>
      </c>
      <c r="Y12" s="206">
        <f t="shared" ca="1" si="3"/>
        <v>143987.98618568829</v>
      </c>
      <c r="Z12" s="206">
        <f t="shared" ca="1" si="3"/>
        <v>145067.89608208096</v>
      </c>
    </row>
    <row r="13" spans="2:26" x14ac:dyDescent="0.2">
      <c r="C13" s="203"/>
      <c r="D13" s="204"/>
      <c r="E13" s="208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</row>
    <row r="14" spans="2:26" x14ac:dyDescent="0.2">
      <c r="B14" s="1" t="s">
        <v>1</v>
      </c>
      <c r="C14" s="209">
        <f>VLOOKUP(B14,IS_NewStore!$B$12:$G$58,6,FALSE)/4</f>
        <v>9619.6869999999999</v>
      </c>
      <c r="D14" s="210">
        <f t="shared" ca="1" si="1"/>
        <v>2.5516411140583554E-2</v>
      </c>
      <c r="E14" s="205" t="str">
        <f>VLOOKUP($B14,Inputs!$B$60:$C$76,2,FALSE)</f>
        <v>Variable</v>
      </c>
      <c r="G14" s="209">
        <f t="shared" ref="G14:V19" ca="1" si="4">IF($E14="Variable",G$8*$D14,$C14)</f>
        <v>9691.8346524999997</v>
      </c>
      <c r="H14" s="209">
        <f t="shared" ca="1" si="4"/>
        <v>9764.5234123937516</v>
      </c>
      <c r="I14" s="209">
        <f t="shared" ca="1" si="4"/>
        <v>9837.7573379867044</v>
      </c>
      <c r="J14" s="209">
        <f t="shared" ca="1" si="4"/>
        <v>9911.5405180216057</v>
      </c>
      <c r="K14" s="209">
        <f t="shared" ca="1" si="4"/>
        <v>9985.8770719067688</v>
      </c>
      <c r="L14" s="209">
        <f t="shared" ca="1" si="4"/>
        <v>10060.771149946069</v>
      </c>
      <c r="M14" s="209">
        <f t="shared" ca="1" si="4"/>
        <v>10136.226933570666</v>
      </c>
      <c r="N14" s="209">
        <f t="shared" ca="1" si="4"/>
        <v>10212.248635572445</v>
      </c>
      <c r="O14" s="209">
        <f t="shared" ca="1" si="4"/>
        <v>10288.84050033924</v>
      </c>
      <c r="P14" s="209">
        <f t="shared" ca="1" si="4"/>
        <v>10366.006804091785</v>
      </c>
      <c r="Q14" s="209">
        <f t="shared" ca="1" si="4"/>
        <v>10443.751855122475</v>
      </c>
      <c r="R14" s="209">
        <f t="shared" ca="1" si="4"/>
        <v>10522.079994035894</v>
      </c>
      <c r="S14" s="209">
        <f t="shared" ca="1" si="4"/>
        <v>10600.995593991163</v>
      </c>
      <c r="T14" s="209">
        <f t="shared" ca="1" si="4"/>
        <v>10680.503060946097</v>
      </c>
      <c r="U14" s="209">
        <f t="shared" ca="1" si="4"/>
        <v>10760.606833903195</v>
      </c>
      <c r="V14" s="209">
        <f t="shared" ca="1" si="4"/>
        <v>10841.311385157469</v>
      </c>
      <c r="W14" s="209">
        <f t="shared" ref="W14:Z19" ca="1" si="5">IF($E14="Variable",W$8*$D14,$C14)</f>
        <v>10922.621220546151</v>
      </c>
      <c r="X14" s="209">
        <f t="shared" ca="1" si="5"/>
        <v>11004.540879700247</v>
      </c>
      <c r="Y14" s="209">
        <f t="shared" ca="1" si="5"/>
        <v>11087.074936297999</v>
      </c>
      <c r="Z14" s="209">
        <f t="shared" ca="1" si="5"/>
        <v>11170.227998320235</v>
      </c>
    </row>
    <row r="15" spans="2:26" x14ac:dyDescent="0.2">
      <c r="B15" s="1" t="s">
        <v>0</v>
      </c>
      <c r="C15" s="209">
        <f>VLOOKUP(B15,IS_NewStore!$B$12:$G$58,6,FALSE)/4</f>
        <v>5750</v>
      </c>
      <c r="D15" s="210">
        <f t="shared" ca="1" si="1"/>
        <v>1.5251989389920425E-2</v>
      </c>
      <c r="E15" s="205" t="str">
        <f>VLOOKUP($B15,Inputs!$B$60:$C$76,2,FALSE)</f>
        <v>Fixed</v>
      </c>
      <c r="G15" s="209">
        <f t="shared" si="4"/>
        <v>5750</v>
      </c>
      <c r="H15" s="209">
        <f t="shared" si="4"/>
        <v>5750</v>
      </c>
      <c r="I15" s="209">
        <f t="shared" si="4"/>
        <v>5750</v>
      </c>
      <c r="J15" s="209">
        <f t="shared" si="4"/>
        <v>5750</v>
      </c>
      <c r="K15" s="209">
        <f t="shared" si="4"/>
        <v>5750</v>
      </c>
      <c r="L15" s="209">
        <f t="shared" si="4"/>
        <v>5750</v>
      </c>
      <c r="M15" s="209">
        <f t="shared" si="4"/>
        <v>5750</v>
      </c>
      <c r="N15" s="209">
        <f t="shared" si="4"/>
        <v>5750</v>
      </c>
      <c r="O15" s="209">
        <f t="shared" si="4"/>
        <v>5750</v>
      </c>
      <c r="P15" s="209">
        <f t="shared" si="4"/>
        <v>5750</v>
      </c>
      <c r="Q15" s="209">
        <f t="shared" si="4"/>
        <v>5750</v>
      </c>
      <c r="R15" s="209">
        <f t="shared" si="4"/>
        <v>5750</v>
      </c>
      <c r="S15" s="209">
        <f t="shared" si="4"/>
        <v>5750</v>
      </c>
      <c r="T15" s="209">
        <f t="shared" si="4"/>
        <v>5750</v>
      </c>
      <c r="U15" s="209">
        <f t="shared" si="4"/>
        <v>5750</v>
      </c>
      <c r="V15" s="209">
        <f t="shared" si="4"/>
        <v>5750</v>
      </c>
      <c r="W15" s="209">
        <f t="shared" si="5"/>
        <v>5750</v>
      </c>
      <c r="X15" s="209">
        <f t="shared" si="5"/>
        <v>5750</v>
      </c>
      <c r="Y15" s="209">
        <f t="shared" si="5"/>
        <v>5750</v>
      </c>
      <c r="Z15" s="209">
        <f t="shared" si="5"/>
        <v>5750</v>
      </c>
    </row>
    <row r="16" spans="2:26" x14ac:dyDescent="0.2">
      <c r="B16" s="1" t="s">
        <v>2</v>
      </c>
      <c r="C16" s="209">
        <f>VLOOKUP(B16,IS_NewStore!$B$12:$G$58,6,FALSE)/4</f>
        <v>2810.9474999999998</v>
      </c>
      <c r="D16" s="210">
        <f t="shared" ca="1" si="1"/>
        <v>7.4560941644562324E-3</v>
      </c>
      <c r="E16" s="205" t="str">
        <f>VLOOKUP($B16,Inputs!$B$60:$C$76,2,FALSE)</f>
        <v>Variable</v>
      </c>
      <c r="G16" s="209">
        <f t="shared" ca="1" si="4"/>
        <v>2832.0296062499997</v>
      </c>
      <c r="H16" s="209">
        <f t="shared" ca="1" si="4"/>
        <v>2853.2698282968749</v>
      </c>
      <c r="I16" s="209">
        <f t="shared" ca="1" si="4"/>
        <v>2874.6693520091017</v>
      </c>
      <c r="J16" s="209">
        <f t="shared" ca="1" si="4"/>
        <v>2896.2293721491701</v>
      </c>
      <c r="K16" s="209">
        <f t="shared" ca="1" si="4"/>
        <v>2917.9510924402889</v>
      </c>
      <c r="L16" s="209">
        <f t="shared" ca="1" si="4"/>
        <v>2939.8357256335912</v>
      </c>
      <c r="M16" s="209">
        <f t="shared" ca="1" si="4"/>
        <v>2961.8844935758434</v>
      </c>
      <c r="N16" s="209">
        <f t="shared" ca="1" si="4"/>
        <v>2984.0986272776622</v>
      </c>
      <c r="O16" s="209">
        <f t="shared" ca="1" si="4"/>
        <v>3006.4793669822452</v>
      </c>
      <c r="P16" s="209">
        <f t="shared" ca="1" si="4"/>
        <v>3029.027962234612</v>
      </c>
      <c r="Q16" s="209">
        <f t="shared" ca="1" si="4"/>
        <v>3051.7456719513721</v>
      </c>
      <c r="R16" s="209">
        <f t="shared" ca="1" si="4"/>
        <v>3074.6337644910072</v>
      </c>
      <c r="S16" s="209">
        <f t="shared" ca="1" si="4"/>
        <v>3097.6935177246905</v>
      </c>
      <c r="T16" s="209">
        <f t="shared" ca="1" si="4"/>
        <v>3120.9262191076255</v>
      </c>
      <c r="U16" s="209">
        <f t="shared" ca="1" si="4"/>
        <v>3144.3331657509329</v>
      </c>
      <c r="V16" s="209">
        <f t="shared" ca="1" si="4"/>
        <v>3167.9156644940654</v>
      </c>
      <c r="W16" s="209">
        <f t="shared" ca="1" si="5"/>
        <v>3191.6750319777707</v>
      </c>
      <c r="X16" s="209">
        <f t="shared" ca="1" si="5"/>
        <v>3215.6125947176042</v>
      </c>
      <c r="Y16" s="209">
        <f t="shared" ca="1" si="5"/>
        <v>3239.7296891779861</v>
      </c>
      <c r="Z16" s="209">
        <f t="shared" ca="1" si="5"/>
        <v>3264.0276618468215</v>
      </c>
    </row>
    <row r="17" spans="2:26" x14ac:dyDescent="0.2">
      <c r="B17" s="1" t="s">
        <v>3</v>
      </c>
      <c r="C17" s="209">
        <f>VLOOKUP(B17,IS_NewStore!$B$12:$G$58,6,FALSE)/4</f>
        <v>2810.9474999999998</v>
      </c>
      <c r="D17" s="210">
        <f t="shared" ca="1" si="1"/>
        <v>7.4560941644562324E-3</v>
      </c>
      <c r="E17" s="205" t="str">
        <f>VLOOKUP($B17,Inputs!$B$60:$C$76,2,FALSE)</f>
        <v>Variable</v>
      </c>
      <c r="G17" s="209">
        <f t="shared" ca="1" si="4"/>
        <v>2832.0296062499997</v>
      </c>
      <c r="H17" s="209">
        <f t="shared" ca="1" si="4"/>
        <v>2853.2698282968749</v>
      </c>
      <c r="I17" s="209">
        <f t="shared" ca="1" si="4"/>
        <v>2874.6693520091017</v>
      </c>
      <c r="J17" s="209">
        <f t="shared" ca="1" si="4"/>
        <v>2896.2293721491701</v>
      </c>
      <c r="K17" s="209">
        <f t="shared" ca="1" si="4"/>
        <v>2917.9510924402889</v>
      </c>
      <c r="L17" s="209">
        <f t="shared" ca="1" si="4"/>
        <v>2939.8357256335912</v>
      </c>
      <c r="M17" s="209">
        <f t="shared" ca="1" si="4"/>
        <v>2961.8844935758434</v>
      </c>
      <c r="N17" s="209">
        <f t="shared" ca="1" si="4"/>
        <v>2984.0986272776622</v>
      </c>
      <c r="O17" s="209">
        <f t="shared" ca="1" si="4"/>
        <v>3006.4793669822452</v>
      </c>
      <c r="P17" s="209">
        <f t="shared" ca="1" si="4"/>
        <v>3029.027962234612</v>
      </c>
      <c r="Q17" s="209">
        <f t="shared" ca="1" si="4"/>
        <v>3051.7456719513721</v>
      </c>
      <c r="R17" s="209">
        <f t="shared" ca="1" si="4"/>
        <v>3074.6337644910072</v>
      </c>
      <c r="S17" s="209">
        <f t="shared" ca="1" si="4"/>
        <v>3097.6935177246905</v>
      </c>
      <c r="T17" s="209">
        <f t="shared" ca="1" si="4"/>
        <v>3120.9262191076255</v>
      </c>
      <c r="U17" s="209">
        <f t="shared" ca="1" si="4"/>
        <v>3144.3331657509329</v>
      </c>
      <c r="V17" s="209">
        <f t="shared" ca="1" si="4"/>
        <v>3167.9156644940654</v>
      </c>
      <c r="W17" s="209">
        <f t="shared" ca="1" si="5"/>
        <v>3191.6750319777707</v>
      </c>
      <c r="X17" s="209">
        <f t="shared" ca="1" si="5"/>
        <v>3215.6125947176042</v>
      </c>
      <c r="Y17" s="209">
        <f t="shared" ca="1" si="5"/>
        <v>3239.7296891779861</v>
      </c>
      <c r="Z17" s="209">
        <f t="shared" ca="1" si="5"/>
        <v>3264.0276618468215</v>
      </c>
    </row>
    <row r="18" spans="2:26" x14ac:dyDescent="0.2">
      <c r="B18" s="1" t="s">
        <v>16</v>
      </c>
      <c r="C18" s="209">
        <f>VLOOKUP(B18,IS_NewStore!$B$12:$G$58,6,FALSE)/4</f>
        <v>2810.9474999999998</v>
      </c>
      <c r="D18" s="210">
        <f t="shared" ca="1" si="1"/>
        <v>7.4560941644562324E-3</v>
      </c>
      <c r="E18" s="205" t="str">
        <f>VLOOKUP($B18,Inputs!$B$60:$C$76,2,FALSE)</f>
        <v>Variable</v>
      </c>
      <c r="G18" s="209">
        <f t="shared" ca="1" si="4"/>
        <v>2832.0296062499997</v>
      </c>
      <c r="H18" s="209">
        <f t="shared" ca="1" si="4"/>
        <v>2853.2698282968749</v>
      </c>
      <c r="I18" s="209">
        <f t="shared" ca="1" si="4"/>
        <v>2874.6693520091017</v>
      </c>
      <c r="J18" s="209">
        <f t="shared" ca="1" si="4"/>
        <v>2896.2293721491701</v>
      </c>
      <c r="K18" s="209">
        <f t="shared" ca="1" si="4"/>
        <v>2917.9510924402889</v>
      </c>
      <c r="L18" s="209">
        <f t="shared" ca="1" si="4"/>
        <v>2939.8357256335912</v>
      </c>
      <c r="M18" s="209">
        <f t="shared" ca="1" si="4"/>
        <v>2961.8844935758434</v>
      </c>
      <c r="N18" s="209">
        <f t="shared" ca="1" si="4"/>
        <v>2984.0986272776622</v>
      </c>
      <c r="O18" s="209">
        <f t="shared" ca="1" si="4"/>
        <v>3006.4793669822452</v>
      </c>
      <c r="P18" s="209">
        <f t="shared" ca="1" si="4"/>
        <v>3029.027962234612</v>
      </c>
      <c r="Q18" s="209">
        <f t="shared" ca="1" si="4"/>
        <v>3051.7456719513721</v>
      </c>
      <c r="R18" s="209">
        <f t="shared" ca="1" si="4"/>
        <v>3074.6337644910072</v>
      </c>
      <c r="S18" s="209">
        <f t="shared" ca="1" si="4"/>
        <v>3097.6935177246905</v>
      </c>
      <c r="T18" s="209">
        <f t="shared" ca="1" si="4"/>
        <v>3120.9262191076255</v>
      </c>
      <c r="U18" s="209">
        <f t="shared" ca="1" si="4"/>
        <v>3144.3331657509329</v>
      </c>
      <c r="V18" s="209">
        <f t="shared" ca="1" si="4"/>
        <v>3167.9156644940654</v>
      </c>
      <c r="W18" s="209">
        <f t="shared" ca="1" si="5"/>
        <v>3191.6750319777707</v>
      </c>
      <c r="X18" s="209">
        <f t="shared" ca="1" si="5"/>
        <v>3215.6125947176042</v>
      </c>
      <c r="Y18" s="209">
        <f t="shared" ca="1" si="5"/>
        <v>3239.7296891779861</v>
      </c>
      <c r="Z18" s="209">
        <f t="shared" ca="1" si="5"/>
        <v>3264.0276618468215</v>
      </c>
    </row>
    <row r="19" spans="2:26" x14ac:dyDescent="0.2">
      <c r="B19" s="1" t="s">
        <v>4</v>
      </c>
      <c r="C19" s="209">
        <f>VLOOKUP(B19,IS_NewStore!$B$12:$G$58,6,FALSE)/4</f>
        <v>5621.8949999999995</v>
      </c>
      <c r="D19" s="210">
        <f t="shared" ca="1" si="1"/>
        <v>1.4912188328912465E-2</v>
      </c>
      <c r="E19" s="205" t="str">
        <f>VLOOKUP($B19,Inputs!$B$60:$C$76,2,FALSE)</f>
        <v>Variable</v>
      </c>
      <c r="G19" s="209">
        <f t="shared" ca="1" si="4"/>
        <v>5664.0592124999994</v>
      </c>
      <c r="H19" s="209">
        <f t="shared" ca="1" si="4"/>
        <v>5706.5396565937499</v>
      </c>
      <c r="I19" s="209">
        <f t="shared" ca="1" si="4"/>
        <v>5749.3387040182033</v>
      </c>
      <c r="J19" s="209">
        <f t="shared" ca="1" si="4"/>
        <v>5792.4587442983402</v>
      </c>
      <c r="K19" s="209">
        <f t="shared" ca="1" si="4"/>
        <v>5835.9021848805778</v>
      </c>
      <c r="L19" s="209">
        <f t="shared" ca="1" si="4"/>
        <v>5879.6714512671824</v>
      </c>
      <c r="M19" s="209">
        <f t="shared" ca="1" si="4"/>
        <v>5923.7689871516868</v>
      </c>
      <c r="N19" s="209">
        <f t="shared" ca="1" si="4"/>
        <v>5968.1972545553244</v>
      </c>
      <c r="O19" s="209">
        <f t="shared" ca="1" si="4"/>
        <v>6012.9587339644904</v>
      </c>
      <c r="P19" s="209">
        <f t="shared" ca="1" si="4"/>
        <v>6058.055924469224</v>
      </c>
      <c r="Q19" s="209">
        <f t="shared" ca="1" si="4"/>
        <v>6103.4913439027441</v>
      </c>
      <c r="R19" s="209">
        <f t="shared" ca="1" si="4"/>
        <v>6149.2675289820145</v>
      </c>
      <c r="S19" s="209">
        <f t="shared" ca="1" si="4"/>
        <v>6195.3870354493811</v>
      </c>
      <c r="T19" s="209">
        <f t="shared" ca="1" si="4"/>
        <v>6241.8524382152509</v>
      </c>
      <c r="U19" s="209">
        <f t="shared" ca="1" si="4"/>
        <v>6288.6663315018659</v>
      </c>
      <c r="V19" s="209">
        <f t="shared" ca="1" si="4"/>
        <v>6335.8313289881307</v>
      </c>
      <c r="W19" s="209">
        <f t="shared" ca="1" si="5"/>
        <v>6383.3500639555414</v>
      </c>
      <c r="X19" s="209">
        <f t="shared" ca="1" si="5"/>
        <v>6431.2251894352084</v>
      </c>
      <c r="Y19" s="209">
        <f t="shared" ca="1" si="5"/>
        <v>6479.4593783559721</v>
      </c>
      <c r="Z19" s="209">
        <f t="shared" ca="1" si="5"/>
        <v>6528.055323693643</v>
      </c>
    </row>
    <row r="20" spans="2:26" x14ac:dyDescent="0.2">
      <c r="B20" s="67" t="s">
        <v>200</v>
      </c>
      <c r="C20" s="206">
        <f>VLOOKUP(B20,IS_NewStore!$B$12:$G$58,6,FALSE)/4</f>
        <v>29424.424499999997</v>
      </c>
      <c r="D20" s="207">
        <f t="shared" ca="1" si="1"/>
        <v>7.804887135278514E-2</v>
      </c>
      <c r="E20" s="208"/>
      <c r="G20" s="206">
        <f ca="1">SUM(G14:G19)</f>
        <v>29601.982683749997</v>
      </c>
      <c r="H20" s="206">
        <f t="shared" ref="H20:Z20" ca="1" si="6">SUM(H14:H19)</f>
        <v>29780.872553878122</v>
      </c>
      <c r="I20" s="206">
        <f t="shared" ca="1" si="6"/>
        <v>29961.104098032214</v>
      </c>
      <c r="J20" s="206">
        <f t="shared" ca="1" si="6"/>
        <v>30142.687378767456</v>
      </c>
      <c r="K20" s="206">
        <f t="shared" ca="1" si="6"/>
        <v>30325.632534108216</v>
      </c>
      <c r="L20" s="206">
        <f t="shared" ca="1" si="6"/>
        <v>30509.949778114024</v>
      </c>
      <c r="M20" s="206">
        <f t="shared" ca="1" si="6"/>
        <v>30695.649401449882</v>
      </c>
      <c r="N20" s="206">
        <f t="shared" ca="1" si="6"/>
        <v>30882.741771960755</v>
      </c>
      <c r="O20" s="206">
        <f t="shared" ca="1" si="6"/>
        <v>31071.237335250469</v>
      </c>
      <c r="P20" s="206">
        <f t="shared" ca="1" si="6"/>
        <v>31261.146615264846</v>
      </c>
      <c r="Q20" s="206">
        <f t="shared" ca="1" si="6"/>
        <v>31452.480214879335</v>
      </c>
      <c r="R20" s="206">
        <f t="shared" ca="1" si="6"/>
        <v>31645.248816490934</v>
      </c>
      <c r="S20" s="206">
        <f t="shared" ca="1" si="6"/>
        <v>31839.463182614618</v>
      </c>
      <c r="T20" s="206">
        <f t="shared" ca="1" si="6"/>
        <v>32035.134156484226</v>
      </c>
      <c r="U20" s="206">
        <f t="shared" ca="1" si="6"/>
        <v>32232.272662657862</v>
      </c>
      <c r="V20" s="206">
        <f t="shared" ca="1" si="6"/>
        <v>32430.889707627797</v>
      </c>
      <c r="W20" s="206">
        <f t="shared" ca="1" si="6"/>
        <v>32630.996380435005</v>
      </c>
      <c r="X20" s="206">
        <f t="shared" ca="1" si="6"/>
        <v>32832.603853288267</v>
      </c>
      <c r="Y20" s="206">
        <f t="shared" ca="1" si="6"/>
        <v>33035.72338218792</v>
      </c>
      <c r="Z20" s="206">
        <f t="shared" ca="1" si="6"/>
        <v>33240.366307554345</v>
      </c>
    </row>
    <row r="21" spans="2:26" x14ac:dyDescent="0.2">
      <c r="B21" s="67" t="s">
        <v>201</v>
      </c>
      <c r="C21" s="211">
        <f>VLOOKUP(B21,IS_NewStore!$B$12:$G$58,6,FALSE)/4</f>
        <v>154355.42449999999</v>
      </c>
      <c r="D21" s="212">
        <f t="shared" ca="1" si="1"/>
        <v>0.40943083421750659</v>
      </c>
      <c r="E21" s="208"/>
      <c r="G21" s="211">
        <f ca="1">G20+G12</f>
        <v>155469.96518375</v>
      </c>
      <c r="H21" s="211">
        <f t="shared" ref="H21:Z21" ca="1" si="7">H20+H12</f>
        <v>156592.86492262816</v>
      </c>
      <c r="I21" s="211">
        <f t="shared" ca="1" si="7"/>
        <v>157724.18640954787</v>
      </c>
      <c r="J21" s="211">
        <f t="shared" ca="1" si="7"/>
        <v>158863.99280761951</v>
      </c>
      <c r="K21" s="211">
        <f t="shared" ca="1" si="7"/>
        <v>160012.34775367664</v>
      </c>
      <c r="L21" s="211">
        <f t="shared" ca="1" si="7"/>
        <v>161169.31536182921</v>
      </c>
      <c r="M21" s="211">
        <f t="shared" ca="1" si="7"/>
        <v>162334.96022704293</v>
      </c>
      <c r="N21" s="211">
        <f t="shared" ca="1" si="7"/>
        <v>163509.34742874574</v>
      </c>
      <c r="O21" s="211">
        <f t="shared" ca="1" si="7"/>
        <v>164692.54253446139</v>
      </c>
      <c r="P21" s="211">
        <f t="shared" ca="1" si="7"/>
        <v>165884.61160346985</v>
      </c>
      <c r="Q21" s="211">
        <f t="shared" ca="1" si="7"/>
        <v>167085.62119049588</v>
      </c>
      <c r="R21" s="211">
        <f t="shared" ca="1" si="7"/>
        <v>168295.63834942461</v>
      </c>
      <c r="S21" s="211">
        <f t="shared" ca="1" si="7"/>
        <v>169514.73063704532</v>
      </c>
      <c r="T21" s="211">
        <f t="shared" ca="1" si="7"/>
        <v>170742.96611682314</v>
      </c>
      <c r="U21" s="211">
        <f t="shared" ca="1" si="7"/>
        <v>171980.41336269936</v>
      </c>
      <c r="V21" s="211">
        <f t="shared" ca="1" si="7"/>
        <v>173227.14146291962</v>
      </c>
      <c r="W21" s="211">
        <f t="shared" ca="1" si="7"/>
        <v>174483.22002389151</v>
      </c>
      <c r="X21" s="211">
        <f t="shared" ca="1" si="7"/>
        <v>175748.71917407069</v>
      </c>
      <c r="Y21" s="211">
        <f t="shared" ca="1" si="7"/>
        <v>177023.70956787621</v>
      </c>
      <c r="Z21" s="211">
        <f t="shared" ca="1" si="7"/>
        <v>178308.26238963532</v>
      </c>
    </row>
    <row r="22" spans="2:26" x14ac:dyDescent="0.2">
      <c r="C22" s="209"/>
      <c r="D22" s="210"/>
      <c r="E22" s="208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</row>
    <row r="23" spans="2:26" x14ac:dyDescent="0.2">
      <c r="B23" s="1" t="s">
        <v>71</v>
      </c>
      <c r="C23" s="209">
        <f ca="1">VLOOKUP(B23,IS_NewStore!$B$12:$G$58,6,FALSE)/4</f>
        <v>98020</v>
      </c>
      <c r="D23" s="210">
        <f t="shared" ca="1" si="1"/>
        <v>0.26</v>
      </c>
      <c r="E23" s="205" t="str">
        <f>VLOOKUP($B23,Inputs!$B$60:$C$76,2,FALSE)</f>
        <v>Variable</v>
      </c>
      <c r="G23" s="209">
        <f ca="1">IF($E23="Variable",G$8*$D23,$C23)</f>
        <v>98755.150000000009</v>
      </c>
      <c r="H23" s="209">
        <f t="shared" ref="H23:Z24" ca="1" si="8">IF($E23="Variable",H$8*$D23,$C23)</f>
        <v>99495.81362500001</v>
      </c>
      <c r="I23" s="209">
        <f t="shared" ca="1" si="8"/>
        <v>100242.03222718752</v>
      </c>
      <c r="J23" s="209">
        <f t="shared" ca="1" si="8"/>
        <v>100993.84746889143</v>
      </c>
      <c r="K23" s="209">
        <f t="shared" ca="1" si="8"/>
        <v>101751.30132490813</v>
      </c>
      <c r="L23" s="209">
        <f t="shared" ca="1" si="8"/>
        <v>102514.43608484494</v>
      </c>
      <c r="M23" s="209">
        <f t="shared" ca="1" si="8"/>
        <v>103283.29435548128</v>
      </c>
      <c r="N23" s="209">
        <f t="shared" ca="1" si="8"/>
        <v>104057.91906314739</v>
      </c>
      <c r="O23" s="209">
        <f t="shared" ca="1" si="8"/>
        <v>104838.35345612101</v>
      </c>
      <c r="P23" s="209">
        <f t="shared" ca="1" si="8"/>
        <v>105624.64110704193</v>
      </c>
      <c r="Q23" s="209">
        <f t="shared" ca="1" si="8"/>
        <v>106416.82591534474</v>
      </c>
      <c r="R23" s="209">
        <f t="shared" ca="1" si="8"/>
        <v>107214.95210970983</v>
      </c>
      <c r="S23" s="209">
        <f t="shared" ca="1" si="8"/>
        <v>108019.06425053267</v>
      </c>
      <c r="T23" s="209">
        <f t="shared" ca="1" si="8"/>
        <v>108829.20723241167</v>
      </c>
      <c r="U23" s="209">
        <f t="shared" ca="1" si="8"/>
        <v>109645.42628665477</v>
      </c>
      <c r="V23" s="209">
        <f t="shared" ca="1" si="8"/>
        <v>110467.76698380469</v>
      </c>
      <c r="W23" s="209">
        <f t="shared" ca="1" si="8"/>
        <v>111296.27523618322</v>
      </c>
      <c r="X23" s="209">
        <f t="shared" ca="1" si="8"/>
        <v>112130.9973004546</v>
      </c>
      <c r="Y23" s="209">
        <f t="shared" ca="1" si="8"/>
        <v>112971.97978020801</v>
      </c>
      <c r="Z23" s="209">
        <f t="shared" ca="1" si="8"/>
        <v>113819.26962855959</v>
      </c>
    </row>
    <row r="24" spans="2:26" x14ac:dyDescent="0.2">
      <c r="B24" s="1" t="s">
        <v>72</v>
      </c>
      <c r="C24" s="209">
        <f ca="1">VLOOKUP(B24,IS_NewStore!$B$12:$G$58,6,FALSE)/4</f>
        <v>11310</v>
      </c>
      <c r="D24" s="210">
        <f t="shared" ca="1" si="1"/>
        <v>0.03</v>
      </c>
      <c r="E24" s="205" t="str">
        <f>VLOOKUP($B24,Inputs!$B$60:$C$76,2,FALSE)</f>
        <v>Variable</v>
      </c>
      <c r="G24" s="209">
        <f ca="1">IF($E24="Variable",G$8*$D24,$C24)</f>
        <v>11394.824999999999</v>
      </c>
      <c r="H24" s="209">
        <f t="shared" ca="1" si="8"/>
        <v>11480.286187500002</v>
      </c>
      <c r="I24" s="209">
        <f t="shared" ca="1" si="8"/>
        <v>11566.38833390625</v>
      </c>
      <c r="J24" s="209">
        <f t="shared" ca="1" si="8"/>
        <v>11653.13624641055</v>
      </c>
      <c r="K24" s="209">
        <f t="shared" ca="1" si="8"/>
        <v>11740.534768258629</v>
      </c>
      <c r="L24" s="209">
        <f t="shared" ca="1" si="8"/>
        <v>11828.588779020569</v>
      </c>
      <c r="M24" s="209">
        <f t="shared" ca="1" si="8"/>
        <v>11917.303194863223</v>
      </c>
      <c r="N24" s="209">
        <f t="shared" ca="1" si="8"/>
        <v>12006.682968824698</v>
      </c>
      <c r="O24" s="209">
        <f t="shared" ca="1" si="8"/>
        <v>12096.733091090884</v>
      </c>
      <c r="P24" s="209">
        <f t="shared" ca="1" si="8"/>
        <v>12187.458589274067</v>
      </c>
      <c r="Q24" s="209">
        <f t="shared" ca="1" si="8"/>
        <v>12278.864528693624</v>
      </c>
      <c r="R24" s="209">
        <f t="shared" ca="1" si="8"/>
        <v>12370.956012658828</v>
      </c>
      <c r="S24" s="209">
        <f t="shared" ca="1" si="8"/>
        <v>12463.73818275377</v>
      </c>
      <c r="T24" s="209">
        <f t="shared" ca="1" si="8"/>
        <v>12557.216219124422</v>
      </c>
      <c r="U24" s="209">
        <f t="shared" ca="1" si="8"/>
        <v>12651.395340767858</v>
      </c>
      <c r="V24" s="209">
        <f t="shared" ca="1" si="8"/>
        <v>12746.280805823617</v>
      </c>
      <c r="W24" s="209">
        <f t="shared" ca="1" si="8"/>
        <v>12841.877911867294</v>
      </c>
      <c r="X24" s="209">
        <f t="shared" ca="1" si="8"/>
        <v>12938.191996206298</v>
      </c>
      <c r="Y24" s="209">
        <f t="shared" ca="1" si="8"/>
        <v>13035.228436177846</v>
      </c>
      <c r="Z24" s="209">
        <f t="shared" ca="1" si="8"/>
        <v>13132.992649449181</v>
      </c>
    </row>
    <row r="25" spans="2:26" x14ac:dyDescent="0.2">
      <c r="B25" s="67" t="s">
        <v>202</v>
      </c>
      <c r="C25" s="206">
        <f ca="1">VLOOKUP(B25,IS_NewStore!$B$12:$G$58,6,FALSE)/4</f>
        <v>109330</v>
      </c>
      <c r="D25" s="207">
        <f t="shared" ca="1" si="1"/>
        <v>0.28999999999999998</v>
      </c>
      <c r="E25" s="208"/>
      <c r="G25" s="206">
        <f ca="1">SUM(G23:G24)</f>
        <v>110149.97500000001</v>
      </c>
      <c r="H25" s="206">
        <f t="shared" ref="H25:Z25" ca="1" si="9">SUM(H23:H24)</f>
        <v>110976.0998125</v>
      </c>
      <c r="I25" s="206">
        <f t="shared" ca="1" si="9"/>
        <v>111808.42056109376</v>
      </c>
      <c r="J25" s="206">
        <f t="shared" ca="1" si="9"/>
        <v>112646.98371530198</v>
      </c>
      <c r="K25" s="206">
        <f t="shared" ca="1" si="9"/>
        <v>113491.83609316676</v>
      </c>
      <c r="L25" s="206">
        <f t="shared" ca="1" si="9"/>
        <v>114343.02486386552</v>
      </c>
      <c r="M25" s="206">
        <f t="shared" ca="1" si="9"/>
        <v>115200.59755034451</v>
      </c>
      <c r="N25" s="206">
        <f t="shared" ca="1" si="9"/>
        <v>116064.60203197208</v>
      </c>
      <c r="O25" s="206">
        <f t="shared" ca="1" si="9"/>
        <v>116935.08654721189</v>
      </c>
      <c r="P25" s="206">
        <f t="shared" ca="1" si="9"/>
        <v>117812.099696316</v>
      </c>
      <c r="Q25" s="206">
        <f t="shared" ca="1" si="9"/>
        <v>118695.69044403837</v>
      </c>
      <c r="R25" s="206">
        <f t="shared" ca="1" si="9"/>
        <v>119585.90812236867</v>
      </c>
      <c r="S25" s="206">
        <f t="shared" ca="1" si="9"/>
        <v>120482.80243328644</v>
      </c>
      <c r="T25" s="206">
        <f t="shared" ca="1" si="9"/>
        <v>121386.4234515361</v>
      </c>
      <c r="U25" s="206">
        <f t="shared" ca="1" si="9"/>
        <v>122296.82162742263</v>
      </c>
      <c r="V25" s="206">
        <f t="shared" ca="1" si="9"/>
        <v>123214.0477896283</v>
      </c>
      <c r="W25" s="206">
        <f t="shared" ca="1" si="9"/>
        <v>124138.15314805052</v>
      </c>
      <c r="X25" s="206">
        <f t="shared" ca="1" si="9"/>
        <v>125069.1892966609</v>
      </c>
      <c r="Y25" s="206">
        <f t="shared" ca="1" si="9"/>
        <v>126007.20821638586</v>
      </c>
      <c r="Z25" s="206">
        <f t="shared" ca="1" si="9"/>
        <v>126952.26227800877</v>
      </c>
    </row>
    <row r="26" spans="2:26" x14ac:dyDescent="0.2">
      <c r="C26" s="209"/>
      <c r="D26" s="210"/>
      <c r="E26" s="208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</row>
    <row r="27" spans="2:26" x14ac:dyDescent="0.2">
      <c r="B27" s="1" t="s">
        <v>73</v>
      </c>
      <c r="C27" s="209">
        <f ca="1">VLOOKUP(B27,IS_NewStore!$B$12:$G$58,6,FALSE)/4</f>
        <v>5655</v>
      </c>
      <c r="D27" s="210">
        <f t="shared" ca="1" si="1"/>
        <v>1.4999999999999999E-2</v>
      </c>
      <c r="E27" s="205" t="str">
        <f>VLOOKUP($B27,Inputs!$B$60:$C$76,2,FALSE)</f>
        <v>Variable</v>
      </c>
      <c r="G27" s="209">
        <f t="shared" ref="G27:V31" ca="1" si="10">IF($E27="Variable",G$8*$D27,$C27)</f>
        <v>5697.4124999999995</v>
      </c>
      <c r="H27" s="209">
        <f t="shared" ca="1" si="10"/>
        <v>5740.1430937500008</v>
      </c>
      <c r="I27" s="209">
        <f t="shared" ca="1" si="10"/>
        <v>5783.1941669531252</v>
      </c>
      <c r="J27" s="209">
        <f t="shared" ca="1" si="10"/>
        <v>5826.5681232052748</v>
      </c>
      <c r="K27" s="209">
        <f t="shared" ca="1" si="10"/>
        <v>5870.2673841293145</v>
      </c>
      <c r="L27" s="209">
        <f t="shared" ca="1" si="10"/>
        <v>5914.2943895102844</v>
      </c>
      <c r="M27" s="209">
        <f t="shared" ca="1" si="10"/>
        <v>5958.6515974316117</v>
      </c>
      <c r="N27" s="209">
        <f t="shared" ca="1" si="10"/>
        <v>6003.341484412349</v>
      </c>
      <c r="O27" s="209">
        <f t="shared" ca="1" si="10"/>
        <v>6048.366545545442</v>
      </c>
      <c r="P27" s="209">
        <f t="shared" ca="1" si="10"/>
        <v>6093.7292946370335</v>
      </c>
      <c r="Q27" s="209">
        <f t="shared" ca="1" si="10"/>
        <v>6139.4322643468122</v>
      </c>
      <c r="R27" s="209">
        <f t="shared" ca="1" si="10"/>
        <v>6185.4780063294138</v>
      </c>
      <c r="S27" s="209">
        <f t="shared" ca="1" si="10"/>
        <v>6231.8690913768851</v>
      </c>
      <c r="T27" s="209">
        <f t="shared" ca="1" si="10"/>
        <v>6278.6081095622112</v>
      </c>
      <c r="U27" s="209">
        <f t="shared" ca="1" si="10"/>
        <v>6325.6976703839291</v>
      </c>
      <c r="V27" s="209">
        <f t="shared" ca="1" si="10"/>
        <v>6373.1404029118085</v>
      </c>
      <c r="W27" s="209">
        <f t="shared" ref="W27:Z31" ca="1" si="11">IF($E27="Variable",W$8*$D27,$C27)</f>
        <v>6420.9389559336469</v>
      </c>
      <c r="X27" s="209">
        <f t="shared" ca="1" si="11"/>
        <v>6469.0959981031492</v>
      </c>
      <c r="Y27" s="209">
        <f t="shared" ca="1" si="11"/>
        <v>6517.6142180889228</v>
      </c>
      <c r="Z27" s="209">
        <f t="shared" ca="1" si="11"/>
        <v>6566.4963247245905</v>
      </c>
    </row>
    <row r="28" spans="2:26" x14ac:dyDescent="0.2">
      <c r="B28" s="1" t="s">
        <v>74</v>
      </c>
      <c r="C28" s="209">
        <f ca="1">VLOOKUP(B28,IS_NewStore!$B$12:$G$58,6,FALSE)/4</f>
        <v>7540</v>
      </c>
      <c r="D28" s="210">
        <f t="shared" ca="1" si="1"/>
        <v>0.02</v>
      </c>
      <c r="E28" s="205" t="str">
        <f>VLOOKUP($B28,Inputs!$B$60:$C$76,2,FALSE)</f>
        <v>Variable</v>
      </c>
      <c r="G28" s="209">
        <f t="shared" ca="1" si="10"/>
        <v>7596.55</v>
      </c>
      <c r="H28" s="209">
        <f t="shared" ca="1" si="10"/>
        <v>7653.5241250000008</v>
      </c>
      <c r="I28" s="209">
        <f t="shared" ca="1" si="10"/>
        <v>7710.9255559375015</v>
      </c>
      <c r="J28" s="209">
        <f t="shared" ca="1" si="10"/>
        <v>7768.7574976070327</v>
      </c>
      <c r="K28" s="209">
        <f t="shared" ca="1" si="10"/>
        <v>7827.0231788390865</v>
      </c>
      <c r="L28" s="209">
        <f t="shared" ca="1" si="10"/>
        <v>7885.7258526803798</v>
      </c>
      <c r="M28" s="209">
        <f t="shared" ca="1" si="10"/>
        <v>7944.8687965754825</v>
      </c>
      <c r="N28" s="209">
        <f t="shared" ca="1" si="10"/>
        <v>8004.4553125497996</v>
      </c>
      <c r="O28" s="209">
        <f t="shared" ca="1" si="10"/>
        <v>8064.4887273939239</v>
      </c>
      <c r="P28" s="209">
        <f t="shared" ca="1" si="10"/>
        <v>8124.9723928493786</v>
      </c>
      <c r="Q28" s="209">
        <f t="shared" ca="1" si="10"/>
        <v>8185.9096857957493</v>
      </c>
      <c r="R28" s="209">
        <f t="shared" ca="1" si="10"/>
        <v>8247.3040084392178</v>
      </c>
      <c r="S28" s="209">
        <f t="shared" ca="1" si="10"/>
        <v>8309.1587885025128</v>
      </c>
      <c r="T28" s="209">
        <f t="shared" ca="1" si="10"/>
        <v>8371.4774794162822</v>
      </c>
      <c r="U28" s="209">
        <f t="shared" ca="1" si="10"/>
        <v>8434.2635605119049</v>
      </c>
      <c r="V28" s="209">
        <f t="shared" ca="1" si="10"/>
        <v>8497.5205372157452</v>
      </c>
      <c r="W28" s="209">
        <f t="shared" ca="1" si="11"/>
        <v>8561.2519412448637</v>
      </c>
      <c r="X28" s="209">
        <f t="shared" ca="1" si="11"/>
        <v>8625.461330804199</v>
      </c>
      <c r="Y28" s="209">
        <f t="shared" ca="1" si="11"/>
        <v>8690.1522907852304</v>
      </c>
      <c r="Z28" s="209">
        <f t="shared" ca="1" si="11"/>
        <v>8755.3284329661219</v>
      </c>
    </row>
    <row r="29" spans="2:26" x14ac:dyDescent="0.2">
      <c r="B29" s="1" t="s">
        <v>75</v>
      </c>
      <c r="C29" s="209">
        <f ca="1">VLOOKUP(B29,IS_NewStore!$B$12:$G$58,6,FALSE)/4</f>
        <v>2639</v>
      </c>
      <c r="D29" s="210">
        <f t="shared" ca="1" si="1"/>
        <v>7.0000000000000001E-3</v>
      </c>
      <c r="E29" s="205" t="str">
        <f>VLOOKUP($B29,Inputs!$B$60:$C$76,2,FALSE)</f>
        <v>Variable</v>
      </c>
      <c r="G29" s="209">
        <f t="shared" ca="1" si="10"/>
        <v>2658.7925</v>
      </c>
      <c r="H29" s="209">
        <f t="shared" ca="1" si="10"/>
        <v>2678.7334437500003</v>
      </c>
      <c r="I29" s="209">
        <f t="shared" ca="1" si="10"/>
        <v>2698.8239445781255</v>
      </c>
      <c r="J29" s="209">
        <f t="shared" ca="1" si="10"/>
        <v>2719.0651241624614</v>
      </c>
      <c r="K29" s="209">
        <f t="shared" ca="1" si="10"/>
        <v>2739.4581125936802</v>
      </c>
      <c r="L29" s="209">
        <f t="shared" ca="1" si="10"/>
        <v>2760.0040484381329</v>
      </c>
      <c r="M29" s="209">
        <f t="shared" ca="1" si="10"/>
        <v>2780.7040788014192</v>
      </c>
      <c r="N29" s="209">
        <f t="shared" ca="1" si="10"/>
        <v>2801.5593593924295</v>
      </c>
      <c r="O29" s="209">
        <f t="shared" ca="1" si="10"/>
        <v>2822.5710545878733</v>
      </c>
      <c r="P29" s="209">
        <f t="shared" ca="1" si="10"/>
        <v>2843.7403374972823</v>
      </c>
      <c r="Q29" s="209">
        <f t="shared" ca="1" si="10"/>
        <v>2865.0683900285126</v>
      </c>
      <c r="R29" s="209">
        <f t="shared" ca="1" si="10"/>
        <v>2886.5564029537263</v>
      </c>
      <c r="S29" s="209">
        <f t="shared" ca="1" si="10"/>
        <v>2908.2055759758796</v>
      </c>
      <c r="T29" s="209">
        <f t="shared" ca="1" si="10"/>
        <v>2930.0171177956986</v>
      </c>
      <c r="U29" s="209">
        <f t="shared" ca="1" si="10"/>
        <v>2951.9922461791671</v>
      </c>
      <c r="V29" s="209">
        <f t="shared" ca="1" si="10"/>
        <v>2974.1321880255109</v>
      </c>
      <c r="W29" s="209">
        <f t="shared" ca="1" si="11"/>
        <v>2996.4381794357023</v>
      </c>
      <c r="X29" s="209">
        <f t="shared" ca="1" si="11"/>
        <v>3018.9114657814698</v>
      </c>
      <c r="Y29" s="209">
        <f t="shared" ca="1" si="11"/>
        <v>3041.5533017748307</v>
      </c>
      <c r="Z29" s="209">
        <f t="shared" ca="1" si="11"/>
        <v>3064.3649515381426</v>
      </c>
    </row>
    <row r="30" spans="2:26" x14ac:dyDescent="0.2">
      <c r="B30" s="1" t="s">
        <v>76</v>
      </c>
      <c r="C30" s="209">
        <f>VLOOKUP(B30,IS_NewStore!$B$12:$G$58,6,FALSE)/4</f>
        <v>4000</v>
      </c>
      <c r="D30" s="210">
        <f t="shared" ca="1" si="1"/>
        <v>1.0610079575596816E-2</v>
      </c>
      <c r="E30" s="205" t="str">
        <f>VLOOKUP($B30,Inputs!$B$60:$C$76,2,FALSE)</f>
        <v>Fixed</v>
      </c>
      <c r="G30" s="209">
        <f t="shared" si="10"/>
        <v>4000</v>
      </c>
      <c r="H30" s="209">
        <f t="shared" si="10"/>
        <v>4000</v>
      </c>
      <c r="I30" s="209">
        <f t="shared" si="10"/>
        <v>4000</v>
      </c>
      <c r="J30" s="209">
        <f t="shared" si="10"/>
        <v>4000</v>
      </c>
      <c r="K30" s="209">
        <f t="shared" si="10"/>
        <v>4000</v>
      </c>
      <c r="L30" s="209">
        <f t="shared" si="10"/>
        <v>4000</v>
      </c>
      <c r="M30" s="209">
        <f t="shared" si="10"/>
        <v>4000</v>
      </c>
      <c r="N30" s="209">
        <f t="shared" si="10"/>
        <v>4000</v>
      </c>
      <c r="O30" s="209">
        <f t="shared" si="10"/>
        <v>4000</v>
      </c>
      <c r="P30" s="209">
        <f t="shared" si="10"/>
        <v>4000</v>
      </c>
      <c r="Q30" s="209">
        <f t="shared" si="10"/>
        <v>4000</v>
      </c>
      <c r="R30" s="209">
        <f t="shared" si="10"/>
        <v>4000</v>
      </c>
      <c r="S30" s="209">
        <f t="shared" si="10"/>
        <v>4000</v>
      </c>
      <c r="T30" s="209">
        <f t="shared" si="10"/>
        <v>4000</v>
      </c>
      <c r="U30" s="209">
        <f t="shared" si="10"/>
        <v>4000</v>
      </c>
      <c r="V30" s="209">
        <f t="shared" si="10"/>
        <v>4000</v>
      </c>
      <c r="W30" s="209">
        <f t="shared" si="11"/>
        <v>4000</v>
      </c>
      <c r="X30" s="209">
        <f t="shared" si="11"/>
        <v>4000</v>
      </c>
      <c r="Y30" s="209">
        <f t="shared" si="11"/>
        <v>4000</v>
      </c>
      <c r="Z30" s="209">
        <f t="shared" si="11"/>
        <v>4000</v>
      </c>
    </row>
    <row r="31" spans="2:26" x14ac:dyDescent="0.2">
      <c r="B31" s="1" t="s">
        <v>43</v>
      </c>
      <c r="C31" s="209">
        <f>VLOOKUP(B31,IS_NewStore!$B$12:$G$58,6,FALSE)/4</f>
        <v>20750</v>
      </c>
      <c r="D31" s="210">
        <f t="shared" ca="1" si="1"/>
        <v>5.5039787798408485E-2</v>
      </c>
      <c r="E31" s="205" t="str">
        <f>VLOOKUP($B31,Inputs!$B$60:$C$76,2,FALSE)</f>
        <v>Fixed</v>
      </c>
      <c r="G31" s="209">
        <f t="shared" si="10"/>
        <v>20750</v>
      </c>
      <c r="H31" s="209">
        <f t="shared" si="10"/>
        <v>20750</v>
      </c>
      <c r="I31" s="209">
        <f t="shared" si="10"/>
        <v>20750</v>
      </c>
      <c r="J31" s="209">
        <f t="shared" si="10"/>
        <v>20750</v>
      </c>
      <c r="K31" s="209">
        <f t="shared" si="10"/>
        <v>20750</v>
      </c>
      <c r="L31" s="209">
        <f t="shared" si="10"/>
        <v>20750</v>
      </c>
      <c r="M31" s="209">
        <f t="shared" si="10"/>
        <v>20750</v>
      </c>
      <c r="N31" s="209">
        <f t="shared" si="10"/>
        <v>20750</v>
      </c>
      <c r="O31" s="209">
        <f t="shared" si="10"/>
        <v>20750</v>
      </c>
      <c r="P31" s="209">
        <f t="shared" si="10"/>
        <v>20750</v>
      </c>
      <c r="Q31" s="209">
        <f t="shared" si="10"/>
        <v>20750</v>
      </c>
      <c r="R31" s="209">
        <f t="shared" si="10"/>
        <v>20750</v>
      </c>
      <c r="S31" s="209">
        <f t="shared" si="10"/>
        <v>20750</v>
      </c>
      <c r="T31" s="209">
        <f t="shared" si="10"/>
        <v>20750</v>
      </c>
      <c r="U31" s="209">
        <f t="shared" si="10"/>
        <v>20750</v>
      </c>
      <c r="V31" s="209">
        <f t="shared" si="10"/>
        <v>20750</v>
      </c>
      <c r="W31" s="209">
        <f t="shared" si="11"/>
        <v>20750</v>
      </c>
      <c r="X31" s="209">
        <f t="shared" si="11"/>
        <v>20750</v>
      </c>
      <c r="Y31" s="209">
        <f t="shared" si="11"/>
        <v>20750</v>
      </c>
      <c r="Z31" s="209">
        <f t="shared" si="11"/>
        <v>20750</v>
      </c>
    </row>
    <row r="32" spans="2:26" x14ac:dyDescent="0.2">
      <c r="B32" s="67" t="s">
        <v>203</v>
      </c>
      <c r="C32" s="206">
        <f ca="1">VLOOKUP(B32,IS_NewStore!$B$12:$G$58,6,FALSE)/4</f>
        <v>40584</v>
      </c>
      <c r="D32" s="207">
        <f t="shared" ca="1" si="1"/>
        <v>0.10764986737400531</v>
      </c>
      <c r="E32" s="208"/>
      <c r="G32" s="206">
        <f ca="1">SUM(G27:G31)</f>
        <v>40702.754999999997</v>
      </c>
      <c r="H32" s="206">
        <f t="shared" ref="H32:Z32" ca="1" si="12">SUM(H27:H31)</f>
        <v>40822.400662500004</v>
      </c>
      <c r="I32" s="206">
        <f t="shared" ca="1" si="12"/>
        <v>40942.943667468753</v>
      </c>
      <c r="J32" s="206">
        <f t="shared" ca="1" si="12"/>
        <v>41064.390744974771</v>
      </c>
      <c r="K32" s="206">
        <f t="shared" ca="1" si="12"/>
        <v>41186.748675562078</v>
      </c>
      <c r="L32" s="206">
        <f t="shared" ca="1" si="12"/>
        <v>41310.024290628797</v>
      </c>
      <c r="M32" s="206">
        <f t="shared" ca="1" si="12"/>
        <v>41434.224472808513</v>
      </c>
      <c r="N32" s="206">
        <f t="shared" ca="1" si="12"/>
        <v>41559.356156354581</v>
      </c>
      <c r="O32" s="206">
        <f t="shared" ca="1" si="12"/>
        <v>41685.426327527239</v>
      </c>
      <c r="P32" s="206">
        <f t="shared" ca="1" si="12"/>
        <v>41812.442024983699</v>
      </c>
      <c r="Q32" s="206">
        <f t="shared" ca="1" si="12"/>
        <v>41940.410340171074</v>
      </c>
      <c r="R32" s="206">
        <f t="shared" ca="1" si="12"/>
        <v>42069.338417722363</v>
      </c>
      <c r="S32" s="206">
        <f t="shared" ca="1" si="12"/>
        <v>42199.233455855283</v>
      </c>
      <c r="T32" s="206">
        <f t="shared" ca="1" si="12"/>
        <v>42330.102706774196</v>
      </c>
      <c r="U32" s="206">
        <f t="shared" ca="1" si="12"/>
        <v>42461.953477075003</v>
      </c>
      <c r="V32" s="206">
        <f t="shared" ca="1" si="12"/>
        <v>42594.793128153062</v>
      </c>
      <c r="W32" s="206">
        <f t="shared" ca="1" si="12"/>
        <v>42728.629076614212</v>
      </c>
      <c r="X32" s="206">
        <f t="shared" ca="1" si="12"/>
        <v>42863.468794688815</v>
      </c>
      <c r="Y32" s="206">
        <f t="shared" ca="1" si="12"/>
        <v>42999.319810648987</v>
      </c>
      <c r="Z32" s="206">
        <f t="shared" ca="1" si="12"/>
        <v>43136.189709228856</v>
      </c>
    </row>
    <row r="33" spans="2:26" x14ac:dyDescent="0.2">
      <c r="C33" s="209"/>
      <c r="D33" s="210"/>
      <c r="E33" s="208"/>
      <c r="G33" s="209"/>
      <c r="H33" s="209"/>
      <c r="I33" s="209"/>
      <c r="J33" s="209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</row>
    <row r="34" spans="2:26" x14ac:dyDescent="0.2">
      <c r="B34" s="1" t="s">
        <v>42</v>
      </c>
      <c r="C34" s="209">
        <f>VLOOKUP(B34,IS_NewStore!$B$12:$G$58,6,FALSE)/4</f>
        <v>25000</v>
      </c>
      <c r="D34" s="210">
        <f t="shared" ca="1" si="1"/>
        <v>6.6312997347480113E-2</v>
      </c>
      <c r="E34" s="205" t="str">
        <f>VLOOKUP($B34,Inputs!$B$60:$C$76,2,FALSE)</f>
        <v>Fixed</v>
      </c>
      <c r="G34" s="209">
        <f t="shared" ref="G34:V35" si="13">IF($E34="Variable",G$8*$D34,$C34)</f>
        <v>25000</v>
      </c>
      <c r="H34" s="209">
        <f t="shared" si="13"/>
        <v>25000</v>
      </c>
      <c r="I34" s="209">
        <f t="shared" si="13"/>
        <v>25000</v>
      </c>
      <c r="J34" s="209">
        <f t="shared" si="13"/>
        <v>25000</v>
      </c>
      <c r="K34" s="209">
        <f t="shared" si="13"/>
        <v>25000</v>
      </c>
      <c r="L34" s="209">
        <f t="shared" si="13"/>
        <v>25000</v>
      </c>
      <c r="M34" s="209">
        <f t="shared" si="13"/>
        <v>25000</v>
      </c>
      <c r="N34" s="209">
        <f t="shared" si="13"/>
        <v>25000</v>
      </c>
      <c r="O34" s="209">
        <f t="shared" si="13"/>
        <v>25000</v>
      </c>
      <c r="P34" s="209">
        <f t="shared" si="13"/>
        <v>25000</v>
      </c>
      <c r="Q34" s="209">
        <f t="shared" si="13"/>
        <v>25000</v>
      </c>
      <c r="R34" s="209">
        <f t="shared" si="13"/>
        <v>25000</v>
      </c>
      <c r="S34" s="209">
        <f t="shared" si="13"/>
        <v>25000</v>
      </c>
      <c r="T34" s="209">
        <f t="shared" si="13"/>
        <v>25000</v>
      </c>
      <c r="U34" s="209">
        <f t="shared" si="13"/>
        <v>25000</v>
      </c>
      <c r="V34" s="209">
        <f t="shared" si="13"/>
        <v>25000</v>
      </c>
      <c r="W34" s="209">
        <f t="shared" ref="W34:Z35" si="14">IF($E34="Variable",W$8*$D34,$C34)</f>
        <v>25000</v>
      </c>
      <c r="X34" s="209">
        <f t="shared" si="14"/>
        <v>25000</v>
      </c>
      <c r="Y34" s="209">
        <f t="shared" si="14"/>
        <v>25000</v>
      </c>
      <c r="Z34" s="209">
        <f t="shared" si="14"/>
        <v>25000</v>
      </c>
    </row>
    <row r="35" spans="2:26" x14ac:dyDescent="0.2">
      <c r="B35" s="1" t="s">
        <v>77</v>
      </c>
      <c r="C35" s="209">
        <f>VLOOKUP(B35,IS_NewStore!$B$12:$G$58,6,FALSE)/4</f>
        <v>7500</v>
      </c>
      <c r="D35" s="210">
        <f t="shared" ca="1" si="1"/>
        <v>1.9893899204244031E-2</v>
      </c>
      <c r="E35" s="205" t="str">
        <f>VLOOKUP($B35,Inputs!$B$60:$C$76,2,FALSE)</f>
        <v>Fixed</v>
      </c>
      <c r="G35" s="209">
        <f t="shared" si="13"/>
        <v>7500</v>
      </c>
      <c r="H35" s="209">
        <f t="shared" si="13"/>
        <v>7500</v>
      </c>
      <c r="I35" s="209">
        <f t="shared" si="13"/>
        <v>7500</v>
      </c>
      <c r="J35" s="209">
        <f t="shared" si="13"/>
        <v>7500</v>
      </c>
      <c r="K35" s="209">
        <f t="shared" si="13"/>
        <v>7500</v>
      </c>
      <c r="L35" s="209">
        <f t="shared" si="13"/>
        <v>7500</v>
      </c>
      <c r="M35" s="209">
        <f t="shared" si="13"/>
        <v>7500</v>
      </c>
      <c r="N35" s="209">
        <f t="shared" si="13"/>
        <v>7500</v>
      </c>
      <c r="O35" s="209">
        <f t="shared" si="13"/>
        <v>7500</v>
      </c>
      <c r="P35" s="209">
        <f t="shared" si="13"/>
        <v>7500</v>
      </c>
      <c r="Q35" s="209">
        <f t="shared" si="13"/>
        <v>7500</v>
      </c>
      <c r="R35" s="209">
        <f t="shared" si="13"/>
        <v>7500</v>
      </c>
      <c r="S35" s="209">
        <f t="shared" si="13"/>
        <v>7500</v>
      </c>
      <c r="T35" s="209">
        <f t="shared" si="13"/>
        <v>7500</v>
      </c>
      <c r="U35" s="209">
        <f t="shared" si="13"/>
        <v>7500</v>
      </c>
      <c r="V35" s="209">
        <f t="shared" si="13"/>
        <v>7500</v>
      </c>
      <c r="W35" s="209">
        <f t="shared" si="14"/>
        <v>7500</v>
      </c>
      <c r="X35" s="209">
        <f t="shared" si="14"/>
        <v>7500</v>
      </c>
      <c r="Y35" s="209">
        <f t="shared" si="14"/>
        <v>7500</v>
      </c>
      <c r="Z35" s="209">
        <f t="shared" si="14"/>
        <v>7500</v>
      </c>
    </row>
    <row r="36" spans="2:26" x14ac:dyDescent="0.2">
      <c r="B36" s="67" t="s">
        <v>204</v>
      </c>
      <c r="C36" s="206">
        <f>VLOOKUP(B36,IS_NewStore!$B$12:$G$58,6,FALSE)/4</f>
        <v>32500</v>
      </c>
      <c r="D36" s="207">
        <f t="shared" ca="1" si="1"/>
        <v>8.6206896551724144E-2</v>
      </c>
      <c r="E36" s="213"/>
      <c r="G36" s="206">
        <f>SUM(G34:G35)</f>
        <v>32500</v>
      </c>
      <c r="H36" s="206">
        <f t="shared" ref="H36:Z36" si="15">SUM(H34:H35)</f>
        <v>32500</v>
      </c>
      <c r="I36" s="206">
        <f t="shared" si="15"/>
        <v>32500</v>
      </c>
      <c r="J36" s="206">
        <f t="shared" si="15"/>
        <v>32500</v>
      </c>
      <c r="K36" s="206">
        <f t="shared" si="15"/>
        <v>32500</v>
      </c>
      <c r="L36" s="206">
        <f t="shared" si="15"/>
        <v>32500</v>
      </c>
      <c r="M36" s="206">
        <f t="shared" si="15"/>
        <v>32500</v>
      </c>
      <c r="N36" s="206">
        <f t="shared" si="15"/>
        <v>32500</v>
      </c>
      <c r="O36" s="206">
        <f t="shared" si="15"/>
        <v>32500</v>
      </c>
      <c r="P36" s="206">
        <f t="shared" si="15"/>
        <v>32500</v>
      </c>
      <c r="Q36" s="206">
        <f t="shared" si="15"/>
        <v>32500</v>
      </c>
      <c r="R36" s="206">
        <f t="shared" si="15"/>
        <v>32500</v>
      </c>
      <c r="S36" s="206">
        <f t="shared" si="15"/>
        <v>32500</v>
      </c>
      <c r="T36" s="206">
        <f t="shared" si="15"/>
        <v>32500</v>
      </c>
      <c r="U36" s="206">
        <f t="shared" si="15"/>
        <v>32500</v>
      </c>
      <c r="V36" s="206">
        <f t="shared" si="15"/>
        <v>32500</v>
      </c>
      <c r="W36" s="206">
        <f t="shared" si="15"/>
        <v>32500</v>
      </c>
      <c r="X36" s="206">
        <f t="shared" si="15"/>
        <v>32500</v>
      </c>
      <c r="Y36" s="206">
        <f t="shared" si="15"/>
        <v>32500</v>
      </c>
      <c r="Z36" s="206">
        <f t="shared" si="15"/>
        <v>32500</v>
      </c>
    </row>
    <row r="37" spans="2:26" x14ac:dyDescent="0.2">
      <c r="C37" s="209"/>
      <c r="D37" s="210"/>
      <c r="E37" s="213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</row>
    <row r="38" spans="2:26" x14ac:dyDescent="0.2">
      <c r="B38" s="67" t="s">
        <v>205</v>
      </c>
      <c r="C38" s="206">
        <f ca="1">VLOOKUP(B38,IS_NewStore!$B$12:$G$58,6,FALSE)/4</f>
        <v>40230.575500000006</v>
      </c>
      <c r="D38" s="207">
        <f t="shared" ca="1" si="1"/>
        <v>0.10671240185676394</v>
      </c>
      <c r="E38" s="213"/>
      <c r="G38" s="206">
        <f ca="1">G8-G21-G25-G32-G36</f>
        <v>41004.804816249991</v>
      </c>
      <c r="H38" s="206">
        <f t="shared" ref="H38:Z38" ca="1" si="16">H8-H21-H25-H32-H36</f>
        <v>41784.840852371883</v>
      </c>
      <c r="I38" s="206">
        <f t="shared" ca="1" si="16"/>
        <v>42570.727158764668</v>
      </c>
      <c r="J38" s="206">
        <f t="shared" ca="1" si="16"/>
        <v>43362.507612455403</v>
      </c>
      <c r="K38" s="206">
        <f t="shared" ca="1" si="16"/>
        <v>44160.226419548839</v>
      </c>
      <c r="L38" s="206">
        <f t="shared" ca="1" si="16"/>
        <v>44963.928117695468</v>
      </c>
      <c r="M38" s="206">
        <f t="shared" ca="1" si="16"/>
        <v>45773.65757857819</v>
      </c>
      <c r="N38" s="206">
        <f t="shared" ca="1" si="16"/>
        <v>46589.460010417548</v>
      </c>
      <c r="O38" s="206">
        <f t="shared" ca="1" si="16"/>
        <v>47411.380960495648</v>
      </c>
      <c r="P38" s="206">
        <f t="shared" ca="1" si="16"/>
        <v>48239.466317699378</v>
      </c>
      <c r="Q38" s="206">
        <f t="shared" ca="1" si="16"/>
        <v>49073.76231508216</v>
      </c>
      <c r="R38" s="206">
        <f t="shared" ca="1" si="16"/>
        <v>49914.315532445267</v>
      </c>
      <c r="S38" s="206">
        <f t="shared" ca="1" si="16"/>
        <v>50761.172898938617</v>
      </c>
      <c r="T38" s="206">
        <f t="shared" ca="1" si="16"/>
        <v>51614.38169568067</v>
      </c>
      <c r="U38" s="206">
        <f t="shared" ca="1" si="16"/>
        <v>52473.989558398272</v>
      </c>
      <c r="V38" s="206">
        <f t="shared" ca="1" si="16"/>
        <v>53340.044480086261</v>
      </c>
      <c r="W38" s="206">
        <f t="shared" ca="1" si="16"/>
        <v>54212.594813686912</v>
      </c>
      <c r="X38" s="206">
        <f t="shared" ca="1" si="16"/>
        <v>55091.689274789576</v>
      </c>
      <c r="Y38" s="206">
        <f t="shared" ca="1" si="16"/>
        <v>55977.376944350501</v>
      </c>
      <c r="Z38" s="206">
        <f t="shared" ca="1" si="16"/>
        <v>56869.70727143313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16</vt:i4>
      </vt:variant>
    </vt:vector>
  </HeadingPairs>
  <TitlesOfParts>
    <vt:vector size="39" baseType="lpstr">
      <vt:lpstr>Inputs</vt:lpstr>
      <vt:lpstr>Analysis</vt:lpstr>
      <vt:lpstr>Annual Summary</vt:lpstr>
      <vt:lpstr>BalanceSheet</vt:lpstr>
      <vt:lpstr>Cash Flows Statement</vt:lpstr>
      <vt:lpstr>CapEx</vt:lpstr>
      <vt:lpstr>CompanyP&amp;L</vt:lpstr>
      <vt:lpstr>Interest Expense</vt:lpstr>
      <vt:lpstr>G&amp;A</vt:lpstr>
      <vt:lpstr>ControlSheet</vt:lpstr>
      <vt:lpstr>All Stores--&gt;&gt;</vt:lpstr>
      <vt:lpstr>Existing Stores--&gt;&gt;</vt:lpstr>
      <vt:lpstr>In</vt:lpstr>
      <vt:lpstr>Is_Store1</vt:lpstr>
      <vt:lpstr>Is_Store2</vt:lpstr>
      <vt:lpstr>Is_Store3</vt:lpstr>
      <vt:lpstr>Is_Store4</vt:lpstr>
      <vt:lpstr>Is_Store5</vt:lpstr>
      <vt:lpstr>Out</vt:lpstr>
      <vt:lpstr>IS_Existing</vt:lpstr>
      <vt:lpstr>Inc_Stm_New_Stores---&gt;&gt;</vt:lpstr>
      <vt:lpstr>IS_NewStore</vt:lpstr>
      <vt:lpstr>Is_NewStore_Trend</vt:lpstr>
      <vt:lpstr>ExistingColumns</vt:lpstr>
      <vt:lpstr>ExistingRow</vt:lpstr>
      <vt:lpstr>ExistingTable</vt:lpstr>
      <vt:lpstr>NSO1Column</vt:lpstr>
      <vt:lpstr>NSO1Row</vt:lpstr>
      <vt:lpstr>NSO1Table</vt:lpstr>
      <vt:lpstr>NSO2Column</vt:lpstr>
      <vt:lpstr>NSO2Row</vt:lpstr>
      <vt:lpstr>NSO2Table</vt:lpstr>
      <vt:lpstr>ScheduleColumn</vt:lpstr>
      <vt:lpstr>ScheduleRow</vt:lpstr>
      <vt:lpstr>ScheduleTable</vt:lpstr>
      <vt:lpstr>StoreExpenseColumn</vt:lpstr>
      <vt:lpstr>StoreExpenseRow</vt:lpstr>
      <vt:lpstr>StoreExpenseTable</vt:lpstr>
      <vt:lpstr>StoreList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Allen</dc:creator>
  <cp:lastModifiedBy>Tony Trotter</cp:lastModifiedBy>
  <dcterms:created xsi:type="dcterms:W3CDTF">2020-06-08T21:06:33Z</dcterms:created>
  <dcterms:modified xsi:type="dcterms:W3CDTF">2023-05-05T04:17:45Z</dcterms:modified>
</cp:coreProperties>
</file>