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Tony Trotter\Desktop\Advanced Excel\"/>
    </mc:Choice>
  </mc:AlternateContent>
  <xr:revisionPtr revIDLastSave="0" documentId="13_ncr:1_{5ABFB33C-3250-4173-872A-523975945FD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Name" sheetId="2" r:id="rId2"/>
  </sheets>
  <definedNames>
    <definedName name="InvOptions">Sheet1!$B$19:$J$26</definedName>
    <definedName name="Target1">Sheet1!$E$97:$E$105</definedName>
    <definedName name="Year1">Sheet1!$D$97:$D$105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100" i="1"/>
  <c r="F101" i="1"/>
  <c r="F102" i="1"/>
  <c r="F103" i="1"/>
  <c r="F104" i="1"/>
  <c r="F105" i="1"/>
  <c r="F98" i="1"/>
  <c r="G106" i="1"/>
  <c r="C106" i="1"/>
  <c r="D106" i="1" s="1"/>
  <c r="E106" i="1"/>
  <c r="D161" i="1"/>
  <c r="D160" i="1"/>
  <c r="D159" i="1"/>
  <c r="C135" i="1"/>
  <c r="C142" i="1"/>
  <c r="C144" i="1"/>
  <c r="C52" i="1"/>
  <c r="C56" i="1"/>
  <c r="C91" i="1"/>
  <c r="I107" i="1"/>
  <c r="E106" i="1" a="1"/>
  <c r="E99" i="1"/>
  <c r="E100" i="1"/>
  <c r="E101" i="1"/>
  <c r="E102" i="1"/>
  <c r="E103" i="1"/>
  <c r="E104" i="1"/>
  <c r="E105" i="1"/>
  <c r="E98" i="1"/>
  <c r="G106" i="1" a="1"/>
  <c r="G98" i="1"/>
  <c r="G99" i="1"/>
  <c r="G100" i="1"/>
  <c r="G101" i="1"/>
  <c r="G102" i="1"/>
  <c r="G103" i="1"/>
  <c r="G104" i="1"/>
  <c r="G105" i="1"/>
  <c r="D99" i="1"/>
  <c r="D100" i="1"/>
  <c r="D101" i="1"/>
  <c r="D102" i="1"/>
  <c r="D103" i="1"/>
  <c r="D104" i="1"/>
  <c r="D105" i="1"/>
  <c r="D107" i="1"/>
  <c r="D98" i="1"/>
  <c r="C145" i="1"/>
  <c r="C95" i="1"/>
  <c r="C74" i="1"/>
  <c r="C44" i="1"/>
  <c r="C38" i="1"/>
  <c r="C67" i="1"/>
  <c r="C68" i="1"/>
  <c r="C70" i="1"/>
  <c r="C60" i="1"/>
  <c r="C180" i="1"/>
  <c r="C183" i="1"/>
  <c r="C186" i="1"/>
  <c r="C189" i="1"/>
  <c r="C193" i="1"/>
  <c r="C196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181" i="1"/>
  <c r="C184" i="1"/>
  <c r="C187" i="1"/>
  <c r="C191" i="1"/>
  <c r="C194" i="1"/>
  <c r="C198" i="1"/>
  <c r="C201" i="1"/>
  <c r="C204" i="1"/>
  <c r="C207" i="1"/>
  <c r="C210" i="1"/>
  <c r="C213" i="1"/>
  <c r="C216" i="1"/>
  <c r="C219" i="1"/>
  <c r="C222" i="1"/>
  <c r="C225" i="1"/>
  <c r="C228" i="1"/>
  <c r="C231" i="1"/>
  <c r="C234" i="1"/>
  <c r="C235" i="1"/>
  <c r="C179" i="1"/>
  <c r="C182" i="1"/>
  <c r="C185" i="1"/>
  <c r="C188" i="1"/>
  <c r="C192" i="1"/>
  <c r="C195" i="1"/>
  <c r="C199" i="1"/>
  <c r="C202" i="1"/>
  <c r="C205" i="1"/>
  <c r="C208" i="1"/>
  <c r="C211" i="1"/>
  <c r="C214" i="1"/>
  <c r="C217" i="1"/>
  <c r="C220" i="1"/>
  <c r="C223" i="1"/>
  <c r="C226" i="1"/>
  <c r="C229" i="1"/>
  <c r="C232" i="1"/>
  <c r="D180" i="1"/>
  <c r="D183" i="1"/>
  <c r="D186" i="1"/>
  <c r="D189" i="1"/>
  <c r="D193" i="1"/>
  <c r="D196" i="1"/>
  <c r="D200" i="1"/>
  <c r="D203" i="1"/>
  <c r="D206" i="1"/>
  <c r="D209" i="1"/>
  <c r="D212" i="1"/>
  <c r="D215" i="1"/>
  <c r="D218" i="1"/>
  <c r="D221" i="1"/>
  <c r="D224" i="1"/>
  <c r="D227" i="1"/>
  <c r="D230" i="1"/>
  <c r="D233" i="1"/>
  <c r="D181" i="1"/>
  <c r="D184" i="1"/>
  <c r="D187" i="1"/>
  <c r="D191" i="1"/>
  <c r="D194" i="1"/>
  <c r="D198" i="1"/>
  <c r="D201" i="1"/>
  <c r="D204" i="1"/>
  <c r="D207" i="1"/>
  <c r="D210" i="1"/>
  <c r="D213" i="1"/>
  <c r="D216" i="1"/>
  <c r="D219" i="1"/>
  <c r="D222" i="1"/>
  <c r="D225" i="1"/>
  <c r="D228" i="1"/>
  <c r="D231" i="1"/>
  <c r="D234" i="1"/>
  <c r="D179" i="1"/>
  <c r="D182" i="1"/>
  <c r="D185" i="1"/>
  <c r="D188" i="1"/>
  <c r="D192" i="1"/>
  <c r="D195" i="1"/>
  <c r="D199" i="1"/>
  <c r="D202" i="1"/>
  <c r="D205" i="1"/>
  <c r="D208" i="1"/>
  <c r="D211" i="1"/>
  <c r="D214" i="1"/>
  <c r="D217" i="1"/>
  <c r="D220" i="1"/>
  <c r="D223" i="1"/>
  <c r="D226" i="1"/>
  <c r="D229" i="1"/>
  <c r="D232" i="1"/>
  <c r="C138" i="1"/>
  <c r="C139" i="1"/>
  <c r="C140" i="1"/>
  <c r="C141" i="1"/>
  <c r="C137" i="1"/>
  <c r="C197" i="1"/>
  <c r="C190" i="1"/>
  <c r="C108" i="1" l="1"/>
  <c r="D108" i="1" s="1"/>
  <c r="H106" i="1"/>
  <c r="J106" i="1" s="1"/>
  <c r="I106" i="1"/>
  <c r="I102" i="1" s="1"/>
  <c r="G108" i="1"/>
  <c r="F106" i="1" a="1"/>
  <c r="F106" i="1" s="1"/>
  <c r="F108" i="1" s="1"/>
  <c r="I105" i="1" l="1"/>
  <c r="H100" i="1"/>
  <c r="H101" i="1"/>
  <c r="H99" i="1"/>
  <c r="I101" i="1"/>
  <c r="I103" i="1"/>
  <c r="H103" i="1"/>
  <c r="H98" i="1"/>
  <c r="I104" i="1"/>
  <c r="H102" i="1"/>
  <c r="I98" i="1"/>
  <c r="I100" i="1"/>
  <c r="K106" i="1"/>
  <c r="K108" i="1" s="1"/>
  <c r="H105" i="1"/>
  <c r="H104" i="1"/>
  <c r="I108" i="1"/>
  <c r="I9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<sst xmlns="http://schemas.openxmlformats.org/spreadsheetml/2006/main" count="272" uniqueCount="187">
  <si>
    <t>Risk</t>
  </si>
  <si>
    <t xml:space="preserve">Precious Metals and Mining Fund </t>
  </si>
  <si>
    <t>1 Year</t>
  </si>
  <si>
    <t>5 Year</t>
  </si>
  <si>
    <t>Prime Money Mkt Fund</t>
  </si>
  <si>
    <t>Since</t>
  </si>
  <si>
    <t>Inception</t>
  </si>
  <si>
    <t>Target</t>
  </si>
  <si>
    <t>Real estate fund</t>
  </si>
  <si>
    <t>Making</t>
  </si>
  <si>
    <t>Return</t>
  </si>
  <si>
    <t>or Better</t>
  </si>
  <si>
    <t>High Yield Bond Fund</t>
  </si>
  <si>
    <t>International Stock Fund</t>
  </si>
  <si>
    <t>Blue Chip Stock Fund</t>
  </si>
  <si>
    <t>Small Cap Stock Fund</t>
  </si>
  <si>
    <t>They do not expect to receive any of their retirement from Social Security</t>
  </si>
  <si>
    <t>The average interest rate after retirement is 5%</t>
  </si>
  <si>
    <t>Required savings at retirement</t>
  </si>
  <si>
    <t>Arguments</t>
  </si>
  <si>
    <t>Amount</t>
  </si>
  <si>
    <t>&lt;- Enter your arguments here and reference these cells in the PV formula</t>
  </si>
  <si>
    <t>Does this amount exceed the SEP IRA Max?</t>
  </si>
  <si>
    <t>Total amount per year</t>
  </si>
  <si>
    <t>SEP IRA Max</t>
  </si>
  <si>
    <t>The Smiths want to invest the minimum monthly amount but maximize their retirement within their risk tolerance.  Suggest an</t>
  </si>
  <si>
    <t>- The total risk on their portfolio cannot exceed a risk level of 3</t>
  </si>
  <si>
    <t>Funds</t>
  </si>
  <si>
    <t>Total</t>
  </si>
  <si>
    <t>Target Rate of Return</t>
  </si>
  <si>
    <t>Risk Level</t>
  </si>
  <si>
    <t>Number of Years</t>
  </si>
  <si>
    <t>Number of Payments Per Year</t>
  </si>
  <si>
    <t>Monthly Payment into IRA</t>
  </si>
  <si>
    <t>Risk Adjusted Rate of Return</t>
  </si>
  <si>
    <t>Target amount In each fund at retirement</t>
  </si>
  <si>
    <t>Risk free amount at retirement</t>
  </si>
  <si>
    <t>Allocation of Year 1 Payment</t>
  </si>
  <si>
    <t>Targets</t>
  </si>
  <si>
    <t>Monthly Retirement income risk free</t>
  </si>
  <si>
    <t>Difference</t>
  </si>
  <si>
    <t>- They want their investments to be diversified as follows:</t>
  </si>
  <si>
    <t>o Minimum of 5% in each fund</t>
  </si>
  <si>
    <t>Both Mr. and Mrs. Smith are 25 years old</t>
  </si>
  <si>
    <t>They want to retire when they are 65 years old (40 years)</t>
  </si>
  <si>
    <t>3 year</t>
  </si>
  <si>
    <t>10 year</t>
  </si>
  <si>
    <t>Chance of</t>
  </si>
  <si>
    <t>Investments</t>
  </si>
  <si>
    <t>on a scale of</t>
  </si>
  <si>
    <t>1 to 5</t>
  </si>
  <si>
    <t>The Smiths are both CPAs and have their own CPA firm with no employees now and do not expect any in the future</t>
  </si>
  <si>
    <t>&lt;- Enter your arguments here and reference these cells in your formula</t>
  </si>
  <si>
    <t>o No more than 25% in any one fund</t>
  </si>
  <si>
    <t>&lt;- From 2 above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</si>
  <si>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</si>
  <si>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</si>
  <si>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</si>
  <si>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</si>
  <si>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</si>
  <si>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</si>
  <si>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</si>
  <si>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</si>
  <si>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</si>
  <si>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</si>
  <si>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</si>
  <si>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</si>
  <si>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</t>
  </si>
  <si>
    <t>B</t>
  </si>
  <si>
    <t>This is the allocation percentage you assign to each investment.  The total must equal to 100%.</t>
  </si>
  <si>
    <t>C</t>
  </si>
  <si>
    <t>D</t>
  </si>
  <si>
    <t>E</t>
  </si>
  <si>
    <t>F</t>
  </si>
  <si>
    <t xml:space="preserve">The risk adjusted rate of return is the target rate of return multiplied by the chance of making the target. </t>
  </si>
  <si>
    <t>G</t>
  </si>
  <si>
    <r>
      <t>Put a formula in these cells that allocates the payment by the percentages you put in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.</t>
    </r>
  </si>
  <si>
    <t>H</t>
  </si>
  <si>
    <t>Target Allocation</t>
  </si>
  <si>
    <t>J</t>
  </si>
  <si>
    <t>Cost</t>
  </si>
  <si>
    <t>Annual appreciation</t>
  </si>
  <si>
    <t>Monthly Rent (2% annual increase)</t>
  </si>
  <si>
    <t>Calculate the NPV and IRR</t>
  </si>
  <si>
    <t>Investment</t>
  </si>
  <si>
    <t>Year 2</t>
  </si>
  <si>
    <t>Year 1</t>
  </si>
  <si>
    <t>Year 3</t>
  </si>
  <si>
    <t>Year 4</t>
  </si>
  <si>
    <t>Year 5</t>
  </si>
  <si>
    <t>IRR</t>
  </si>
  <si>
    <t>Value of the house in five years?</t>
  </si>
  <si>
    <t>&lt; use a future value calculation</t>
  </si>
  <si>
    <t>NPV at 10%</t>
  </si>
  <si>
    <t>Should they make this investment?</t>
  </si>
  <si>
    <t>The smiths are thinking about buying  a rental unit that has the following cash flows.  They want to know if this is a good investment.</t>
  </si>
  <si>
    <t>The next best investment returns 10%</t>
  </si>
  <si>
    <t>Remodel</t>
  </si>
  <si>
    <t>Rent Payment</t>
  </si>
  <si>
    <t>pay insurance &amp; property Tax</t>
  </si>
  <si>
    <t>Pay insurance &amp; property Tax</t>
  </si>
  <si>
    <t>They expect inflation to average 3% over their remaining life expectancy</t>
  </si>
  <si>
    <t>They expect to live 40 years after they retire (105 years old)</t>
  </si>
  <si>
    <t>They want to leave their Kids $3,000,000 when they die</t>
  </si>
  <si>
    <t>Expected Cash Flows:</t>
  </si>
  <si>
    <t>You are a Certified Financial Planner.  You have been hired by Mr. and Mrs. Smith to help them review their financial situation</t>
  </si>
  <si>
    <t>IF the amount is below the Max how much would they have at retirement, if they invest the max?</t>
  </si>
  <si>
    <t>Fill out the tables below and play with the investment mix until you have maximized the investment and still meet the requirements above</t>
  </si>
  <si>
    <t>They want to structure their investments to return a minimum of 5% annually</t>
  </si>
  <si>
    <t>What is the minimum amount that the Smiths must save by retirement to retire at 65?</t>
  </si>
  <si>
    <t>investment mix (fund target allocation) that would likely give them a premium but not exceed their risk tolerance.</t>
  </si>
  <si>
    <t>&lt;- Fill these out from information about the Smiths</t>
  </si>
  <si>
    <t>They plan on keeping the property for five years then sell it.</t>
  </si>
  <si>
    <t>Their main investment is a SEP IRA which limits their total investment per year to $51,000</t>
  </si>
  <si>
    <t>1=Low 5=High</t>
  </si>
  <si>
    <t>(use the help function to determine the required arguments)</t>
  </si>
  <si>
    <t>Does it exceed the Max?</t>
  </si>
  <si>
    <t>They rent the cabin out when they are not using it.  Rent is collected by a management firm, netted against expenses and paid to</t>
  </si>
  <si>
    <t>the Smith's semi annually. The Smiths want to use their inheritance to fund their children's education. Mrs. Smith can sell the</t>
  </si>
  <si>
    <t xml:space="preserve">Mrs. Smith inherited a cabin from her parents plus $100,000 in cash.  The cabin needs a complete remodel that will cost $100,000. </t>
  </si>
  <si>
    <t>Replace the well</t>
  </si>
  <si>
    <t>Put on a new roof</t>
  </si>
  <si>
    <t>Sell the house</t>
  </si>
  <si>
    <t>Net Present Value at 5%</t>
  </si>
  <si>
    <t>Should she sell it now or later and why?</t>
  </si>
  <si>
    <t>If she could earn 10% on the investment by selling</t>
  </si>
  <si>
    <t>now what would you recommend?</t>
  </si>
  <si>
    <t>What is the interest rate she would have to earn</t>
  </si>
  <si>
    <t>in order to make it better to sell now?</t>
  </si>
  <si>
    <t>Net Present Value at 10%</t>
  </si>
  <si>
    <t>Calculate the following</t>
  </si>
  <si>
    <t>cabin now in its current condition for $50,000 (after taxes) and invest the proceeds and the $100,000 at 5%.  She could also make</t>
  </si>
  <si>
    <t>the improvements to the cabin and wait to sell it when her children are ready to go to school. She would prefer to make the</t>
  </si>
  <si>
    <t>the improvements and wait so the family can use the cabin as long as the proceeds from selling the cabin later exceeds selling it now and</t>
  </si>
  <si>
    <t>A) Retirement Analysis</t>
  </si>
  <si>
    <t>B) Rental Unit</t>
  </si>
  <si>
    <t>C) Cabin</t>
  </si>
  <si>
    <t>and plan for retirement.  The Smiths have provided you the following information: (There are 3 areas where they need help, see A, B and C)</t>
  </si>
  <si>
    <t>They have a moderate tolerance for risk</t>
  </si>
  <si>
    <t>The financial institution they have chosen offers the following investment options for their SEP IRA</t>
  </si>
  <si>
    <t>Conservative Bond Fund</t>
  </si>
  <si>
    <t>They have calculated that they need a minimum of 15,000 a month to live on through retirement (but would like as much as possible without exceeding their risk tolerance)</t>
  </si>
  <si>
    <t>How much will they need to invest each month using the minimum acceptable rate of return (5%) to achieve that goal in question 1</t>
  </si>
  <si>
    <t>Below are the guidelines the Smith have given you:</t>
  </si>
  <si>
    <t>o The initial payment should be allocated in the same percentage as the fund target allocation.  Payments will be adjusted annually to maintain the target allocation.</t>
  </si>
  <si>
    <t>- The minimum acceptable risk adjusted return of the total portfolio is 5%</t>
  </si>
  <si>
    <t>Month Retirement Income at Target</t>
  </si>
  <si>
    <r>
      <t xml:space="preserve">Calculate the future value of the portfolio using the weighted average </t>
    </r>
    <r>
      <rPr>
        <u/>
        <sz val="11"/>
        <color theme="1"/>
        <rFont val="Calibri"/>
        <family val="2"/>
        <scheme val="minor"/>
      </rPr>
      <t>risk adjusted rate of return</t>
    </r>
  </si>
  <si>
    <t>Ignore tax</t>
  </si>
  <si>
    <t xml:space="preserve">o 10% in cash (no more or less)  </t>
  </si>
  <si>
    <t>o The fund manager has been instructed to re-allocate the investment annually to meet the fund target allocation.</t>
  </si>
  <si>
    <t>Balance remaining at Death</t>
  </si>
  <si>
    <t>Amount expected at retirement</t>
  </si>
  <si>
    <t>(The $51,000 should be divided by 12 because the smiths are investing monthly)</t>
  </si>
  <si>
    <t>Monthly required investment</t>
  </si>
  <si>
    <t>Expected Return (rate) after retirement</t>
  </si>
  <si>
    <t>Use a VLOOKUP to pull this information from the financial institutions table of available investments above.</t>
  </si>
  <si>
    <t>Use a VLOOKUP to pick up the chance of making the target from the financial institutions table above.</t>
  </si>
  <si>
    <t>Use an array formula to calculate the weighted average total for each column.</t>
  </si>
  <si>
    <r>
      <t>Calculate the future value of the portfolio using the weighted average</t>
    </r>
    <r>
      <rPr>
        <u/>
        <sz val="11"/>
        <color theme="1"/>
        <rFont val="Calibri"/>
        <family val="2"/>
        <scheme val="minor"/>
      </rPr>
      <t xml:space="preserve"> target rate of return.</t>
    </r>
  </si>
  <si>
    <r>
      <t>Allocate the total (</t>
    </r>
    <r>
      <rPr>
        <sz val="11"/>
        <color rgb="FFFF0000"/>
        <rFont val="Calibri"/>
        <family val="2"/>
        <scheme val="minor"/>
      </rPr>
      <t>F &amp; G</t>
    </r>
    <r>
      <rPr>
        <sz val="11"/>
        <color theme="1"/>
        <rFont val="Calibri"/>
        <family val="2"/>
        <scheme val="minor"/>
      </rPr>
      <t xml:space="preserve"> above) by the target allocation for each fund (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).</t>
    </r>
  </si>
  <si>
    <t>Calculate the Smith's monthly retirement income using the payment function.</t>
  </si>
  <si>
    <r>
      <rPr>
        <u/>
        <sz val="11"/>
        <color theme="1"/>
        <rFont val="Calibri"/>
        <family val="2"/>
        <scheme val="minor"/>
      </rPr>
      <t>Annual</t>
    </r>
    <r>
      <rPr>
        <sz val="11"/>
        <color theme="1"/>
        <rFont val="Calibri"/>
        <family val="2"/>
        <scheme val="minor"/>
      </rPr>
      <t xml:space="preserve"> Expenses (2% inflation)</t>
    </r>
  </si>
  <si>
    <t>Monthly required investment x 12</t>
  </si>
  <si>
    <t>Enter the targets from the information above (the risk free amount at retirement target was calculated in step 1 above)</t>
  </si>
  <si>
    <t>yrs.</t>
  </si>
  <si>
    <t>investing proceeds.  See cash flows below.</t>
  </si>
  <si>
    <t>&lt; the $100,000 remodel cost plus the value of the cabin</t>
  </si>
  <si>
    <t>payments per year</t>
  </si>
  <si>
    <t>FV</t>
  </si>
  <si>
    <t>Rate</t>
  </si>
  <si>
    <t>Nper</t>
  </si>
  <si>
    <t>PV</t>
  </si>
  <si>
    <t>Type</t>
  </si>
  <si>
    <t>No</t>
  </si>
  <si>
    <t>pmt</t>
  </si>
  <si>
    <t>Annual Interest</t>
  </si>
  <si>
    <t>Monthly Payment</t>
  </si>
  <si>
    <t>Number of Payments per Year</t>
  </si>
  <si>
    <t>Yes</t>
  </si>
  <si>
    <t>&gt;8.45</t>
  </si>
  <si>
    <t>I'd recommend selling the house now and earning 10% on 150K.</t>
  </si>
  <si>
    <t>I'd say sell the house later, because her alternative to the cabin only earns 5%.  The cabin earns 8.45%</t>
  </si>
  <si>
    <t>Name</t>
  </si>
  <si>
    <t>Tony Trotter</t>
  </si>
  <si>
    <t>UID</t>
  </si>
  <si>
    <t>U0202734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</si>
</sst>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%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0.000%"/>
    <numFmt numFmtId="170" formatCode="0.0000%"/>
    <numFmt numFmtId="171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01">
    <xf numFmtId="0" fontId="0" fillId="0" borderId="0" xfId="0"/>
    <xf numFmtId="9" fontId="0" fillId="0" borderId="0" xfId="0" applyNumberFormat="1"/>
    <xf numFmtId="14" fontId="0" fillId="0" borderId="0" xfId="0" applyNumberFormat="1"/>
    <xf numFmtId="43" fontId="0" fillId="0" borderId="0" xfId="1" applyFont="1" applyAlignment="1">
      <alignment horizontal="center"/>
    </xf>
    <xf numFmtId="9" fontId="0" fillId="0" borderId="0" xfId="3" applyFont="1"/>
    <xf numFmtId="164" fontId="0" fillId="0" borderId="0" xfId="0" applyNumberFormat="1"/>
    <xf numFmtId="167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67" fontId="3" fillId="3" borderId="1" xfId="1" applyNumberFormat="1" applyFont="1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2" borderId="2" xfId="4" applyBorder="1"/>
    <xf numFmtId="9" fontId="2" fillId="2" borderId="2" xfId="4" applyNumberFormat="1" applyBorder="1"/>
    <xf numFmtId="167" fontId="2" fillId="2" borderId="2" xfId="1" applyNumberFormat="1" applyFont="1" applyFill="1" applyBorder="1"/>
    <xf numFmtId="3" fontId="2" fillId="2" borderId="2" xfId="4" applyNumberFormat="1" applyBorder="1"/>
    <xf numFmtId="167" fontId="0" fillId="0" borderId="0" xfId="1" applyNumberFormat="1" applyFont="1"/>
    <xf numFmtId="0" fontId="0" fillId="0" borderId="2" xfId="0" applyBorder="1"/>
    <xf numFmtId="167" fontId="2" fillId="2" borderId="2" xfId="4" applyNumberFormat="1" applyBorder="1"/>
    <xf numFmtId="0" fontId="0" fillId="0" borderId="0" xfId="0" quotePrefix="1" applyFill="1" applyBorder="1"/>
    <xf numFmtId="9" fontId="2" fillId="2" borderId="2" xfId="3" applyFont="1" applyFill="1" applyBorder="1"/>
    <xf numFmtId="0" fontId="0" fillId="0" borderId="4" xfId="0" applyBorder="1"/>
    <xf numFmtId="0" fontId="0" fillId="0" borderId="3" xfId="0" applyBorder="1"/>
    <xf numFmtId="43" fontId="0" fillId="0" borderId="2" xfId="1" applyFont="1" applyBorder="1"/>
    <xf numFmtId="165" fontId="0" fillId="0" borderId="7" xfId="3" applyNumberFormat="1" applyFont="1" applyBorder="1"/>
    <xf numFmtId="0" fontId="0" fillId="0" borderId="9" xfId="0" applyFill="1" applyBorder="1"/>
    <xf numFmtId="167" fontId="0" fillId="0" borderId="2" xfId="1" applyNumberFormat="1" applyFont="1" applyBorder="1"/>
    <xf numFmtId="167" fontId="2" fillId="2" borderId="0" xfId="4" applyNumberFormat="1" applyBorder="1"/>
    <xf numFmtId="167" fontId="0" fillId="0" borderId="8" xfId="1" applyNumberFormat="1" applyFont="1" applyBorder="1"/>
    <xf numFmtId="8" fontId="0" fillId="4" borderId="0" xfId="0" applyNumberFormat="1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11" xfId="0" applyBorder="1"/>
    <xf numFmtId="0" fontId="0" fillId="0" borderId="12" xfId="0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6" xfId="0" applyBorder="1"/>
    <xf numFmtId="8" fontId="0" fillId="4" borderId="17" xfId="0" applyNumberFormat="1" applyFill="1" applyBorder="1"/>
    <xf numFmtId="0" fontId="0" fillId="0" borderId="18" xfId="0" applyFill="1" applyBorder="1"/>
    <xf numFmtId="167" fontId="2" fillId="2" borderId="17" xfId="4" applyNumberFormat="1" applyBorder="1"/>
    <xf numFmtId="0" fontId="0" fillId="0" borderId="19" xfId="0" applyFill="1" applyBorder="1"/>
    <xf numFmtId="0" fontId="0" fillId="4" borderId="21" xfId="0" applyFill="1" applyBorder="1"/>
    <xf numFmtId="43" fontId="0" fillId="0" borderId="20" xfId="0" applyNumberFormat="1" applyBorder="1"/>
    <xf numFmtId="10" fontId="0" fillId="0" borderId="20" xfId="0" applyNumberFormat="1" applyBorder="1"/>
    <xf numFmtId="0" fontId="0" fillId="4" borderId="22" xfId="0" applyFill="1" applyBorder="1"/>
    <xf numFmtId="167" fontId="0" fillId="0" borderId="20" xfId="0" applyNumberFormat="1" applyBorder="1"/>
    <xf numFmtId="167" fontId="0" fillId="0" borderId="23" xfId="0" applyNumberFormat="1" applyBorder="1"/>
    <xf numFmtId="0" fontId="0" fillId="0" borderId="0" xfId="0" quotePrefix="1" applyAlignment="1">
      <alignment horizontal="left" indent="1"/>
    </xf>
    <xf numFmtId="166" fontId="0" fillId="0" borderId="2" xfId="1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6" fontId="0" fillId="0" borderId="0" xfId="0" applyNumberFormat="1"/>
    <xf numFmtId="168" fontId="2" fillId="2" borderId="0" xfId="2" applyNumberFormat="1" applyFont="1" applyFill="1"/>
    <xf numFmtId="167" fontId="5" fillId="0" borderId="3" xfId="1" applyNumberFormat="1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horizontal="center"/>
    </xf>
    <xf numFmtId="167" fontId="0" fillId="0" borderId="12" xfId="1" applyNumberFormat="1" applyFont="1" applyBorder="1" applyAlignment="1">
      <alignment horizontal="center" wrapText="1"/>
    </xf>
    <xf numFmtId="0" fontId="5" fillId="0" borderId="0" xfId="0" applyFont="1" applyAlignment="1">
      <alignment horizontal="right"/>
    </xf>
    <xf numFmtId="167" fontId="5" fillId="0" borderId="0" xfId="1" applyNumberFormat="1" applyFont="1"/>
    <xf numFmtId="43" fontId="3" fillId="3" borderId="1" xfId="1" applyNumberFormat="1" applyFont="1" applyFill="1" applyBorder="1"/>
    <xf numFmtId="10" fontId="5" fillId="0" borderId="5" xfId="0" applyNumberFormat="1" applyFont="1" applyFill="1" applyBorder="1" applyAlignment="1">
      <alignment horizontal="center"/>
    </xf>
    <xf numFmtId="167" fontId="3" fillId="3" borderId="1" xfId="5" applyNumberFormat="1"/>
    <xf numFmtId="8" fontId="3" fillId="3" borderId="1" xfId="5" applyNumberFormat="1"/>
    <xf numFmtId="10" fontId="3" fillId="3" borderId="1" xfId="5" applyNumberFormat="1"/>
    <xf numFmtId="6" fontId="3" fillId="3" borderId="1" xfId="5" applyNumberFormat="1"/>
    <xf numFmtId="0" fontId="3" fillId="3" borderId="1" xfId="5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10" fontId="0" fillId="0" borderId="2" xfId="0" applyNumberFormat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66" fontId="0" fillId="0" borderId="2" xfId="1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9" fontId="0" fillId="0" borderId="2" xfId="3" applyFont="1" applyBorder="1" applyAlignment="1">
      <alignment horizontal="center"/>
    </xf>
    <xf numFmtId="169" fontId="2" fillId="2" borderId="2" xfId="4" applyNumberFormat="1" applyBorder="1"/>
    <xf numFmtId="170" fontId="2" fillId="2" borderId="2" xfId="4" applyNumberFormat="1" applyBorder="1"/>
    <xf numFmtId="165" fontId="2" fillId="2" borderId="2" xfId="3" applyNumberFormat="1" applyFont="1" applyFill="1" applyBorder="1"/>
    <xf numFmtId="165" fontId="2" fillId="2" borderId="3" xfId="3" applyNumberFormat="1" applyFont="1" applyFill="1" applyBorder="1"/>
    <xf numFmtId="10" fontId="0" fillId="0" borderId="2" xfId="3" applyNumberFormat="1" applyFont="1" applyBorder="1"/>
    <xf numFmtId="44" fontId="0" fillId="0" borderId="2" xfId="2" applyFont="1" applyBorder="1"/>
    <xf numFmtId="168" fontId="0" fillId="0" borderId="2" xfId="2" applyNumberFormat="1" applyFont="1" applyBorder="1"/>
    <xf numFmtId="10" fontId="0" fillId="0" borderId="7" xfId="3" applyNumberFormat="1" applyFont="1" applyBorder="1"/>
    <xf numFmtId="167" fontId="0" fillId="0" borderId="0" xfId="0" applyNumberFormat="1"/>
    <xf numFmtId="10" fontId="3" fillId="3" borderId="1" xfId="3" applyNumberFormat="1" applyFont="1" applyFill="1" applyBorder="1"/>
    <xf numFmtId="167" fontId="3" fillId="3" borderId="1" xfId="5" applyNumberFormat="1" applyAlignment="1">
      <alignment horizontal="left" vertical="top" wrapText="1"/>
    </xf>
    <xf numFmtId="43" fontId="0" fillId="0" borderId="2" xfId="1" applyNumberFormat="1" applyFont="1" applyBorder="1"/>
    <xf numFmtId="171" fontId="0" fillId="0" borderId="2" xfId="1" applyNumberFormat="1" applyFont="1" applyBorder="1"/>
    <xf numFmtId="165" fontId="0" fillId="0" borderId="20" xfId="0" applyNumberFormat="1" applyBorder="1"/>
    <xf numFmtId="165" fontId="3" fillId="3" borderId="10" xfId="5" applyNumberFormat="1" applyBorder="1"/>
    <xf numFmtId="165" fontId="2" fillId="2" borderId="4" xfId="3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2" builtinId="4"/>
    <cellStyle name="Good" xfId="4" builtinId="26"/>
    <cellStyle name="Normal" xfId="0" builtinId="0"/>
    <cellStyle name="Output" xfId="5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100</xdr:row>
      <xdr:rowOff>15240</xdr:rowOff>
    </xdr:from>
    <xdr:to>
      <xdr:col>2</xdr:col>
      <xdr:colOff>304800</xdr:colOff>
      <xdr:row>101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0" y="1831086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3</xdr:col>
      <xdr:colOff>68580</xdr:colOff>
      <xdr:row>100</xdr:row>
      <xdr:rowOff>22860</xdr:rowOff>
    </xdr:from>
    <xdr:to>
      <xdr:col>3</xdr:col>
      <xdr:colOff>312420</xdr:colOff>
      <xdr:row>101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20440" y="1831848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B</a:t>
          </a:r>
        </a:p>
      </xdr:txBody>
    </xdr:sp>
    <xdr:clientData/>
  </xdr:twoCellAnchor>
  <xdr:twoCellAnchor>
    <xdr:from>
      <xdr:col>4</xdr:col>
      <xdr:colOff>45720</xdr:colOff>
      <xdr:row>100</xdr:row>
      <xdr:rowOff>15240</xdr:rowOff>
    </xdr:from>
    <xdr:to>
      <xdr:col>4</xdr:col>
      <xdr:colOff>289560</xdr:colOff>
      <xdr:row>101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43400" y="1831086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twoCellAnchor>
  <xdr:twoCellAnchor>
    <xdr:from>
      <xdr:col>5</xdr:col>
      <xdr:colOff>129540</xdr:colOff>
      <xdr:row>100</xdr:row>
      <xdr:rowOff>22860</xdr:rowOff>
    </xdr:from>
    <xdr:to>
      <xdr:col>5</xdr:col>
      <xdr:colOff>373380</xdr:colOff>
      <xdr:row>101</xdr:row>
      <xdr:rowOff>91440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105400" y="1831848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twoCellAnchor>
  <xdr:twoCellAnchor>
    <xdr:from>
      <xdr:col>4</xdr:col>
      <xdr:colOff>53340</xdr:colOff>
      <xdr:row>104</xdr:row>
      <xdr:rowOff>129540</xdr:rowOff>
    </xdr:from>
    <xdr:to>
      <xdr:col>4</xdr:col>
      <xdr:colOff>297180</xdr:colOff>
      <xdr:row>106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351020" y="1915668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twoCellAnchor>
  <xdr:twoCellAnchor>
    <xdr:from>
      <xdr:col>5</xdr:col>
      <xdr:colOff>137160</xdr:colOff>
      <xdr:row>104</xdr:row>
      <xdr:rowOff>137160</xdr:rowOff>
    </xdr:from>
    <xdr:to>
      <xdr:col>5</xdr:col>
      <xdr:colOff>381000</xdr:colOff>
      <xdr:row>106</xdr:row>
      <xdr:rowOff>7620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113020" y="1916430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twoCellAnchor>
  <xdr:twoCellAnchor>
    <xdr:from>
      <xdr:col>6</xdr:col>
      <xdr:colOff>106680</xdr:colOff>
      <xdr:row>104</xdr:row>
      <xdr:rowOff>137160</xdr:rowOff>
    </xdr:from>
    <xdr:to>
      <xdr:col>6</xdr:col>
      <xdr:colOff>350520</xdr:colOff>
      <xdr:row>106</xdr:row>
      <xdr:rowOff>7620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890260" y="1916430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E</a:t>
          </a:r>
        </a:p>
      </xdr:txBody>
    </xdr:sp>
    <xdr:clientData/>
  </xdr:twoCellAnchor>
  <xdr:twoCellAnchor>
    <xdr:from>
      <xdr:col>7</xdr:col>
      <xdr:colOff>60960</xdr:colOff>
      <xdr:row>104</xdr:row>
      <xdr:rowOff>152400</xdr:rowOff>
    </xdr:from>
    <xdr:to>
      <xdr:col>7</xdr:col>
      <xdr:colOff>304800</xdr:colOff>
      <xdr:row>106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705600" y="1917954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F</a:t>
          </a:r>
        </a:p>
      </xdr:txBody>
    </xdr:sp>
    <xdr:clientData/>
  </xdr:twoCellAnchor>
  <xdr:twoCellAnchor>
    <xdr:from>
      <xdr:col>8</xdr:col>
      <xdr:colOff>68580</xdr:colOff>
      <xdr:row>104</xdr:row>
      <xdr:rowOff>160020</xdr:rowOff>
    </xdr:from>
    <xdr:to>
      <xdr:col>8</xdr:col>
      <xdr:colOff>312420</xdr:colOff>
      <xdr:row>106</xdr:row>
      <xdr:rowOff>30480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833360" y="1918716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G</a:t>
          </a:r>
        </a:p>
      </xdr:txBody>
    </xdr:sp>
    <xdr:clientData/>
  </xdr:twoCellAnchor>
  <xdr:twoCellAnchor>
    <xdr:from>
      <xdr:col>6</xdr:col>
      <xdr:colOff>106680</xdr:colOff>
      <xdr:row>100</xdr:row>
      <xdr:rowOff>22860</xdr:rowOff>
    </xdr:from>
    <xdr:to>
      <xdr:col>6</xdr:col>
      <xdr:colOff>350520</xdr:colOff>
      <xdr:row>101</xdr:row>
      <xdr:rowOff>91440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890260" y="1831848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D</a:t>
          </a:r>
        </a:p>
      </xdr:txBody>
    </xdr:sp>
    <xdr:clientData/>
  </xdr:twoCellAnchor>
  <xdr:twoCellAnchor>
    <xdr:from>
      <xdr:col>7</xdr:col>
      <xdr:colOff>0</xdr:colOff>
      <xdr:row>100</xdr:row>
      <xdr:rowOff>0</xdr:rowOff>
    </xdr:from>
    <xdr:to>
      <xdr:col>7</xdr:col>
      <xdr:colOff>243840</xdr:colOff>
      <xdr:row>101</xdr:row>
      <xdr:rowOff>68580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644640" y="1829562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H</a:t>
          </a:r>
        </a:p>
      </xdr:txBody>
    </xdr:sp>
    <xdr:clientData/>
  </xdr:twoCellAnchor>
  <xdr:twoCellAnchor>
    <xdr:from>
      <xdr:col>8</xdr:col>
      <xdr:colOff>0</xdr:colOff>
      <xdr:row>100</xdr:row>
      <xdr:rowOff>0</xdr:rowOff>
    </xdr:from>
    <xdr:to>
      <xdr:col>8</xdr:col>
      <xdr:colOff>243840</xdr:colOff>
      <xdr:row>101</xdr:row>
      <xdr:rowOff>68580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7764780" y="1829562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H</a:t>
          </a:r>
        </a:p>
      </xdr:txBody>
    </xdr:sp>
    <xdr:clientData/>
  </xdr:twoCellAnchor>
  <xdr:twoCellAnchor>
    <xdr:from>
      <xdr:col>9</xdr:col>
      <xdr:colOff>38100</xdr:colOff>
      <xdr:row>104</xdr:row>
      <xdr:rowOff>144780</xdr:rowOff>
    </xdr:from>
    <xdr:to>
      <xdr:col>9</xdr:col>
      <xdr:colOff>281940</xdr:colOff>
      <xdr:row>106</xdr:row>
      <xdr:rowOff>15240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8923020" y="19171920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10</xdr:col>
      <xdr:colOff>3387</xdr:colOff>
      <xdr:row>104</xdr:row>
      <xdr:rowOff>144780</xdr:rowOff>
    </xdr:from>
    <xdr:to>
      <xdr:col>10</xdr:col>
      <xdr:colOff>247227</xdr:colOff>
      <xdr:row>106</xdr:row>
      <xdr:rowOff>15240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19970" y="19771572"/>
          <a:ext cx="24384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6</xdr:col>
      <xdr:colOff>403860</xdr:colOff>
      <xdr:row>109</xdr:row>
      <xdr:rowOff>121920</xdr:rowOff>
    </xdr:from>
    <xdr:to>
      <xdr:col>6</xdr:col>
      <xdr:colOff>647700</xdr:colOff>
      <xdr:row>111</xdr:row>
      <xdr:rowOff>6350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772910" y="20772120"/>
          <a:ext cx="243840" cy="25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4</xdr:col>
      <xdr:colOff>375708</xdr:colOff>
      <xdr:row>77</xdr:row>
      <xdr:rowOff>105834</xdr:rowOff>
    </xdr:from>
    <xdr:to>
      <xdr:col>7</xdr:col>
      <xdr:colOff>518583</xdr:colOff>
      <xdr:row>82</xdr:row>
      <xdr:rowOff>79375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773083" y="14366876"/>
          <a:ext cx="2608792" cy="8995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</a:t>
          </a:r>
          <a:r>
            <a:rPr lang="en-US" sz="1100" baseline="0"/>
            <a:t> this activity you are going to determine how much of the total investment will be allocated between each of the available investment options (see Ah Above).</a:t>
          </a:r>
          <a:endParaRPr lang="en-US" sz="1100"/>
        </a:p>
      </xdr:txBody>
    </xdr:sp>
    <xdr:clientData/>
  </xdr:twoCellAnchor>
  <xdr:twoCellAnchor>
    <xdr:from>
      <xdr:col>6</xdr:col>
      <xdr:colOff>677333</xdr:colOff>
      <xdr:row>89</xdr:row>
      <xdr:rowOff>121709</xdr:rowOff>
    </xdr:from>
    <xdr:to>
      <xdr:col>8</xdr:col>
      <xdr:colOff>693208</xdr:colOff>
      <xdr:row>94</xdr:row>
      <xdr:rowOff>105833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678083" y="16626417"/>
          <a:ext cx="2000250" cy="910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instructions to fill out the table are</a:t>
          </a:r>
          <a:r>
            <a:rPr lang="en-US" sz="1100" baseline="0"/>
            <a:t> just below the table.  The instructions should be completed in order.</a:t>
          </a:r>
          <a:endParaRPr lang="en-US" sz="1100"/>
        </a:p>
      </xdr:txBody>
    </xdr:sp>
    <xdr:clientData/>
  </xdr:twoCellAnchor>
  <xdr:twoCellAnchor>
    <xdr:from>
      <xdr:col>7</xdr:col>
      <xdr:colOff>0</xdr:colOff>
      <xdr:row>111</xdr:row>
      <xdr:rowOff>0</xdr:rowOff>
    </xdr:from>
    <xdr:to>
      <xdr:col>8</xdr:col>
      <xdr:colOff>892175</xdr:colOff>
      <xdr:row>115</xdr:row>
      <xdr:rowOff>6350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4405855-FB27-48B9-9A65-4ECDC09EBCEC}"/>
            </a:ext>
          </a:extLst>
        </xdr:cNvPr>
        <xdr:cNvSpPr txBox="1"/>
      </xdr:nvSpPr>
      <xdr:spPr>
        <a:xfrm>
          <a:off x="7245350" y="21018500"/>
          <a:ext cx="20351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should enter the target allocation manually,</a:t>
          </a:r>
          <a:r>
            <a:rPr lang="en-US" sz="1100" baseline="0"/>
            <a:t> it is not a formula.</a:t>
          </a:r>
          <a:endParaRPr lang="en-US" sz="1100"/>
        </a:p>
      </xdr:txBody>
    </xdr:sp>
    <xdr:clientData/>
  </xdr:twoCellAnchor>
  <xdr:twoCellAnchor>
    <xdr:from>
      <xdr:col>5</xdr:col>
      <xdr:colOff>793750</xdr:colOff>
      <xdr:row>106</xdr:row>
      <xdr:rowOff>165100</xdr:rowOff>
    </xdr:from>
    <xdr:to>
      <xdr:col>6</xdr:col>
      <xdr:colOff>403860</xdr:colOff>
      <xdr:row>110</xdr:row>
      <xdr:rowOff>64135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A687C2F-CE87-40F7-B78E-91086626953D}"/>
            </a:ext>
          </a:extLst>
        </xdr:cNvPr>
        <xdr:cNvCxnSpPr>
          <a:stCxn id="22" idx="1"/>
        </xdr:cNvCxnSpPr>
      </xdr:nvCxnSpPr>
      <xdr:spPr>
        <a:xfrm flipH="1" flipV="1">
          <a:off x="6337300" y="20256500"/>
          <a:ext cx="435610" cy="641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106</xdr:row>
      <xdr:rowOff>146050</xdr:rowOff>
    </xdr:from>
    <xdr:to>
      <xdr:col>6</xdr:col>
      <xdr:colOff>525780</xdr:colOff>
      <xdr:row>109</xdr:row>
      <xdr:rowOff>121920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AE660EA-C56E-4525-B3EB-66586E579CBD}"/>
            </a:ext>
          </a:extLst>
        </xdr:cNvPr>
        <xdr:cNvCxnSpPr>
          <a:stCxn id="22" idx="0"/>
        </xdr:cNvCxnSpPr>
      </xdr:nvCxnSpPr>
      <xdr:spPr>
        <a:xfrm flipH="1" flipV="1">
          <a:off x="6788150" y="20237450"/>
          <a:ext cx="106680" cy="534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106</xdr:row>
      <xdr:rowOff>171450</xdr:rowOff>
    </xdr:from>
    <xdr:to>
      <xdr:col>8</xdr:col>
      <xdr:colOff>196850</xdr:colOff>
      <xdr:row>110</xdr:row>
      <xdr:rowOff>64135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C6ACAE-04D4-448C-9F16-E25F445B3BCD}"/>
            </a:ext>
          </a:extLst>
        </xdr:cNvPr>
        <xdr:cNvCxnSpPr>
          <a:stCxn id="22" idx="3"/>
        </xdr:cNvCxnSpPr>
      </xdr:nvCxnSpPr>
      <xdr:spPr>
        <a:xfrm flipV="1">
          <a:off x="7016750" y="20262850"/>
          <a:ext cx="1568450" cy="6356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106</xdr:row>
      <xdr:rowOff>161925</xdr:rowOff>
    </xdr:from>
    <xdr:to>
      <xdr:col>10</xdr:col>
      <xdr:colOff>44450</xdr:colOff>
      <xdr:row>110</xdr:row>
      <xdr:rowOff>54610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56A9F24-563B-4D3E-8CE9-3D6E402E7A1B}"/>
            </a:ext>
          </a:extLst>
        </xdr:cNvPr>
        <xdr:cNvCxnSpPr/>
      </xdr:nvCxnSpPr>
      <xdr:spPr>
        <a:xfrm flipV="1">
          <a:off x="6924675" y="20955000"/>
          <a:ext cx="3959225" cy="664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130</xdr:row>
      <xdr:rowOff>44450</xdr:rowOff>
    </xdr:from>
    <xdr:to>
      <xdr:col>6</xdr:col>
      <xdr:colOff>415925</xdr:colOff>
      <xdr:row>133</xdr:row>
      <xdr:rowOff>50800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BEA0EC9-D270-425F-94EE-52754D5EB9D9}"/>
            </a:ext>
          </a:extLst>
        </xdr:cNvPr>
        <xdr:cNvSpPr txBox="1"/>
      </xdr:nvSpPr>
      <xdr:spPr>
        <a:xfrm>
          <a:off x="4749800" y="24561800"/>
          <a:ext cx="20351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home is only appreciating so there are no payments used in the FV calculation.</a:t>
          </a:r>
          <a:endParaRPr lang="en-US" sz="1100"/>
        </a:p>
      </xdr:txBody>
    </xdr:sp>
    <xdr:clientData/>
  </xdr:twoCellAnchor>
  <xdr:twoCellAnchor>
    <xdr:from>
      <xdr:col>2</xdr:col>
      <xdr:colOff>889000</xdr:colOff>
      <xdr:row>131</xdr:row>
      <xdr:rowOff>47625</xdr:rowOff>
    </xdr:from>
    <xdr:to>
      <xdr:col>4</xdr:col>
      <xdr:colOff>12700</xdr:colOff>
      <xdr:row>134</xdr:row>
      <xdr:rowOff>12700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FC8849A-5EF9-42C8-8424-4EE5B9FBA906}"/>
            </a:ext>
          </a:extLst>
        </xdr:cNvPr>
        <xdr:cNvCxnSpPr>
          <a:stCxn id="34" idx="1"/>
        </xdr:cNvCxnSpPr>
      </xdr:nvCxnSpPr>
      <xdr:spPr>
        <a:xfrm flipH="1">
          <a:off x="3848100" y="24933275"/>
          <a:ext cx="901700" cy="517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"/>
  <sheetViews>
    <sheetView tabSelected="1" topLeftCell="A97" zoomScaleNormal="100" workbookViewId="0">
      <selection activeCell="C102" sqref="C102"/>
    </sheetView>
  </sheetViews>
  <sheetFormatPr defaultRowHeight="15" x14ac:dyDescent="0.25"/>
  <cols>
    <col min="2" max="2" width="35.7109375" customWidth="1"/>
    <col min="3" max="3" width="13.140625" bestFit="1" customWidth="1"/>
    <col min="4" max="4" width="12.42578125" style="17" customWidth="1"/>
    <col min="5" max="5" width="15.5703125" customWidth="1"/>
    <col min="6" max="6" width="11.85546875" customWidth="1"/>
    <col min="7" max="7" width="20" customWidth="1"/>
    <col min="8" max="9" width="16.42578125" customWidth="1"/>
    <col min="10" max="10" width="11.85546875" customWidth="1"/>
    <col min="11" max="11" width="12" bestFit="1" customWidth="1"/>
  </cols>
  <sheetData>
    <row r="1" spans="1:10" x14ac:dyDescent="0.25">
      <c r="A1" t="s">
        <v>105</v>
      </c>
    </row>
    <row r="2" spans="1:10" x14ac:dyDescent="0.25">
      <c r="A2" t="s">
        <v>137</v>
      </c>
    </row>
    <row r="4" spans="1:10" x14ac:dyDescent="0.25">
      <c r="A4" s="11" t="s">
        <v>134</v>
      </c>
    </row>
    <row r="6" spans="1:10" x14ac:dyDescent="0.25">
      <c r="A6" s="7" t="s">
        <v>55</v>
      </c>
      <c r="B6" t="s">
        <v>43</v>
      </c>
    </row>
    <row r="7" spans="1:10" x14ac:dyDescent="0.25">
      <c r="A7" s="7" t="s">
        <v>56</v>
      </c>
      <c r="B7" t="s">
        <v>44</v>
      </c>
      <c r="C7" s="1"/>
    </row>
    <row r="8" spans="1:10" x14ac:dyDescent="0.25">
      <c r="A8" s="7" t="s">
        <v>57</v>
      </c>
      <c r="B8" t="s">
        <v>16</v>
      </c>
      <c r="C8" s="1"/>
    </row>
    <row r="9" spans="1:10" x14ac:dyDescent="0.25">
      <c r="A9" s="7" t="s">
        <v>58</v>
      </c>
      <c r="B9" t="s">
        <v>101</v>
      </c>
      <c r="C9" s="1"/>
    </row>
    <row r="10" spans="1:10" x14ac:dyDescent="0.25">
      <c r="A10" s="7" t="s">
        <v>59</v>
      </c>
      <c r="B10" t="s">
        <v>138</v>
      </c>
      <c r="C10" s="1"/>
    </row>
    <row r="11" spans="1:10" x14ac:dyDescent="0.25">
      <c r="A11" s="7" t="s">
        <v>60</v>
      </c>
      <c r="B11" t="s">
        <v>51</v>
      </c>
      <c r="C11" s="1"/>
    </row>
    <row r="12" spans="1:10" x14ac:dyDescent="0.25">
      <c r="A12" s="7" t="s">
        <v>61</v>
      </c>
      <c r="B12" t="s">
        <v>113</v>
      </c>
      <c r="C12" s="1"/>
    </row>
    <row r="13" spans="1:10" x14ac:dyDescent="0.25">
      <c r="A13" s="7" t="s">
        <v>62</v>
      </c>
      <c r="B13" t="s">
        <v>139</v>
      </c>
    </row>
    <row r="15" spans="1:10" x14ac:dyDescent="0.25">
      <c r="A15" s="7"/>
      <c r="B15" s="23"/>
      <c r="C15" s="52"/>
      <c r="D15" s="62"/>
      <c r="E15" s="52"/>
      <c r="F15" s="52"/>
      <c r="G15" s="52"/>
      <c r="H15" s="52"/>
      <c r="I15" s="52" t="s">
        <v>0</v>
      </c>
      <c r="J15" s="52" t="s">
        <v>47</v>
      </c>
    </row>
    <row r="16" spans="1:10" x14ac:dyDescent="0.25">
      <c r="A16" s="7"/>
      <c r="B16" s="22"/>
      <c r="C16" s="54"/>
      <c r="D16" s="63"/>
      <c r="E16" s="54"/>
      <c r="F16" s="54"/>
      <c r="G16" s="54"/>
      <c r="H16" s="54"/>
      <c r="I16" s="54" t="s">
        <v>49</v>
      </c>
      <c r="J16" s="53" t="s">
        <v>9</v>
      </c>
    </row>
    <row r="17" spans="1:17" x14ac:dyDescent="0.25">
      <c r="A17" s="7"/>
      <c r="B17" s="22"/>
      <c r="C17" s="54" t="s">
        <v>2</v>
      </c>
      <c r="D17" s="63" t="s">
        <v>45</v>
      </c>
      <c r="E17" s="54" t="s">
        <v>3</v>
      </c>
      <c r="F17" s="54" t="s">
        <v>46</v>
      </c>
      <c r="G17" s="54" t="s">
        <v>5</v>
      </c>
      <c r="H17" s="54" t="s">
        <v>7</v>
      </c>
      <c r="I17" s="53" t="s">
        <v>50</v>
      </c>
      <c r="J17" s="53" t="s">
        <v>7</v>
      </c>
    </row>
    <row r="18" spans="1:17" x14ac:dyDescent="0.25">
      <c r="A18" s="7"/>
      <c r="B18" s="56" t="s">
        <v>48</v>
      </c>
      <c r="C18" s="55" t="s">
        <v>10</v>
      </c>
      <c r="D18" s="64" t="s">
        <v>10</v>
      </c>
      <c r="E18" s="55" t="s">
        <v>10</v>
      </c>
      <c r="F18" s="55" t="s">
        <v>10</v>
      </c>
      <c r="G18" s="55" t="s">
        <v>6</v>
      </c>
      <c r="H18" s="55" t="s">
        <v>10</v>
      </c>
      <c r="I18" s="69" t="s">
        <v>114</v>
      </c>
      <c r="J18" s="55" t="s">
        <v>11</v>
      </c>
    </row>
    <row r="19" spans="1:17" x14ac:dyDescent="0.25">
      <c r="A19" s="7"/>
      <c r="B19" s="18" t="s">
        <v>4</v>
      </c>
      <c r="C19" s="79">
        <v>2.0000000000000001E-4</v>
      </c>
      <c r="D19" s="82">
        <v>2.9999999999999997E-4</v>
      </c>
      <c r="E19" s="79">
        <v>5.0000000000000001E-4</v>
      </c>
      <c r="F19" s="79">
        <v>1.7000000000000001E-2</v>
      </c>
      <c r="G19" s="79">
        <v>5.45E-2</v>
      </c>
      <c r="H19" s="79">
        <v>1.4500000000000002E-2</v>
      </c>
      <c r="I19" s="51">
        <v>1</v>
      </c>
      <c r="J19" s="81">
        <v>0.95</v>
      </c>
      <c r="K19" s="5"/>
      <c r="P19" s="4"/>
      <c r="Q19" s="4"/>
    </row>
    <row r="20" spans="1:17" x14ac:dyDescent="0.25">
      <c r="A20" s="7"/>
      <c r="B20" s="18" t="s">
        <v>140</v>
      </c>
      <c r="C20" s="79">
        <v>4.1500000000000002E-2</v>
      </c>
      <c r="D20" s="82">
        <v>3.49E-2</v>
      </c>
      <c r="E20" s="79">
        <v>4.6300000000000001E-2</v>
      </c>
      <c r="F20" s="79">
        <v>4.8000000000000001E-2</v>
      </c>
      <c r="G20" s="79">
        <v>6.4100000000000004E-2</v>
      </c>
      <c r="H20" s="79">
        <v>4.6960000000000002E-2</v>
      </c>
      <c r="I20" s="51">
        <v>2</v>
      </c>
      <c r="J20" s="81">
        <v>0.78</v>
      </c>
      <c r="K20" s="5"/>
      <c r="P20" s="4"/>
      <c r="Q20" s="4"/>
    </row>
    <row r="21" spans="1:17" x14ac:dyDescent="0.25">
      <c r="A21" s="7"/>
      <c r="B21" s="18" t="s">
        <v>12</v>
      </c>
      <c r="C21" s="79">
        <v>0.10249999999999999</v>
      </c>
      <c r="D21" s="82">
        <v>8.6499999999999994E-2</v>
      </c>
      <c r="E21" s="79">
        <v>0.1191</v>
      </c>
      <c r="F21" s="79">
        <v>7.2800000000000004E-2</v>
      </c>
      <c r="G21" s="79">
        <v>8.8400000000000006E-2</v>
      </c>
      <c r="H21" s="79">
        <v>9.3860000000000013E-2</v>
      </c>
      <c r="I21" s="51">
        <v>3</v>
      </c>
      <c r="J21" s="81">
        <v>0.6</v>
      </c>
      <c r="K21" s="5"/>
      <c r="P21" s="4"/>
      <c r="Q21" s="4"/>
    </row>
    <row r="22" spans="1:17" x14ac:dyDescent="0.25">
      <c r="A22" s="7"/>
      <c r="B22" s="18" t="s">
        <v>14</v>
      </c>
      <c r="C22" s="79">
        <v>0.29110000000000003</v>
      </c>
      <c r="D22" s="82">
        <v>0.16289999999999999</v>
      </c>
      <c r="E22" s="79">
        <v>0.18160000000000001</v>
      </c>
      <c r="F22" s="79">
        <v>7.3499999999999996E-2</v>
      </c>
      <c r="G22" s="79">
        <v>0.1032</v>
      </c>
      <c r="H22" s="79">
        <v>0.16245999999999999</v>
      </c>
      <c r="I22" s="51">
        <v>3.5</v>
      </c>
      <c r="J22" s="81">
        <v>0.51249999999999996</v>
      </c>
      <c r="K22" s="5"/>
      <c r="P22" s="4"/>
      <c r="Q22" s="4"/>
    </row>
    <row r="23" spans="1:17" x14ac:dyDescent="0.25">
      <c r="A23" s="7"/>
      <c r="B23" s="18" t="s">
        <v>8</v>
      </c>
      <c r="C23" s="77">
        <v>0.1338</v>
      </c>
      <c r="D23" s="78">
        <v>0.11849999999999999</v>
      </c>
      <c r="E23" s="77">
        <v>0.2384</v>
      </c>
      <c r="F23" s="77">
        <v>9.7500000000000003E-2</v>
      </c>
      <c r="G23" s="77">
        <v>0.1095</v>
      </c>
      <c r="H23" s="79">
        <v>0.13954</v>
      </c>
      <c r="I23" s="80">
        <v>4</v>
      </c>
      <c r="J23" s="81">
        <v>0.43</v>
      </c>
      <c r="K23" s="5"/>
      <c r="P23" s="4"/>
      <c r="Q23" s="4"/>
    </row>
    <row r="24" spans="1:17" x14ac:dyDescent="0.25">
      <c r="A24" s="7"/>
      <c r="B24" s="18" t="s">
        <v>13</v>
      </c>
      <c r="C24" s="79">
        <v>0.21929999999999999</v>
      </c>
      <c r="D24" s="82">
        <v>5.8799999999999998E-2</v>
      </c>
      <c r="E24" s="79">
        <v>0.114</v>
      </c>
      <c r="F24" s="79">
        <v>8.4199999999999997E-2</v>
      </c>
      <c r="G24" s="79">
        <v>0.14549999999999999</v>
      </c>
      <c r="H24" s="79">
        <v>0.12436</v>
      </c>
      <c r="I24" s="51">
        <v>4.5</v>
      </c>
      <c r="J24" s="83">
        <v>0.33750000000000002</v>
      </c>
      <c r="K24" s="5"/>
    </row>
    <row r="25" spans="1:17" x14ac:dyDescent="0.25">
      <c r="A25" s="7"/>
      <c r="B25" s="18" t="s">
        <v>15</v>
      </c>
      <c r="C25" s="79">
        <v>0.26540000000000002</v>
      </c>
      <c r="D25" s="82">
        <v>0.16170000000000001</v>
      </c>
      <c r="E25" s="79">
        <v>0.2228</v>
      </c>
      <c r="F25" s="79">
        <v>0.1014</v>
      </c>
      <c r="G25" s="79">
        <v>9.5399999999999999E-2</v>
      </c>
      <c r="H25" s="79">
        <v>0.16934000000000002</v>
      </c>
      <c r="I25" s="51">
        <v>4.5</v>
      </c>
      <c r="J25" s="81">
        <v>0.33750000000000002</v>
      </c>
      <c r="K25" s="5"/>
    </row>
    <row r="26" spans="1:17" x14ac:dyDescent="0.25">
      <c r="A26" s="7"/>
      <c r="B26" s="18" t="s">
        <v>1</v>
      </c>
      <c r="C26" s="77">
        <v>0.22689999999999999</v>
      </c>
      <c r="D26" s="78">
        <v>-0.1439</v>
      </c>
      <c r="E26" s="77">
        <v>2.58E-2</v>
      </c>
      <c r="F26" s="77">
        <v>8.1100000000000005E-2</v>
      </c>
      <c r="G26" s="77">
        <v>4.2900000000000001E-2</v>
      </c>
      <c r="H26" s="79">
        <v>4.6560000000000004E-2</v>
      </c>
      <c r="I26" s="80">
        <v>5</v>
      </c>
      <c r="J26" s="81">
        <v>0.25</v>
      </c>
      <c r="K26" s="5"/>
    </row>
    <row r="27" spans="1:17" x14ac:dyDescent="0.25">
      <c r="A27" s="7"/>
      <c r="H27" s="3"/>
      <c r="I27" s="6"/>
    </row>
    <row r="28" spans="1:17" x14ac:dyDescent="0.25">
      <c r="A28" s="7" t="s">
        <v>63</v>
      </c>
      <c r="B28" t="s">
        <v>102</v>
      </c>
      <c r="I28" s="6"/>
    </row>
    <row r="29" spans="1:17" x14ac:dyDescent="0.25">
      <c r="A29" s="7" t="s">
        <v>64</v>
      </c>
      <c r="B29" t="s">
        <v>141</v>
      </c>
    </row>
    <row r="30" spans="1:17" x14ac:dyDescent="0.25">
      <c r="A30" s="7" t="s">
        <v>65</v>
      </c>
      <c r="B30" t="s">
        <v>17</v>
      </c>
    </row>
    <row r="31" spans="1:17" x14ac:dyDescent="0.25">
      <c r="A31" s="7" t="s">
        <v>66</v>
      </c>
      <c r="B31" t="s">
        <v>103</v>
      </c>
    </row>
    <row r="32" spans="1:17" x14ac:dyDescent="0.25">
      <c r="A32" s="7" t="s">
        <v>64</v>
      </c>
      <c r="B32" t="s">
        <v>108</v>
      </c>
      <c r="I32" s="6"/>
    </row>
    <row r="33" spans="1:9" x14ac:dyDescent="0.25">
      <c r="A33" s="7"/>
      <c r="I33" s="3"/>
    </row>
    <row r="34" spans="1:9" x14ac:dyDescent="0.25">
      <c r="A34" s="66">
        <v>1</v>
      </c>
      <c r="B34" s="10" t="s">
        <v>109</v>
      </c>
      <c r="C34" s="10"/>
      <c r="D34" s="67"/>
      <c r="E34" s="10"/>
      <c r="I34" s="3"/>
    </row>
    <row r="35" spans="1:9" x14ac:dyDescent="0.25">
      <c r="A35" s="7"/>
      <c r="I35" s="3"/>
    </row>
    <row r="36" spans="1:9" x14ac:dyDescent="0.25">
      <c r="A36" s="7"/>
      <c r="B36" s="11" t="s">
        <v>19</v>
      </c>
      <c r="C36" s="12" t="s">
        <v>20</v>
      </c>
      <c r="I36" s="3"/>
    </row>
    <row r="37" spans="1:9" x14ac:dyDescent="0.25">
      <c r="A37" s="7"/>
      <c r="B37" s="13" t="s">
        <v>176</v>
      </c>
      <c r="C37" s="14">
        <v>0.05</v>
      </c>
      <c r="D37" s="17" t="s">
        <v>52</v>
      </c>
      <c r="I37" s="3"/>
    </row>
    <row r="38" spans="1:9" x14ac:dyDescent="0.25">
      <c r="A38" s="7"/>
      <c r="B38" s="13" t="s">
        <v>171</v>
      </c>
      <c r="C38" s="13">
        <f>40</f>
        <v>40</v>
      </c>
      <c r="D38" s="17" t="s">
        <v>115</v>
      </c>
      <c r="I38" s="3"/>
    </row>
    <row r="39" spans="1:9" x14ac:dyDescent="0.25">
      <c r="A39" s="7"/>
      <c r="B39" s="13" t="s">
        <v>168</v>
      </c>
      <c r="C39" s="13">
        <v>12</v>
      </c>
      <c r="I39" s="3"/>
    </row>
    <row r="40" spans="1:9" x14ac:dyDescent="0.25">
      <c r="A40" s="7"/>
      <c r="B40" s="13" t="s">
        <v>177</v>
      </c>
      <c r="C40" s="15">
        <v>15000</v>
      </c>
      <c r="I40" s="3"/>
    </row>
    <row r="41" spans="1:9" x14ac:dyDescent="0.25">
      <c r="A41" s="7"/>
      <c r="B41" s="13" t="s">
        <v>169</v>
      </c>
      <c r="C41" s="16">
        <v>3000000</v>
      </c>
    </row>
    <row r="42" spans="1:9" x14ac:dyDescent="0.25">
      <c r="B42" s="13" t="s">
        <v>173</v>
      </c>
      <c r="C42" s="13">
        <v>0</v>
      </c>
    </row>
    <row r="44" spans="1:9" x14ac:dyDescent="0.25">
      <c r="B44" t="s">
        <v>18</v>
      </c>
      <c r="C44" s="70">
        <f>PV(C37/C39,C38*12,C40,C41,C42)</f>
        <v>-3518460.7268062858</v>
      </c>
    </row>
    <row r="47" spans="1:9" x14ac:dyDescent="0.25">
      <c r="A47" s="10">
        <v>2</v>
      </c>
      <c r="B47" s="10" t="s">
        <v>142</v>
      </c>
    </row>
    <row r="48" spans="1:9" x14ac:dyDescent="0.25">
      <c r="B48" s="11" t="s">
        <v>19</v>
      </c>
      <c r="C48" s="12" t="s">
        <v>20</v>
      </c>
    </row>
    <row r="49" spans="1:4" x14ac:dyDescent="0.25">
      <c r="B49" s="13" t="s">
        <v>170</v>
      </c>
      <c r="C49" s="84">
        <v>0.05</v>
      </c>
      <c r="D49" s="17" t="s">
        <v>21</v>
      </c>
    </row>
    <row r="50" spans="1:4" x14ac:dyDescent="0.25">
      <c r="B50" s="13" t="s">
        <v>171</v>
      </c>
      <c r="C50" s="13">
        <v>40</v>
      </c>
      <c r="D50" s="17" t="s">
        <v>115</v>
      </c>
    </row>
    <row r="51" spans="1:4" x14ac:dyDescent="0.25">
      <c r="B51" s="13" t="s">
        <v>172</v>
      </c>
      <c r="C51" s="13">
        <v>0</v>
      </c>
    </row>
    <row r="52" spans="1:4" x14ac:dyDescent="0.25">
      <c r="B52" s="13" t="s">
        <v>169</v>
      </c>
      <c r="C52" s="15">
        <f>-C44</f>
        <v>3518460.7268062858</v>
      </c>
    </row>
    <row r="53" spans="1:4" x14ac:dyDescent="0.25">
      <c r="B53" s="13" t="s">
        <v>173</v>
      </c>
      <c r="C53" s="16">
        <v>0</v>
      </c>
    </row>
    <row r="54" spans="1:4" x14ac:dyDescent="0.25">
      <c r="B54" s="13" t="s">
        <v>178</v>
      </c>
      <c r="C54" s="13">
        <v>12</v>
      </c>
    </row>
    <row r="56" spans="1:4" x14ac:dyDescent="0.25">
      <c r="B56" t="s">
        <v>154</v>
      </c>
      <c r="C56" s="9">
        <f>PMT(C49/C54,C50*12,C51,C52,C53)</f>
        <v>-2305.6449890273584</v>
      </c>
    </row>
    <row r="58" spans="1:4" x14ac:dyDescent="0.25">
      <c r="A58" s="10">
        <v>3</v>
      </c>
      <c r="B58" s="10" t="s">
        <v>22</v>
      </c>
      <c r="C58" s="10"/>
    </row>
    <row r="60" spans="1:4" x14ac:dyDescent="0.25">
      <c r="B60" t="s">
        <v>23</v>
      </c>
      <c r="C60" s="68">
        <f>C56*12</f>
        <v>-27667.739868328303</v>
      </c>
      <c r="D60" s="17" t="s">
        <v>163</v>
      </c>
    </row>
    <row r="61" spans="1:4" x14ac:dyDescent="0.25">
      <c r="B61" t="s">
        <v>24</v>
      </c>
      <c r="C61" s="17">
        <v>51000</v>
      </c>
    </row>
    <row r="62" spans="1:4" x14ac:dyDescent="0.25">
      <c r="B62" t="s">
        <v>116</v>
      </c>
      <c r="C62" s="70" t="s">
        <v>174</v>
      </c>
    </row>
    <row r="64" spans="1:4" x14ac:dyDescent="0.25">
      <c r="A64" s="10">
        <v>4</v>
      </c>
      <c r="B64" s="10" t="s">
        <v>106</v>
      </c>
    </row>
    <row r="66" spans="1:8" x14ac:dyDescent="0.25">
      <c r="B66" s="11" t="s">
        <v>19</v>
      </c>
      <c r="C66" s="12" t="s">
        <v>20</v>
      </c>
    </row>
    <row r="67" spans="1:8" x14ac:dyDescent="0.25">
      <c r="B67" s="13" t="s">
        <v>170</v>
      </c>
      <c r="C67" s="85">
        <f>C49</f>
        <v>0.05</v>
      </c>
      <c r="D67" s="17" t="s">
        <v>52</v>
      </c>
    </row>
    <row r="68" spans="1:8" x14ac:dyDescent="0.25">
      <c r="B68" s="13" t="s">
        <v>171</v>
      </c>
      <c r="C68" s="13">
        <f>C50</f>
        <v>40</v>
      </c>
      <c r="D68" s="17" t="s">
        <v>115</v>
      </c>
    </row>
    <row r="69" spans="1:8" x14ac:dyDescent="0.25">
      <c r="B69" s="13" t="s">
        <v>172</v>
      </c>
      <c r="C69" s="13">
        <v>0</v>
      </c>
    </row>
    <row r="70" spans="1:8" x14ac:dyDescent="0.25">
      <c r="B70" s="13" t="s">
        <v>175</v>
      </c>
      <c r="C70" s="15">
        <f>51000/12</f>
        <v>4250</v>
      </c>
      <c r="D70" s="17" t="s">
        <v>153</v>
      </c>
    </row>
    <row r="71" spans="1:8" x14ac:dyDescent="0.25">
      <c r="B71" s="13" t="s">
        <v>173</v>
      </c>
      <c r="C71" s="16">
        <v>0</v>
      </c>
    </row>
    <row r="72" spans="1:8" x14ac:dyDescent="0.25">
      <c r="B72" s="13" t="s">
        <v>178</v>
      </c>
      <c r="C72" s="13">
        <v>12</v>
      </c>
    </row>
    <row r="74" spans="1:8" x14ac:dyDescent="0.25">
      <c r="B74" t="s">
        <v>152</v>
      </c>
      <c r="C74" s="9">
        <f>FV(C67/C72,C68*C72,-C70,C71)</f>
        <v>6485585.6647883095</v>
      </c>
    </row>
    <row r="76" spans="1:8" x14ac:dyDescent="0.25">
      <c r="A76" s="10">
        <v>5</v>
      </c>
      <c r="B76" s="10" t="s">
        <v>25</v>
      </c>
      <c r="C76" s="10"/>
      <c r="D76" s="67"/>
      <c r="E76" s="10"/>
      <c r="F76" s="10"/>
      <c r="G76" s="10"/>
      <c r="H76" s="10"/>
    </row>
    <row r="77" spans="1:8" x14ac:dyDescent="0.25">
      <c r="A77" s="10"/>
      <c r="B77" s="10" t="s">
        <v>110</v>
      </c>
      <c r="C77" s="10"/>
      <c r="D77" s="67"/>
      <c r="E77" s="10"/>
      <c r="F77" s="10"/>
      <c r="G77" s="10"/>
      <c r="H77" s="10"/>
    </row>
    <row r="79" spans="1:8" x14ac:dyDescent="0.25">
      <c r="B79" t="s">
        <v>143</v>
      </c>
    </row>
    <row r="80" spans="1:8" x14ac:dyDescent="0.25">
      <c r="B80" s="8" t="s">
        <v>41</v>
      </c>
    </row>
    <row r="81" spans="2:4" x14ac:dyDescent="0.25">
      <c r="B81" s="50" t="s">
        <v>149</v>
      </c>
    </row>
    <row r="82" spans="2:4" x14ac:dyDescent="0.25">
      <c r="B82" s="50" t="s">
        <v>42</v>
      </c>
    </row>
    <row r="83" spans="2:4" x14ac:dyDescent="0.25">
      <c r="B83" s="50" t="s">
        <v>53</v>
      </c>
    </row>
    <row r="84" spans="2:4" x14ac:dyDescent="0.25">
      <c r="B84" s="50" t="s">
        <v>144</v>
      </c>
    </row>
    <row r="85" spans="2:4" x14ac:dyDescent="0.25">
      <c r="B85" s="50" t="s">
        <v>150</v>
      </c>
    </row>
    <row r="86" spans="2:4" x14ac:dyDescent="0.25">
      <c r="B86" s="8" t="s">
        <v>145</v>
      </c>
    </row>
    <row r="87" spans="2:4" x14ac:dyDescent="0.25">
      <c r="B87" s="8" t="s">
        <v>26</v>
      </c>
    </row>
    <row r="88" spans="2:4" x14ac:dyDescent="0.25">
      <c r="B88" s="8"/>
    </row>
    <row r="89" spans="2:4" x14ac:dyDescent="0.25">
      <c r="B89" s="8" t="s">
        <v>107</v>
      </c>
    </row>
    <row r="90" spans="2:4" x14ac:dyDescent="0.25">
      <c r="B90" s="8"/>
    </row>
    <row r="91" spans="2:4" x14ac:dyDescent="0.25">
      <c r="B91" s="8" t="s">
        <v>33</v>
      </c>
      <c r="C91" s="19">
        <f>-C56</f>
        <v>2305.6449890273584</v>
      </c>
      <c r="D91" s="17" t="s">
        <v>54</v>
      </c>
    </row>
    <row r="92" spans="2:4" x14ac:dyDescent="0.25">
      <c r="B92" s="20" t="s">
        <v>31</v>
      </c>
      <c r="C92" s="19">
        <v>40</v>
      </c>
      <c r="D92" s="17" t="s">
        <v>111</v>
      </c>
    </row>
    <row r="93" spans="2:4" x14ac:dyDescent="0.25">
      <c r="B93" s="20" t="s">
        <v>32</v>
      </c>
      <c r="C93" s="19">
        <v>12</v>
      </c>
    </row>
    <row r="94" spans="2:4" x14ac:dyDescent="0.25">
      <c r="B94" s="20" t="s">
        <v>155</v>
      </c>
      <c r="C94" s="21">
        <v>0.05</v>
      </c>
    </row>
    <row r="95" spans="2:4" x14ac:dyDescent="0.25">
      <c r="B95" s="20" t="s">
        <v>151</v>
      </c>
      <c r="C95" s="15">
        <f>C41</f>
        <v>3000000</v>
      </c>
    </row>
    <row r="96" spans="2:4" ht="15.75" thickBot="1" x14ac:dyDescent="0.3"/>
    <row r="97" spans="1:11" ht="60" x14ac:dyDescent="0.25">
      <c r="B97" s="33" t="s">
        <v>27</v>
      </c>
      <c r="C97" s="34" t="s">
        <v>78</v>
      </c>
      <c r="D97" s="65" t="s">
        <v>37</v>
      </c>
      <c r="E97" s="34" t="s">
        <v>29</v>
      </c>
      <c r="F97" s="35" t="s">
        <v>30</v>
      </c>
      <c r="G97" s="35" t="s">
        <v>34</v>
      </c>
      <c r="H97" s="35" t="s">
        <v>35</v>
      </c>
      <c r="I97" s="36" t="s">
        <v>36</v>
      </c>
      <c r="J97" s="37" t="s">
        <v>146</v>
      </c>
      <c r="K97" s="38" t="s">
        <v>39</v>
      </c>
    </row>
    <row r="98" spans="1:11" x14ac:dyDescent="0.25">
      <c r="B98" s="39" t="s">
        <v>1</v>
      </c>
      <c r="C98" s="86">
        <v>0.05</v>
      </c>
      <c r="D98" s="89">
        <f>C98*$C$91</f>
        <v>115.28224945136793</v>
      </c>
      <c r="E98" s="88">
        <f t="shared" ref="E98:E105" si="0">VLOOKUP(B98,InvOptions,7,FALSE)</f>
        <v>4.6560000000000004E-2</v>
      </c>
      <c r="F98" s="24">
        <f>VLOOKUP(B98,InvOptions,8,FALSE)</f>
        <v>5</v>
      </c>
      <c r="G98" s="25">
        <f t="shared" ref="G98:G105" si="1">VLOOKUP(B98,InvOptions,9,FALSE)*E98</f>
        <v>1.1640000000000001E-2</v>
      </c>
      <c r="H98" s="27">
        <f>$H$106*C98</f>
        <v>685939.03654941765</v>
      </c>
      <c r="I98" s="29">
        <f>C98*$I$106</f>
        <v>187629.73452039738</v>
      </c>
      <c r="J98" s="30"/>
      <c r="K98" s="40"/>
    </row>
    <row r="99" spans="1:11" x14ac:dyDescent="0.25">
      <c r="B99" s="39" t="s">
        <v>8</v>
      </c>
      <c r="C99" s="86">
        <v>7.0000000000000007E-2</v>
      </c>
      <c r="D99" s="89">
        <f t="shared" ref="D99:D108" si="2">C99*$C$91</f>
        <v>161.3951492319151</v>
      </c>
      <c r="E99" s="88">
        <f t="shared" si="0"/>
        <v>0.13954</v>
      </c>
      <c r="F99" s="24">
        <f>VLOOKUP(B99,InvOptions,8,FALSE)</f>
        <v>4</v>
      </c>
      <c r="G99" s="25">
        <f t="shared" si="1"/>
        <v>6.0002199999999999E-2</v>
      </c>
      <c r="H99" s="27">
        <f t="shared" ref="H99:H105" si="3">$H$106*C99</f>
        <v>960314.65116918471</v>
      </c>
      <c r="I99" s="29">
        <f t="shared" ref="I99:I105" si="4">C99*$I$106</f>
        <v>262681.62832855637</v>
      </c>
      <c r="J99" s="30"/>
      <c r="K99" s="40"/>
    </row>
    <row r="100" spans="1:11" x14ac:dyDescent="0.25">
      <c r="B100" s="39" t="s">
        <v>12</v>
      </c>
      <c r="C100" s="86">
        <v>0.25</v>
      </c>
      <c r="D100" s="89">
        <f t="shared" si="2"/>
        <v>576.4112472568396</v>
      </c>
      <c r="E100" s="88">
        <f t="shared" si="0"/>
        <v>9.3860000000000013E-2</v>
      </c>
      <c r="F100" s="24">
        <f>VLOOKUP(B100,InvOptions,8,FALSE)</f>
        <v>3</v>
      </c>
      <c r="G100" s="25">
        <f t="shared" si="1"/>
        <v>5.6316000000000005E-2</v>
      </c>
      <c r="H100" s="27">
        <f t="shared" si="3"/>
        <v>3429695.1827470879</v>
      </c>
      <c r="I100" s="29">
        <f t="shared" si="4"/>
        <v>938148.67260198691</v>
      </c>
      <c r="J100" s="30"/>
      <c r="K100" s="40"/>
    </row>
    <row r="101" spans="1:11" x14ac:dyDescent="0.25">
      <c r="B101" s="39" t="s">
        <v>140</v>
      </c>
      <c r="C101" s="86">
        <v>0.21</v>
      </c>
      <c r="D101" s="89">
        <f t="shared" si="2"/>
        <v>484.18544769574527</v>
      </c>
      <c r="E101" s="88">
        <f t="shared" si="0"/>
        <v>4.6960000000000002E-2</v>
      </c>
      <c r="F101" s="24">
        <f>VLOOKUP(B101,InvOptions,8,FALSE)</f>
        <v>2</v>
      </c>
      <c r="G101" s="25">
        <f t="shared" si="1"/>
        <v>3.6628800000000003E-2</v>
      </c>
      <c r="H101" s="27">
        <f t="shared" si="3"/>
        <v>2880943.9535075538</v>
      </c>
      <c r="I101" s="29">
        <f t="shared" si="4"/>
        <v>788044.88498566893</v>
      </c>
      <c r="J101" s="30"/>
      <c r="K101" s="40"/>
    </row>
    <row r="102" spans="1:11" x14ac:dyDescent="0.25">
      <c r="B102" s="39" t="s">
        <v>13</v>
      </c>
      <c r="C102" s="86">
        <v>0.03</v>
      </c>
      <c r="D102" s="89">
        <f t="shared" si="2"/>
        <v>69.16934967082075</v>
      </c>
      <c r="E102" s="88">
        <f t="shared" si="0"/>
        <v>0.12436</v>
      </c>
      <c r="F102" s="24">
        <f>VLOOKUP(B102,InvOptions,8,FALSE)</f>
        <v>4.5</v>
      </c>
      <c r="G102" s="25">
        <f t="shared" si="1"/>
        <v>4.1971500000000002E-2</v>
      </c>
      <c r="H102" s="27">
        <f t="shared" si="3"/>
        <v>411563.42192965053</v>
      </c>
      <c r="I102" s="29">
        <f t="shared" si="4"/>
        <v>112577.84071223842</v>
      </c>
      <c r="J102" s="30"/>
      <c r="K102" s="40"/>
    </row>
    <row r="103" spans="1:11" x14ac:dyDescent="0.25">
      <c r="B103" s="39" t="s">
        <v>15</v>
      </c>
      <c r="C103" s="86">
        <v>0.04</v>
      </c>
      <c r="D103" s="89">
        <f t="shared" si="2"/>
        <v>92.225799561094334</v>
      </c>
      <c r="E103" s="88">
        <f t="shared" si="0"/>
        <v>0.16934000000000002</v>
      </c>
      <c r="F103" s="24">
        <f>VLOOKUP(B103,InvOptions,8,FALSE)</f>
        <v>4.5</v>
      </c>
      <c r="G103" s="25">
        <f t="shared" si="1"/>
        <v>5.7152250000000009E-2</v>
      </c>
      <c r="H103" s="27">
        <f t="shared" si="3"/>
        <v>548751.22923953412</v>
      </c>
      <c r="I103" s="29">
        <f t="shared" si="4"/>
        <v>150103.78761631792</v>
      </c>
      <c r="J103" s="30"/>
      <c r="K103" s="40"/>
    </row>
    <row r="104" spans="1:11" x14ac:dyDescent="0.25">
      <c r="B104" s="18" t="s">
        <v>14</v>
      </c>
      <c r="C104" s="86">
        <v>0.25</v>
      </c>
      <c r="D104" s="89">
        <f t="shared" si="2"/>
        <v>576.4112472568396</v>
      </c>
      <c r="E104" s="88">
        <f t="shared" si="0"/>
        <v>0.16245999999999999</v>
      </c>
      <c r="F104" s="24">
        <f>VLOOKUP(B104,InvOptions,8,FALSE)</f>
        <v>3.5</v>
      </c>
      <c r="G104" s="25">
        <f t="shared" si="1"/>
        <v>8.3260749999999994E-2</v>
      </c>
      <c r="H104" s="27">
        <f t="shared" si="3"/>
        <v>3429695.1827470879</v>
      </c>
      <c r="I104" s="29">
        <f t="shared" si="4"/>
        <v>938148.67260198691</v>
      </c>
      <c r="J104" s="30"/>
      <c r="K104" s="40"/>
    </row>
    <row r="105" spans="1:11" ht="15.75" thickBot="1" x14ac:dyDescent="0.3">
      <c r="B105" s="18" t="s">
        <v>4</v>
      </c>
      <c r="C105" s="87">
        <v>0.1</v>
      </c>
      <c r="D105" s="89">
        <f t="shared" si="2"/>
        <v>230.56449890273586</v>
      </c>
      <c r="E105" s="88">
        <f t="shared" si="0"/>
        <v>1.4500000000000002E-2</v>
      </c>
      <c r="F105" s="24">
        <f>VLOOKUP(B105,InvOptions,8,FALSE)</f>
        <v>1</v>
      </c>
      <c r="G105" s="25">
        <f t="shared" si="1"/>
        <v>1.3775000000000003E-2</v>
      </c>
      <c r="H105" s="27">
        <f t="shared" si="3"/>
        <v>1371878.0730988353</v>
      </c>
      <c r="I105" s="29">
        <f t="shared" si="4"/>
        <v>375259.46904079476</v>
      </c>
      <c r="J105" s="30"/>
      <c r="K105" s="40"/>
    </row>
    <row r="106" spans="1:11" ht="15.75" thickBot="1" x14ac:dyDescent="0.3">
      <c r="B106" s="26" t="s">
        <v>28</v>
      </c>
      <c r="C106" s="98">
        <f>SUM(C98:C105)</f>
        <v>1</v>
      </c>
      <c r="D106" s="90">
        <f t="shared" si="2"/>
        <v>2305.6449890273584</v>
      </c>
      <c r="E106" s="88">
        <f t="array" ref="E106">SUM(C98:C105*E98:E105)</f>
        <v>9.7991800000000004E-2</v>
      </c>
      <c r="F106" s="96" cm="1">
        <f t="array" ref="F106">SUM(C98:C105*F98:F105)</f>
        <v>2.99</v>
      </c>
      <c r="G106" s="91">
        <f t="array" ref="G106">SUM(C98:C105*G98:G105)</f>
        <v>5.2291124500000008E-2</v>
      </c>
      <c r="H106" s="70">
        <f>-FV(E106/C93,C92*C93,D106,C69,0)</f>
        <v>13718780.730988352</v>
      </c>
      <c r="I106" s="70">
        <f>-FV(G106/C93,C92*C93,D106,C69,1)</f>
        <v>3752594.6904079476</v>
      </c>
      <c r="J106" s="70">
        <f>-PMT(C94/C93,C92*C93,H106,C95,0)</f>
        <v>68117.392343176791</v>
      </c>
      <c r="K106" s="70">
        <f>-PMT(C94/C93,C92*C93,I106,C95,0)</f>
        <v>20060.782048063167</v>
      </c>
    </row>
    <row r="107" spans="1:11" x14ac:dyDescent="0.25">
      <c r="B107" s="41" t="s">
        <v>38</v>
      </c>
      <c r="C107" s="99">
        <v>1</v>
      </c>
      <c r="D107" s="90">
        <f t="shared" si="2"/>
        <v>2305.6449890273584</v>
      </c>
      <c r="E107" s="31"/>
      <c r="F107" s="95">
        <v>3</v>
      </c>
      <c r="G107" s="25">
        <v>0.05</v>
      </c>
      <c r="H107" s="32"/>
      <c r="I107" s="28">
        <f>-C44</f>
        <v>3518460.7268062858</v>
      </c>
      <c r="J107" s="32"/>
      <c r="K107" s="42">
        <v>15000</v>
      </c>
    </row>
    <row r="108" spans="1:11" ht="15.75" thickBot="1" x14ac:dyDescent="0.3">
      <c r="B108" s="43" t="s">
        <v>40</v>
      </c>
      <c r="C108" s="97">
        <f>C107-C106</f>
        <v>0</v>
      </c>
      <c r="D108" s="89">
        <f t="shared" si="2"/>
        <v>0</v>
      </c>
      <c r="E108" s="44"/>
      <c r="F108" s="45">
        <f>F107-F106</f>
        <v>9.9999999999997868E-3</v>
      </c>
      <c r="G108" s="46">
        <f>G106-G107</f>
        <v>2.2911245000000052E-3</v>
      </c>
      <c r="H108" s="47"/>
      <c r="I108" s="48">
        <f>I106-I107</f>
        <v>234133.96360166185</v>
      </c>
      <c r="J108" s="47"/>
      <c r="K108" s="49">
        <f>K106-K107</f>
        <v>5060.7820480631672</v>
      </c>
    </row>
    <row r="109" spans="1:11" x14ac:dyDescent="0.25">
      <c r="A109" s="57"/>
    </row>
    <row r="110" spans="1:11" x14ac:dyDescent="0.25">
      <c r="A110" s="57"/>
    </row>
    <row r="111" spans="1:11" x14ac:dyDescent="0.25">
      <c r="A111" s="57" t="s">
        <v>67</v>
      </c>
      <c r="B111" t="s">
        <v>69</v>
      </c>
      <c r="H111" s="92"/>
    </row>
    <row r="112" spans="1:11" x14ac:dyDescent="0.25">
      <c r="A112" s="57" t="s">
        <v>68</v>
      </c>
      <c r="B112" t="s">
        <v>76</v>
      </c>
    </row>
    <row r="113" spans="1:3" x14ac:dyDescent="0.25">
      <c r="A113" s="57" t="s">
        <v>70</v>
      </c>
      <c r="B113" t="s">
        <v>156</v>
      </c>
    </row>
    <row r="114" spans="1:3" x14ac:dyDescent="0.25">
      <c r="A114" s="57" t="s">
        <v>71</v>
      </c>
      <c r="B114" t="s">
        <v>74</v>
      </c>
    </row>
    <row r="115" spans="1:3" x14ac:dyDescent="0.25">
      <c r="B115" t="s">
        <v>157</v>
      </c>
    </row>
    <row r="116" spans="1:3" x14ac:dyDescent="0.25">
      <c r="A116" s="57" t="s">
        <v>72</v>
      </c>
      <c r="B116" t="s">
        <v>158</v>
      </c>
    </row>
    <row r="117" spans="1:3" x14ac:dyDescent="0.25">
      <c r="A117" s="57" t="s">
        <v>73</v>
      </c>
      <c r="B117" t="s">
        <v>159</v>
      </c>
    </row>
    <row r="118" spans="1:3" x14ac:dyDescent="0.25">
      <c r="A118" s="57" t="s">
        <v>75</v>
      </c>
      <c r="B118" t="s">
        <v>147</v>
      </c>
    </row>
    <row r="119" spans="1:3" x14ac:dyDescent="0.25">
      <c r="A119" s="57" t="s">
        <v>77</v>
      </c>
      <c r="B119" t="s">
        <v>160</v>
      </c>
    </row>
    <row r="120" spans="1:3" x14ac:dyDescent="0.25">
      <c r="A120" s="57" t="s">
        <v>63</v>
      </c>
      <c r="B120" t="s">
        <v>161</v>
      </c>
    </row>
    <row r="121" spans="1:3" x14ac:dyDescent="0.25">
      <c r="A121" s="57" t="s">
        <v>79</v>
      </c>
      <c r="B121" t="s">
        <v>164</v>
      </c>
    </row>
    <row r="122" spans="1:3" x14ac:dyDescent="0.25">
      <c r="A122" s="57"/>
    </row>
    <row r="123" spans="1:3" x14ac:dyDescent="0.25">
      <c r="A123" s="57"/>
    </row>
    <row r="124" spans="1:3" x14ac:dyDescent="0.25">
      <c r="A124" s="59" t="s">
        <v>135</v>
      </c>
    </row>
    <row r="125" spans="1:3" x14ac:dyDescent="0.25">
      <c r="A125" s="57"/>
      <c r="B125" t="s">
        <v>95</v>
      </c>
    </row>
    <row r="126" spans="1:3" x14ac:dyDescent="0.25">
      <c r="A126" s="57"/>
      <c r="B126" t="s">
        <v>80</v>
      </c>
      <c r="C126" s="17">
        <v>250000</v>
      </c>
    </row>
    <row r="127" spans="1:3" x14ac:dyDescent="0.25">
      <c r="A127" s="57"/>
      <c r="B127" t="s">
        <v>82</v>
      </c>
      <c r="C127" s="17">
        <v>1600</v>
      </c>
    </row>
    <row r="128" spans="1:3" x14ac:dyDescent="0.25">
      <c r="A128" s="57"/>
      <c r="B128" t="s">
        <v>162</v>
      </c>
      <c r="C128" s="60">
        <v>1000</v>
      </c>
    </row>
    <row r="129" spans="1:4" x14ac:dyDescent="0.25">
      <c r="A129" s="58"/>
      <c r="B129" t="s">
        <v>81</v>
      </c>
      <c r="C129" s="1">
        <v>0.03</v>
      </c>
    </row>
    <row r="130" spans="1:4" x14ac:dyDescent="0.25">
      <c r="A130" s="58"/>
      <c r="B130" t="s">
        <v>96</v>
      </c>
      <c r="C130" s="1">
        <v>0.1</v>
      </c>
    </row>
    <row r="131" spans="1:4" ht="30" x14ac:dyDescent="0.25">
      <c r="A131" s="58"/>
      <c r="B131" s="76" t="s">
        <v>112</v>
      </c>
      <c r="C131">
        <v>5</v>
      </c>
      <c r="D131" s="17" t="s">
        <v>165</v>
      </c>
    </row>
    <row r="132" spans="1:4" x14ac:dyDescent="0.25">
      <c r="A132" s="58"/>
      <c r="B132" t="s">
        <v>83</v>
      </c>
    </row>
    <row r="133" spans="1:4" x14ac:dyDescent="0.25">
      <c r="A133" s="58"/>
      <c r="B133" t="s">
        <v>148</v>
      </c>
    </row>
    <row r="134" spans="1:4" x14ac:dyDescent="0.25">
      <c r="A134" s="58"/>
    </row>
    <row r="135" spans="1:4" x14ac:dyDescent="0.25">
      <c r="A135" s="58"/>
      <c r="B135" t="s">
        <v>91</v>
      </c>
      <c r="C135" s="71">
        <f>FV(C129,C131,,-250000,0)</f>
        <v>289818.51857499994</v>
      </c>
      <c r="D135" s="17" t="s">
        <v>92</v>
      </c>
    </row>
    <row r="136" spans="1:4" x14ac:dyDescent="0.25">
      <c r="A136" s="58"/>
    </row>
    <row r="137" spans="1:4" x14ac:dyDescent="0.25">
      <c r="A137" s="58"/>
      <c r="B137" t="s">
        <v>84</v>
      </c>
      <c r="C137" s="61">
        <f>-C126</f>
        <v>-250000</v>
      </c>
    </row>
    <row r="138" spans="1:4" x14ac:dyDescent="0.25">
      <c r="A138" s="58"/>
      <c r="B138" t="s">
        <v>86</v>
      </c>
      <c r="C138" s="61">
        <f>C127*12-C128</f>
        <v>18200</v>
      </c>
    </row>
    <row r="139" spans="1:4" x14ac:dyDescent="0.25">
      <c r="B139" t="s">
        <v>85</v>
      </c>
      <c r="C139" s="61">
        <f>C138*1.02</f>
        <v>18564</v>
      </c>
    </row>
    <row r="140" spans="1:4" x14ac:dyDescent="0.25">
      <c r="B140" t="s">
        <v>87</v>
      </c>
      <c r="C140" s="61">
        <f t="shared" ref="C140:C141" si="5">C139*1.02</f>
        <v>18935.28</v>
      </c>
    </row>
    <row r="141" spans="1:4" x14ac:dyDescent="0.25">
      <c r="B141" t="s">
        <v>88</v>
      </c>
      <c r="C141" s="61">
        <f t="shared" si="5"/>
        <v>19313.9856</v>
      </c>
    </row>
    <row r="142" spans="1:4" x14ac:dyDescent="0.25">
      <c r="B142" t="s">
        <v>89</v>
      </c>
      <c r="C142" s="61">
        <f>C141*(1.02)+C135</f>
        <v>309518.78388699994</v>
      </c>
    </row>
    <row r="144" spans="1:4" x14ac:dyDescent="0.25">
      <c r="B144" t="s">
        <v>93</v>
      </c>
      <c r="C144" s="73">
        <f>NPV(0.1,C138:C142)+C137</f>
        <v>1492.4842733045516</v>
      </c>
    </row>
    <row r="145" spans="1:4" x14ac:dyDescent="0.25">
      <c r="B145" t="s">
        <v>90</v>
      </c>
      <c r="C145" s="72">
        <f>IRR(C137:C142)</f>
        <v>0.10149339487174847</v>
      </c>
    </row>
    <row r="147" spans="1:4" x14ac:dyDescent="0.25">
      <c r="B147" t="s">
        <v>94</v>
      </c>
      <c r="C147" s="74" t="s">
        <v>179</v>
      </c>
    </row>
    <row r="149" spans="1:4" x14ac:dyDescent="0.25">
      <c r="A149" s="11" t="s">
        <v>136</v>
      </c>
    </row>
    <row r="150" spans="1:4" x14ac:dyDescent="0.25">
      <c r="B150" t="s">
        <v>119</v>
      </c>
    </row>
    <row r="151" spans="1:4" x14ac:dyDescent="0.25">
      <c r="B151" t="s">
        <v>117</v>
      </c>
    </row>
    <row r="152" spans="1:4" x14ac:dyDescent="0.25">
      <c r="B152" t="s">
        <v>118</v>
      </c>
    </row>
    <row r="153" spans="1:4" x14ac:dyDescent="0.25">
      <c r="B153" t="s">
        <v>131</v>
      </c>
    </row>
    <row r="154" spans="1:4" x14ac:dyDescent="0.25">
      <c r="B154" t="s">
        <v>132</v>
      </c>
    </row>
    <row r="155" spans="1:4" x14ac:dyDescent="0.25">
      <c r="B155" t="s">
        <v>133</v>
      </c>
    </row>
    <row r="156" spans="1:4" x14ac:dyDescent="0.25">
      <c r="B156" t="s">
        <v>166</v>
      </c>
    </row>
    <row r="158" spans="1:4" x14ac:dyDescent="0.25">
      <c r="B158" s="10" t="s">
        <v>130</v>
      </c>
    </row>
    <row r="159" spans="1:4" x14ac:dyDescent="0.25">
      <c r="B159" s="75" t="s">
        <v>123</v>
      </c>
      <c r="C159" s="2"/>
      <c r="D159" s="70">
        <f>XNPV(0.05,D175:D235,C175:C235)</f>
        <v>102769.61218584616</v>
      </c>
    </row>
    <row r="160" spans="1:4" x14ac:dyDescent="0.25">
      <c r="B160" s="75" t="s">
        <v>129</v>
      </c>
      <c r="C160" s="2"/>
      <c r="D160" s="70">
        <f>XNPV(0.1,D175:D235,C175:C235)</f>
        <v>-29629.570039978003</v>
      </c>
    </row>
    <row r="161" spans="2:7" x14ac:dyDescent="0.25">
      <c r="B161" s="75" t="s">
        <v>90</v>
      </c>
      <c r="C161" s="2"/>
      <c r="D161" s="93">
        <f>XIRR(D175:D235,C175:C235,0.07)</f>
        <v>8.445328891277315E-2</v>
      </c>
    </row>
    <row r="162" spans="2:7" x14ac:dyDescent="0.25">
      <c r="C162" s="2"/>
    </row>
    <row r="163" spans="2:7" x14ac:dyDescent="0.25">
      <c r="C163" s="2"/>
    </row>
    <row r="164" spans="2:7" x14ac:dyDescent="0.25">
      <c r="B164" s="10" t="s">
        <v>124</v>
      </c>
      <c r="D164" s="94" t="s">
        <v>182</v>
      </c>
      <c r="E164" s="94"/>
      <c r="F164" s="94"/>
      <c r="G164" s="94"/>
    </row>
    <row r="165" spans="2:7" x14ac:dyDescent="0.25">
      <c r="D165" s="94"/>
      <c r="E165" s="94"/>
      <c r="F165" s="94"/>
      <c r="G165" s="94"/>
    </row>
    <row r="167" spans="2:7" x14ac:dyDescent="0.25">
      <c r="B167" s="10" t="s">
        <v>125</v>
      </c>
      <c r="D167" s="94" t="s">
        <v>181</v>
      </c>
      <c r="E167" s="94"/>
      <c r="F167" s="94"/>
      <c r="G167" s="94"/>
    </row>
    <row r="168" spans="2:7" ht="20.25" customHeight="1" x14ac:dyDescent="0.25">
      <c r="B168" s="10" t="s">
        <v>126</v>
      </c>
      <c r="D168" s="94"/>
      <c r="E168" s="94"/>
      <c r="F168" s="94"/>
      <c r="G168" s="94"/>
    </row>
    <row r="170" spans="2:7" x14ac:dyDescent="0.25">
      <c r="B170" s="10" t="s">
        <v>127</v>
      </c>
      <c r="D170" s="74" t="s">
        <v>180</v>
      </c>
    </row>
    <row r="171" spans="2:7" x14ac:dyDescent="0.25">
      <c r="B171" s="10" t="s">
        <v>128</v>
      </c>
      <c r="D171"/>
    </row>
    <row r="172" spans="2:7" x14ac:dyDescent="0.25">
      <c r="D172"/>
    </row>
    <row r="173" spans="2:7" x14ac:dyDescent="0.25">
      <c r="B173" t="s">
        <v>104</v>
      </c>
    </row>
    <row r="175" spans="2:7" x14ac:dyDescent="0.25">
      <c r="B175" t="s">
        <v>97</v>
      </c>
      <c r="C175" s="2">
        <v>42005</v>
      </c>
      <c r="D175" s="17">
        <v>-150000</v>
      </c>
      <c r="E175" t="s">
        <v>167</v>
      </c>
    </row>
    <row r="176" spans="2:7" x14ac:dyDescent="0.25">
      <c r="B176" t="s">
        <v>100</v>
      </c>
      <c r="C176" s="2">
        <v>42030</v>
      </c>
      <c r="D176" s="17">
        <v>-2500</v>
      </c>
    </row>
    <row r="177" spans="2:4" x14ac:dyDescent="0.25">
      <c r="B177" t="s">
        <v>98</v>
      </c>
      <c r="C177" s="2">
        <v>42185</v>
      </c>
      <c r="D177" s="17">
        <v>5000</v>
      </c>
    </row>
    <row r="178" spans="2:4" x14ac:dyDescent="0.25">
      <c r="B178" t="s">
        <v>98</v>
      </c>
      <c r="C178" s="2">
        <v>42365</v>
      </c>
      <c r="D178" s="17">
        <v>5000</v>
      </c>
    </row>
    <row r="179" spans="2:4" x14ac:dyDescent="0.25">
      <c r="B179" t="s">
        <v>99</v>
      </c>
      <c r="C179" s="2">
        <f>EDATE(C176,12)</f>
        <v>42395</v>
      </c>
      <c r="D179" s="17">
        <f>D176*1.02</f>
        <v>-2550</v>
      </c>
    </row>
    <row r="180" spans="2:4" x14ac:dyDescent="0.25">
      <c r="B180" t="s">
        <v>98</v>
      </c>
      <c r="C180" s="2">
        <f t="shared" ref="C180:C234" si="6">EDATE(C177,12)</f>
        <v>42551</v>
      </c>
      <c r="D180" s="17">
        <f t="shared" ref="D180:D234" si="7">D177*1.02</f>
        <v>5100</v>
      </c>
    </row>
    <row r="181" spans="2:4" x14ac:dyDescent="0.25">
      <c r="B181" t="s">
        <v>98</v>
      </c>
      <c r="C181" s="2">
        <f t="shared" si="6"/>
        <v>42731</v>
      </c>
      <c r="D181" s="17">
        <f t="shared" si="7"/>
        <v>5100</v>
      </c>
    </row>
    <row r="182" spans="2:4" x14ac:dyDescent="0.25">
      <c r="B182" t="s">
        <v>99</v>
      </c>
      <c r="C182" s="2">
        <f t="shared" si="6"/>
        <v>42761</v>
      </c>
      <c r="D182" s="17">
        <f>D179*1.02</f>
        <v>-2601</v>
      </c>
    </row>
    <row r="183" spans="2:4" x14ac:dyDescent="0.25">
      <c r="B183" t="s">
        <v>98</v>
      </c>
      <c r="C183" s="2">
        <f t="shared" si="6"/>
        <v>42916</v>
      </c>
      <c r="D183" s="17">
        <f t="shared" si="7"/>
        <v>5202</v>
      </c>
    </row>
    <row r="184" spans="2:4" x14ac:dyDescent="0.25">
      <c r="B184" t="s">
        <v>98</v>
      </c>
      <c r="C184" s="2">
        <f t="shared" si="6"/>
        <v>43096</v>
      </c>
      <c r="D184" s="17">
        <f t="shared" si="7"/>
        <v>5202</v>
      </c>
    </row>
    <row r="185" spans="2:4" x14ac:dyDescent="0.25">
      <c r="B185" t="s">
        <v>99</v>
      </c>
      <c r="C185" s="2">
        <f t="shared" si="6"/>
        <v>43126</v>
      </c>
      <c r="D185" s="17">
        <f>D182*1.02</f>
        <v>-2653.02</v>
      </c>
    </row>
    <row r="186" spans="2:4" x14ac:dyDescent="0.25">
      <c r="B186" t="s">
        <v>98</v>
      </c>
      <c r="C186" s="2">
        <f t="shared" si="6"/>
        <v>43281</v>
      </c>
      <c r="D186" s="17">
        <f t="shared" si="7"/>
        <v>5306.04</v>
      </c>
    </row>
    <row r="187" spans="2:4" x14ac:dyDescent="0.25">
      <c r="B187" t="s">
        <v>98</v>
      </c>
      <c r="C187" s="2">
        <f t="shared" si="6"/>
        <v>43461</v>
      </c>
      <c r="D187" s="17">
        <f t="shared" si="7"/>
        <v>5306.04</v>
      </c>
    </row>
    <row r="188" spans="2:4" x14ac:dyDescent="0.25">
      <c r="B188" t="s">
        <v>99</v>
      </c>
      <c r="C188" s="2">
        <f t="shared" si="6"/>
        <v>43491</v>
      </c>
      <c r="D188" s="17">
        <f>D185*1.02</f>
        <v>-2706.0803999999998</v>
      </c>
    </row>
    <row r="189" spans="2:4" x14ac:dyDescent="0.25">
      <c r="B189" t="s">
        <v>98</v>
      </c>
      <c r="C189" s="2">
        <f t="shared" si="6"/>
        <v>43646</v>
      </c>
      <c r="D189" s="17">
        <f t="shared" si="7"/>
        <v>5412.1607999999997</v>
      </c>
    </row>
    <row r="190" spans="2:4" x14ac:dyDescent="0.25">
      <c r="B190" t="s">
        <v>120</v>
      </c>
      <c r="C190" s="2">
        <f>C189+25</f>
        <v>43671</v>
      </c>
      <c r="D190" s="17">
        <v>-30000</v>
      </c>
    </row>
    <row r="191" spans="2:4" x14ac:dyDescent="0.25">
      <c r="B191" t="s">
        <v>98</v>
      </c>
      <c r="C191" s="2">
        <f>EDATE(C187,12)</f>
        <v>43826</v>
      </c>
      <c r="D191" s="17">
        <f>D187*1.02</f>
        <v>5412.1607999999997</v>
      </c>
    </row>
    <row r="192" spans="2:4" x14ac:dyDescent="0.25">
      <c r="B192" t="s">
        <v>99</v>
      </c>
      <c r="C192" s="2">
        <f>EDATE(C188,12)</f>
        <v>43856</v>
      </c>
      <c r="D192" s="17">
        <f>D188*1.02</f>
        <v>-2760.2020079999998</v>
      </c>
    </row>
    <row r="193" spans="2:4" x14ac:dyDescent="0.25">
      <c r="B193" t="s">
        <v>98</v>
      </c>
      <c r="C193" s="2">
        <f>EDATE(C189,12)</f>
        <v>44012</v>
      </c>
      <c r="D193" s="17">
        <f>D189*1.02</f>
        <v>5520.4040159999995</v>
      </c>
    </row>
    <row r="194" spans="2:4" x14ac:dyDescent="0.25">
      <c r="B194" t="s">
        <v>98</v>
      </c>
      <c r="C194" s="2">
        <f>EDATE(C191,12)</f>
        <v>44192</v>
      </c>
      <c r="D194" s="17">
        <f>D191*1.02</f>
        <v>5520.4040159999995</v>
      </c>
    </row>
    <row r="195" spans="2:4" x14ac:dyDescent="0.25">
      <c r="B195" t="s">
        <v>99</v>
      </c>
      <c r="C195" s="2">
        <f t="shared" si="6"/>
        <v>44222</v>
      </c>
      <c r="D195" s="17">
        <f>D192*1.02</f>
        <v>-2815.40604816</v>
      </c>
    </row>
    <row r="196" spans="2:4" x14ac:dyDescent="0.25">
      <c r="B196" t="s">
        <v>98</v>
      </c>
      <c r="C196" s="2">
        <f t="shared" si="6"/>
        <v>44377</v>
      </c>
      <c r="D196" s="17">
        <f t="shared" si="7"/>
        <v>5630.8120963199999</v>
      </c>
    </row>
    <row r="197" spans="2:4" x14ac:dyDescent="0.25">
      <c r="B197" t="s">
        <v>121</v>
      </c>
      <c r="C197" s="2">
        <f>C196+45</f>
        <v>44422</v>
      </c>
      <c r="D197" s="17">
        <v>-10000</v>
      </c>
    </row>
    <row r="198" spans="2:4" x14ac:dyDescent="0.25">
      <c r="B198" t="s">
        <v>98</v>
      </c>
      <c r="C198" s="2">
        <f>EDATE(C194,12)</f>
        <v>44557</v>
      </c>
      <c r="D198" s="17">
        <f>D194*1.02</f>
        <v>5630.8120963199999</v>
      </c>
    </row>
    <row r="199" spans="2:4" x14ac:dyDescent="0.25">
      <c r="B199" t="s">
        <v>99</v>
      </c>
      <c r="C199" s="2">
        <f>EDATE(C195,12)</f>
        <v>44587</v>
      </c>
      <c r="D199" s="17">
        <f>D195*1.02</f>
        <v>-2871.7141691232</v>
      </c>
    </row>
    <row r="200" spans="2:4" x14ac:dyDescent="0.25">
      <c r="B200" t="s">
        <v>98</v>
      </c>
      <c r="C200" s="2">
        <f>EDATE(C196,12)</f>
        <v>44742</v>
      </c>
      <c r="D200" s="17">
        <f>D196*1.02</f>
        <v>5743.4283382464</v>
      </c>
    </row>
    <row r="201" spans="2:4" x14ac:dyDescent="0.25">
      <c r="B201" t="s">
        <v>98</v>
      </c>
      <c r="C201" s="2">
        <f t="shared" si="6"/>
        <v>44922</v>
      </c>
      <c r="D201" s="17">
        <f t="shared" si="7"/>
        <v>5743.4283382464</v>
      </c>
    </row>
    <row r="202" spans="2:4" x14ac:dyDescent="0.25">
      <c r="B202" t="s">
        <v>99</v>
      </c>
      <c r="C202" s="2">
        <f t="shared" si="6"/>
        <v>44952</v>
      </c>
      <c r="D202" s="17">
        <f>D199*1.02</f>
        <v>-2929.148452505664</v>
      </c>
    </row>
    <row r="203" spans="2:4" x14ac:dyDescent="0.25">
      <c r="B203" t="s">
        <v>98</v>
      </c>
      <c r="C203" s="2">
        <f t="shared" si="6"/>
        <v>45107</v>
      </c>
      <c r="D203" s="17">
        <f t="shared" si="7"/>
        <v>5858.2969050113279</v>
      </c>
    </row>
    <row r="204" spans="2:4" x14ac:dyDescent="0.25">
      <c r="B204" t="s">
        <v>98</v>
      </c>
      <c r="C204" s="2">
        <f t="shared" si="6"/>
        <v>45287</v>
      </c>
      <c r="D204" s="17">
        <f t="shared" si="7"/>
        <v>5858.2969050113279</v>
      </c>
    </row>
    <row r="205" spans="2:4" x14ac:dyDescent="0.25">
      <c r="B205" t="s">
        <v>99</v>
      </c>
      <c r="C205" s="2">
        <f t="shared" si="6"/>
        <v>45317</v>
      </c>
      <c r="D205" s="17">
        <f>D202*1.02</f>
        <v>-2987.7314215557772</v>
      </c>
    </row>
    <row r="206" spans="2:4" x14ac:dyDescent="0.25">
      <c r="B206" t="s">
        <v>98</v>
      </c>
      <c r="C206" s="2">
        <f t="shared" si="6"/>
        <v>45473</v>
      </c>
      <c r="D206" s="17">
        <f t="shared" si="7"/>
        <v>5975.4628431115543</v>
      </c>
    </row>
    <row r="207" spans="2:4" x14ac:dyDescent="0.25">
      <c r="B207" t="s">
        <v>98</v>
      </c>
      <c r="C207" s="2">
        <f t="shared" si="6"/>
        <v>45653</v>
      </c>
      <c r="D207" s="17">
        <f t="shared" si="7"/>
        <v>5975.4628431115543</v>
      </c>
    </row>
    <row r="208" spans="2:4" x14ac:dyDescent="0.25">
      <c r="B208" t="s">
        <v>99</v>
      </c>
      <c r="C208" s="2">
        <f t="shared" si="6"/>
        <v>45683</v>
      </c>
      <c r="D208" s="17">
        <f>D205*1.02</f>
        <v>-3047.4860499868928</v>
      </c>
    </row>
    <row r="209" spans="2:4" x14ac:dyDescent="0.25">
      <c r="B209" t="s">
        <v>98</v>
      </c>
      <c r="C209" s="2">
        <f t="shared" si="6"/>
        <v>45838</v>
      </c>
      <c r="D209" s="17">
        <f t="shared" si="7"/>
        <v>6094.9720999737856</v>
      </c>
    </row>
    <row r="210" spans="2:4" x14ac:dyDescent="0.25">
      <c r="B210" t="s">
        <v>98</v>
      </c>
      <c r="C210" s="2">
        <f t="shared" si="6"/>
        <v>46018</v>
      </c>
      <c r="D210" s="17">
        <f t="shared" si="7"/>
        <v>6094.9720999737856</v>
      </c>
    </row>
    <row r="211" spans="2:4" x14ac:dyDescent="0.25">
      <c r="B211" t="s">
        <v>99</v>
      </c>
      <c r="C211" s="2">
        <f t="shared" si="6"/>
        <v>46048</v>
      </c>
      <c r="D211" s="17">
        <f>D208*1.02</f>
        <v>-3108.4357709866308</v>
      </c>
    </row>
    <row r="212" spans="2:4" x14ac:dyDescent="0.25">
      <c r="B212" t="s">
        <v>98</v>
      </c>
      <c r="C212" s="2">
        <f t="shared" si="6"/>
        <v>46203</v>
      </c>
      <c r="D212" s="17">
        <f t="shared" si="7"/>
        <v>6216.8715419732616</v>
      </c>
    </row>
    <row r="213" spans="2:4" x14ac:dyDescent="0.25">
      <c r="B213" t="s">
        <v>98</v>
      </c>
      <c r="C213" s="2">
        <f t="shared" si="6"/>
        <v>46383</v>
      </c>
      <c r="D213" s="17">
        <f t="shared" si="7"/>
        <v>6216.8715419732616</v>
      </c>
    </row>
    <row r="214" spans="2:4" x14ac:dyDescent="0.25">
      <c r="B214" t="s">
        <v>99</v>
      </c>
      <c r="C214" s="2">
        <f t="shared" si="6"/>
        <v>46413</v>
      </c>
      <c r="D214" s="17">
        <f>D211*1.02</f>
        <v>-3170.6044864063633</v>
      </c>
    </row>
    <row r="215" spans="2:4" x14ac:dyDescent="0.25">
      <c r="B215" t="s">
        <v>98</v>
      </c>
      <c r="C215" s="2">
        <f t="shared" si="6"/>
        <v>46568</v>
      </c>
      <c r="D215" s="17">
        <f t="shared" si="7"/>
        <v>6341.2089728127266</v>
      </c>
    </row>
    <row r="216" spans="2:4" x14ac:dyDescent="0.25">
      <c r="B216" t="s">
        <v>98</v>
      </c>
      <c r="C216" s="2">
        <f t="shared" si="6"/>
        <v>46748</v>
      </c>
      <c r="D216" s="17">
        <f t="shared" si="7"/>
        <v>6341.2089728127266</v>
      </c>
    </row>
    <row r="217" spans="2:4" x14ac:dyDescent="0.25">
      <c r="B217" t="s">
        <v>99</v>
      </c>
      <c r="C217" s="2">
        <f t="shared" si="6"/>
        <v>46778</v>
      </c>
      <c r="D217" s="17">
        <f>D214*1.02</f>
        <v>-3234.0165761344906</v>
      </c>
    </row>
    <row r="218" spans="2:4" x14ac:dyDescent="0.25">
      <c r="B218" t="s">
        <v>98</v>
      </c>
      <c r="C218" s="2">
        <f t="shared" si="6"/>
        <v>46934</v>
      </c>
      <c r="D218" s="17">
        <f t="shared" si="7"/>
        <v>6468.0331522689812</v>
      </c>
    </row>
    <row r="219" spans="2:4" x14ac:dyDescent="0.25">
      <c r="B219" t="s">
        <v>98</v>
      </c>
      <c r="C219" s="2">
        <f t="shared" si="6"/>
        <v>47114</v>
      </c>
      <c r="D219" s="17">
        <f t="shared" si="7"/>
        <v>6468.0331522689812</v>
      </c>
    </row>
    <row r="220" spans="2:4" x14ac:dyDescent="0.25">
      <c r="B220" t="s">
        <v>99</v>
      </c>
      <c r="C220" s="2">
        <f t="shared" si="6"/>
        <v>47144</v>
      </c>
      <c r="D220" s="17">
        <f>D217*1.02</f>
        <v>-3298.6969076571804</v>
      </c>
    </row>
    <row r="221" spans="2:4" x14ac:dyDescent="0.25">
      <c r="B221" t="s">
        <v>98</v>
      </c>
      <c r="C221" s="2">
        <f t="shared" si="6"/>
        <v>47299</v>
      </c>
      <c r="D221" s="17">
        <f t="shared" si="7"/>
        <v>6597.3938153143608</v>
      </c>
    </row>
    <row r="222" spans="2:4" x14ac:dyDescent="0.25">
      <c r="B222" t="s">
        <v>98</v>
      </c>
      <c r="C222" s="2">
        <f t="shared" si="6"/>
        <v>47479</v>
      </c>
      <c r="D222" s="17">
        <f t="shared" si="7"/>
        <v>6597.3938153143608</v>
      </c>
    </row>
    <row r="223" spans="2:4" x14ac:dyDescent="0.25">
      <c r="B223" t="s">
        <v>99</v>
      </c>
      <c r="C223" s="2">
        <f t="shared" si="6"/>
        <v>47509</v>
      </c>
      <c r="D223" s="17">
        <f>D220*1.02</f>
        <v>-3364.670845810324</v>
      </c>
    </row>
    <row r="224" spans="2:4" x14ac:dyDescent="0.25">
      <c r="B224" t="s">
        <v>98</v>
      </c>
      <c r="C224" s="2">
        <f t="shared" si="6"/>
        <v>47664</v>
      </c>
      <c r="D224" s="17">
        <f t="shared" si="7"/>
        <v>6729.3416916206479</v>
      </c>
    </row>
    <row r="225" spans="2:4" x14ac:dyDescent="0.25">
      <c r="B225" t="s">
        <v>98</v>
      </c>
      <c r="C225" s="2">
        <f t="shared" si="6"/>
        <v>47844</v>
      </c>
      <c r="D225" s="17">
        <f t="shared" si="7"/>
        <v>6729.3416916206479</v>
      </c>
    </row>
    <row r="226" spans="2:4" x14ac:dyDescent="0.25">
      <c r="B226" t="s">
        <v>99</v>
      </c>
      <c r="C226" s="2">
        <f t="shared" si="6"/>
        <v>47874</v>
      </c>
      <c r="D226" s="17">
        <f>D223*1.02</f>
        <v>-3431.9642627265307</v>
      </c>
    </row>
    <row r="227" spans="2:4" x14ac:dyDescent="0.25">
      <c r="B227" t="s">
        <v>98</v>
      </c>
      <c r="C227" s="2">
        <f t="shared" si="6"/>
        <v>48029</v>
      </c>
      <c r="D227" s="17">
        <f t="shared" si="7"/>
        <v>6863.9285254530614</v>
      </c>
    </row>
    <row r="228" spans="2:4" x14ac:dyDescent="0.25">
      <c r="B228" t="s">
        <v>98</v>
      </c>
      <c r="C228" s="2">
        <f t="shared" si="6"/>
        <v>48209</v>
      </c>
      <c r="D228" s="17">
        <f t="shared" si="7"/>
        <v>6863.9285254530614</v>
      </c>
    </row>
    <row r="229" spans="2:4" x14ac:dyDescent="0.25">
      <c r="B229" t="s">
        <v>99</v>
      </c>
      <c r="C229" s="2">
        <f t="shared" si="6"/>
        <v>48239</v>
      </c>
      <c r="D229" s="17">
        <f>D226*1.02</f>
        <v>-3500.6035479810612</v>
      </c>
    </row>
    <row r="230" spans="2:4" x14ac:dyDescent="0.25">
      <c r="B230" t="s">
        <v>98</v>
      </c>
      <c r="C230" s="2">
        <f t="shared" si="6"/>
        <v>48395</v>
      </c>
      <c r="D230" s="17">
        <f t="shared" si="7"/>
        <v>7001.2070959621224</v>
      </c>
    </row>
    <row r="231" spans="2:4" x14ac:dyDescent="0.25">
      <c r="B231" t="s">
        <v>98</v>
      </c>
      <c r="C231" s="2">
        <f t="shared" si="6"/>
        <v>48575</v>
      </c>
      <c r="D231" s="17">
        <f t="shared" si="7"/>
        <v>7001.2070959621224</v>
      </c>
    </row>
    <row r="232" spans="2:4" x14ac:dyDescent="0.25">
      <c r="B232" t="s">
        <v>99</v>
      </c>
      <c r="C232" s="2">
        <f t="shared" si="6"/>
        <v>48605</v>
      </c>
      <c r="D232" s="17">
        <f>D229*1.02</f>
        <v>-3570.6156189406825</v>
      </c>
    </row>
    <row r="233" spans="2:4" x14ac:dyDescent="0.25">
      <c r="B233" t="s">
        <v>98</v>
      </c>
      <c r="C233" s="2">
        <f t="shared" si="6"/>
        <v>48760</v>
      </c>
      <c r="D233" s="17">
        <f t="shared" si="7"/>
        <v>7141.2312378813649</v>
      </c>
    </row>
    <row r="234" spans="2:4" x14ac:dyDescent="0.25">
      <c r="B234" t="s">
        <v>98</v>
      </c>
      <c r="C234" s="2">
        <f t="shared" si="6"/>
        <v>48940</v>
      </c>
      <c r="D234" s="17">
        <f t="shared" si="7"/>
        <v>7141.2312378813649</v>
      </c>
    </row>
    <row r="235" spans="2:4" x14ac:dyDescent="0.25">
      <c r="B235" t="s">
        <v>122</v>
      </c>
      <c r="C235" s="2">
        <f>C234+3</f>
        <v>48943</v>
      </c>
      <c r="D235" s="17">
        <v>450000</v>
      </c>
    </row>
    <row r="236" spans="2:4" x14ac:dyDescent="0.25">
      <c r="D236"/>
    </row>
    <row r="237" spans="2:4" x14ac:dyDescent="0.25">
      <c r="D237"/>
    </row>
    <row r="238" spans="2:4" x14ac:dyDescent="0.25">
      <c r="D238"/>
    </row>
    <row r="239" spans="2:4" x14ac:dyDescent="0.25">
      <c r="D239"/>
    </row>
    <row r="240" spans="2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</sheetData>
  <sortState xmlns:xlrd2="http://schemas.microsoft.com/office/spreadsheetml/2017/richdata2" ref="B19:J26">
    <sortCondition ref="I19:I26"/>
  </sortState>
  <mergeCells count="2">
    <mergeCell ref="D164:G165"/>
    <mergeCell ref="D167:G168"/>
  </mergeCells>
  <conditionalFormatting sqref="H10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F108:K10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8DBD-3B78-4285-8468-77584039F800}">
  <dimension ref="C3:E4"/>
  <sheetViews>
    <sheetView workbookViewId="0">
      <selection activeCell="G7" sqref="G7"/>
    </sheetView>
  </sheetViews>
  <sheetFormatPr defaultRowHeight="15" x14ac:dyDescent="0.25"/>
  <sheetData>
    <row r="3" spans="3:5" x14ac:dyDescent="0.25">
      <c r="C3" t="s">
        <v>183</v>
      </c>
      <c r="D3" s="100" t="s">
        <v>184</v>
      </c>
      <c r="E3" s="100"/>
    </row>
    <row r="4" spans="3:5" x14ac:dyDescent="0.25">
      <c r="C4" t="s">
        <v>185</v>
      </c>
      <c r="D4" s="100" t="s">
        <v>186</v>
      </c>
      <c r="E4" s="100"/>
    </row>
  </sheetData>
  <mergeCells count="2">
    <mergeCell ref="D3:E3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Name</vt:lpstr>
      <vt:lpstr>InvOptions</vt:lpstr>
      <vt:lpstr>Target1</vt:lpstr>
      <vt:lpstr>Year1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Bay</dc:creator>
  <cp:lastModifiedBy>Tony Trotter</cp:lastModifiedBy>
  <dcterms:created xsi:type="dcterms:W3CDTF">2014-07-21T18:27:32Z</dcterms:created>
  <dcterms:modified xsi:type="dcterms:W3CDTF">2021-03-03T20:09:49Z</dcterms:modified>
</cp:coreProperties>
</file>