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Trotter\Desktop\MSF-MRED\Financial Modeling\Completed Work\"/>
    </mc:Choice>
  </mc:AlternateContent>
  <xr:revisionPtr revIDLastSave="0" documentId="8_{639C2F07-B956-4C76-B42F-96A07DE3925C}" xr6:coauthVersionLast="47" xr6:coauthVersionMax="47" xr10:uidLastSave="{00000000-0000-0000-0000-000000000000}"/>
  <bookViews>
    <workbookView xWindow="-120" yWindow="-120" windowWidth="20730" windowHeight="11160" activeTab="2" xr2:uid="{920ED15E-7054-4181-87B5-1EC70B67ECFC}"/>
  </bookViews>
  <sheets>
    <sheet name="Assignment" sheetId="1" r:id="rId1"/>
    <sheet name="LookupSheet" sheetId="5" r:id="rId2"/>
    <sheet name="Summary" sheetId="2" r:id="rId3"/>
    <sheet name="BuyACar" sheetId="3" r:id="rId4"/>
    <sheet name="LeaseACar" sheetId="4" r:id="rId5"/>
  </sheets>
  <definedNames>
    <definedName name="_xlnm._FilterDatabase" localSheetId="4" hidden="1">LeaseACar!$O$17:$P$78</definedName>
    <definedName name="CarTable">LookupSheet!$A$1:$B$61</definedName>
    <definedName name="Column">LookupSheet!$A$1:$B$1</definedName>
    <definedName name="DepreciationTableBuy">BuyACar!$B$10:$E$16</definedName>
    <definedName name="Row">LookupSheet!$A$1:$A$61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4" l="1"/>
  <c r="D67" i="4"/>
  <c r="F67" i="4"/>
  <c r="D43" i="4"/>
  <c r="F43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19" i="4"/>
  <c r="D19" i="4"/>
  <c r="E19" i="4"/>
  <c r="K20" i="3"/>
  <c r="C11" i="3"/>
  <c r="C80" i="3"/>
  <c r="D21" i="3"/>
  <c r="E27" i="3"/>
  <c r="C24" i="3"/>
  <c r="C28" i="3"/>
  <c r="C32" i="3"/>
  <c r="C36" i="3"/>
  <c r="C40" i="3"/>
  <c r="C44" i="3"/>
  <c r="C48" i="3"/>
  <c r="C52" i="3"/>
  <c r="C56" i="3"/>
  <c r="C60" i="3"/>
  <c r="C64" i="3"/>
  <c r="C68" i="3"/>
  <c r="C72" i="3"/>
  <c r="C76" i="3"/>
  <c r="C21" i="3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E74" i="3"/>
  <c r="E42" i="3"/>
  <c r="J19" i="4"/>
  <c r="K19" i="4"/>
  <c r="E60" i="4"/>
  <c r="J60" i="4"/>
  <c r="K60" i="4"/>
  <c r="E76" i="4"/>
  <c r="J76" i="4"/>
  <c r="K76" i="4"/>
  <c r="E53" i="4"/>
  <c r="J53" i="4"/>
  <c r="K53" i="4"/>
  <c r="E68" i="4"/>
  <c r="J68" i="4"/>
  <c r="K68" i="4"/>
  <c r="F19" i="4"/>
  <c r="G19" i="4"/>
  <c r="H19" i="4"/>
  <c r="D20" i="4"/>
  <c r="F20" i="4"/>
  <c r="E47" i="4"/>
  <c r="J47" i="4"/>
  <c r="K47" i="4"/>
  <c r="E22" i="4"/>
  <c r="J22" i="4"/>
  <c r="K22" i="4"/>
  <c r="E65" i="4"/>
  <c r="J65" i="4"/>
  <c r="K65" i="4"/>
  <c r="E59" i="4"/>
  <c r="J59" i="4"/>
  <c r="K59" i="4"/>
  <c r="E52" i="4"/>
  <c r="J52" i="4"/>
  <c r="K52" i="4"/>
  <c r="E72" i="4"/>
  <c r="J72" i="4"/>
  <c r="K72" i="4"/>
  <c r="E64" i="4"/>
  <c r="J64" i="4"/>
  <c r="K64" i="4"/>
  <c r="E57" i="4"/>
  <c r="J57" i="4"/>
  <c r="K57" i="4"/>
  <c r="E49" i="4"/>
  <c r="J49" i="4"/>
  <c r="K49" i="4"/>
  <c r="E43" i="4"/>
  <c r="G43" i="4"/>
  <c r="H43" i="4"/>
  <c r="D44" i="4"/>
  <c r="F44" i="4"/>
  <c r="E63" i="4"/>
  <c r="J63" i="4"/>
  <c r="K63" i="4"/>
  <c r="E55" i="4"/>
  <c r="J55" i="4"/>
  <c r="K55" i="4"/>
  <c r="E48" i="4"/>
  <c r="J48" i="4"/>
  <c r="K48" i="4"/>
  <c r="E20" i="4"/>
  <c r="J20" i="4"/>
  <c r="K20" i="4"/>
  <c r="E67" i="4"/>
  <c r="G67" i="4"/>
  <c r="H67" i="4"/>
  <c r="D68" i="4"/>
  <c r="F68" i="4"/>
  <c r="G68" i="4"/>
  <c r="H68" i="4"/>
  <c r="D69" i="4"/>
  <c r="F69" i="4"/>
  <c r="E75" i="4"/>
  <c r="J75" i="4"/>
  <c r="K75" i="4"/>
  <c r="E71" i="4"/>
  <c r="J71" i="4"/>
  <c r="K71" i="4"/>
  <c r="E38" i="4"/>
  <c r="J38" i="4"/>
  <c r="K38" i="4"/>
  <c r="E44" i="4"/>
  <c r="J44" i="4"/>
  <c r="K44" i="4"/>
  <c r="E61" i="4"/>
  <c r="J61" i="4"/>
  <c r="K61" i="4"/>
  <c r="E56" i="4"/>
  <c r="J56" i="4"/>
  <c r="K56" i="4"/>
  <c r="E51" i="4"/>
  <c r="J51" i="4"/>
  <c r="K51" i="4"/>
  <c r="E45" i="4"/>
  <c r="J45" i="4"/>
  <c r="K45" i="4"/>
  <c r="E78" i="4"/>
  <c r="J78" i="4"/>
  <c r="K78" i="4"/>
  <c r="E74" i="4"/>
  <c r="J74" i="4"/>
  <c r="K74" i="4"/>
  <c r="E70" i="4"/>
  <c r="J70" i="4"/>
  <c r="K70" i="4"/>
  <c r="E27" i="4"/>
  <c r="J27" i="4"/>
  <c r="K27" i="4"/>
  <c r="E77" i="4"/>
  <c r="J77" i="4"/>
  <c r="K77" i="4"/>
  <c r="E73" i="4"/>
  <c r="J73" i="4"/>
  <c r="K73" i="4"/>
  <c r="E69" i="4"/>
  <c r="J69" i="4"/>
  <c r="K69" i="4"/>
  <c r="E32" i="4"/>
  <c r="J32" i="4"/>
  <c r="K32" i="4"/>
  <c r="E66" i="4"/>
  <c r="J66" i="4"/>
  <c r="K66" i="4"/>
  <c r="E62" i="4"/>
  <c r="J62" i="4"/>
  <c r="K62" i="4"/>
  <c r="E58" i="4"/>
  <c r="J58" i="4"/>
  <c r="K58" i="4"/>
  <c r="E54" i="4"/>
  <c r="J54" i="4"/>
  <c r="K54" i="4"/>
  <c r="E50" i="4"/>
  <c r="J50" i="4"/>
  <c r="K50" i="4"/>
  <c r="E46" i="4"/>
  <c r="J46" i="4"/>
  <c r="K46" i="4"/>
  <c r="E42" i="4"/>
  <c r="J42" i="4"/>
  <c r="K42" i="4"/>
  <c r="E36" i="4"/>
  <c r="J36" i="4"/>
  <c r="K36" i="4"/>
  <c r="E31" i="4"/>
  <c r="J31" i="4"/>
  <c r="K31" i="4"/>
  <c r="E26" i="4"/>
  <c r="J26" i="4"/>
  <c r="K26" i="4"/>
  <c r="E40" i="4"/>
  <c r="J40" i="4"/>
  <c r="K40" i="4"/>
  <c r="E35" i="4"/>
  <c r="J35" i="4"/>
  <c r="K35" i="4"/>
  <c r="E30" i="4"/>
  <c r="J30" i="4"/>
  <c r="K30" i="4"/>
  <c r="E24" i="4"/>
  <c r="J24" i="4"/>
  <c r="K24" i="4"/>
  <c r="E39" i="4"/>
  <c r="J39" i="4"/>
  <c r="K39" i="4"/>
  <c r="E34" i="4"/>
  <c r="J34" i="4"/>
  <c r="K34" i="4"/>
  <c r="E28" i="4"/>
  <c r="J28" i="4"/>
  <c r="K28" i="4"/>
  <c r="E23" i="4"/>
  <c r="J23" i="4"/>
  <c r="K23" i="4"/>
  <c r="E41" i="4"/>
  <c r="J41" i="4"/>
  <c r="K41" i="4"/>
  <c r="E37" i="4"/>
  <c r="J37" i="4"/>
  <c r="K37" i="4"/>
  <c r="E33" i="4"/>
  <c r="J33" i="4"/>
  <c r="K33" i="4"/>
  <c r="E29" i="4"/>
  <c r="J29" i="4"/>
  <c r="K29" i="4"/>
  <c r="E25" i="4"/>
  <c r="J25" i="4"/>
  <c r="K25" i="4"/>
  <c r="E21" i="4"/>
  <c r="J21" i="4"/>
  <c r="K21" i="4"/>
  <c r="E70" i="3"/>
  <c r="E38" i="3"/>
  <c r="D12" i="3"/>
  <c r="E12" i="3"/>
  <c r="J21" i="3"/>
  <c r="E58" i="3"/>
  <c r="E25" i="3"/>
  <c r="E54" i="3"/>
  <c r="E23" i="3"/>
  <c r="E66" i="3"/>
  <c r="E50" i="3"/>
  <c r="E34" i="3"/>
  <c r="F21" i="3"/>
  <c r="E78" i="3"/>
  <c r="E62" i="3"/>
  <c r="E46" i="3"/>
  <c r="E30" i="3"/>
  <c r="E24" i="3"/>
  <c r="E77" i="3"/>
  <c r="E73" i="3"/>
  <c r="E65" i="3"/>
  <c r="E61" i="3"/>
  <c r="E57" i="3"/>
  <c r="E53" i="3"/>
  <c r="E49" i="3"/>
  <c r="E45" i="3"/>
  <c r="E41" i="3"/>
  <c r="E37" i="3"/>
  <c r="E29" i="3"/>
  <c r="E21" i="3"/>
  <c r="E80" i="3"/>
  <c r="E76" i="3"/>
  <c r="E72" i="3"/>
  <c r="E68" i="3"/>
  <c r="E64" i="3"/>
  <c r="E60" i="3"/>
  <c r="E56" i="3"/>
  <c r="E52" i="3"/>
  <c r="E48" i="3"/>
  <c r="E44" i="3"/>
  <c r="E40" i="3"/>
  <c r="E36" i="3"/>
  <c r="E32" i="3"/>
  <c r="E28" i="3"/>
  <c r="E26" i="3"/>
  <c r="E69" i="3"/>
  <c r="E33" i="3"/>
  <c r="E22" i="3"/>
  <c r="E79" i="3"/>
  <c r="E75" i="3"/>
  <c r="E71" i="3"/>
  <c r="E67" i="3"/>
  <c r="E63" i="3"/>
  <c r="E59" i="3"/>
  <c r="E55" i="3"/>
  <c r="E51" i="3"/>
  <c r="E47" i="3"/>
  <c r="E43" i="3"/>
  <c r="E39" i="3"/>
  <c r="E35" i="3"/>
  <c r="E31" i="3"/>
  <c r="C79" i="3"/>
  <c r="C75" i="3"/>
  <c r="C71" i="3"/>
  <c r="C67" i="3"/>
  <c r="C63" i="3"/>
  <c r="C59" i="3"/>
  <c r="C55" i="3"/>
  <c r="C51" i="3"/>
  <c r="C47" i="3"/>
  <c r="C43" i="3"/>
  <c r="C39" i="3"/>
  <c r="C35" i="3"/>
  <c r="C31" i="3"/>
  <c r="C27" i="3"/>
  <c r="J27" i="3"/>
  <c r="C23" i="3"/>
  <c r="J23" i="3"/>
  <c r="C78" i="3"/>
  <c r="C74" i="3"/>
  <c r="C70" i="3"/>
  <c r="C66" i="3"/>
  <c r="C62" i="3"/>
  <c r="C58" i="3"/>
  <c r="C54" i="3"/>
  <c r="C50" i="3"/>
  <c r="C46" i="3"/>
  <c r="C42" i="3"/>
  <c r="C38" i="3"/>
  <c r="C34" i="3"/>
  <c r="C30" i="3"/>
  <c r="J30" i="3"/>
  <c r="C26" i="3"/>
  <c r="C22" i="3"/>
  <c r="C77" i="3"/>
  <c r="C73" i="3"/>
  <c r="C69" i="3"/>
  <c r="C65" i="3"/>
  <c r="C61" i="3"/>
  <c r="C57" i="3"/>
  <c r="C53" i="3"/>
  <c r="C49" i="3"/>
  <c r="C45" i="3"/>
  <c r="C41" i="3"/>
  <c r="C37" i="3"/>
  <c r="C33" i="3"/>
  <c r="C29" i="3"/>
  <c r="J29" i="3"/>
  <c r="C25" i="3"/>
  <c r="J25" i="3"/>
  <c r="K21" i="3"/>
  <c r="O21" i="3"/>
  <c r="J24" i="3"/>
  <c r="J22" i="3"/>
  <c r="K22" i="3"/>
  <c r="J26" i="3"/>
  <c r="J31" i="3"/>
  <c r="G21" i="3"/>
  <c r="H21" i="3"/>
  <c r="D22" i="3"/>
  <c r="F22" i="3"/>
  <c r="G22" i="3"/>
  <c r="H22" i="3"/>
  <c r="D23" i="3"/>
  <c r="F23" i="3"/>
  <c r="J43" i="4"/>
  <c r="K43" i="4"/>
  <c r="L51" i="4"/>
  <c r="M51" i="4"/>
  <c r="G20" i="4"/>
  <c r="H20" i="4"/>
  <c r="D21" i="4"/>
  <c r="F21" i="4"/>
  <c r="G21" i="4"/>
  <c r="H21" i="4"/>
  <c r="D22" i="4"/>
  <c r="F22" i="4"/>
  <c r="G22" i="4"/>
  <c r="H22" i="4"/>
  <c r="D23" i="4"/>
  <c r="F23" i="4"/>
  <c r="G23" i="4"/>
  <c r="H23" i="4"/>
  <c r="D24" i="4"/>
  <c r="F24" i="4"/>
  <c r="G24" i="4"/>
  <c r="L19" i="4"/>
  <c r="M19" i="4"/>
  <c r="L20" i="4"/>
  <c r="M20" i="4"/>
  <c r="L22" i="4"/>
  <c r="M22" i="4"/>
  <c r="G69" i="4"/>
  <c r="H69" i="4"/>
  <c r="D70" i="4"/>
  <c r="F70" i="4"/>
  <c r="G70" i="4"/>
  <c r="H70" i="4"/>
  <c r="D71" i="4"/>
  <c r="F71" i="4"/>
  <c r="G71" i="4"/>
  <c r="H71" i="4"/>
  <c r="D72" i="4"/>
  <c r="J67" i="4"/>
  <c r="K67" i="4"/>
  <c r="L71" i="4"/>
  <c r="M71" i="4"/>
  <c r="G44" i="4"/>
  <c r="H44" i="4"/>
  <c r="D45" i="4"/>
  <c r="F45" i="4"/>
  <c r="G45" i="4"/>
  <c r="H45" i="4"/>
  <c r="D46" i="4"/>
  <c r="F46" i="4"/>
  <c r="G46" i="4"/>
  <c r="H46" i="4"/>
  <c r="D47" i="4"/>
  <c r="F47" i="4"/>
  <c r="G47" i="4"/>
  <c r="L36" i="4"/>
  <c r="M36" i="4"/>
  <c r="L27" i="4"/>
  <c r="M27" i="4"/>
  <c r="L38" i="4"/>
  <c r="M38" i="4"/>
  <c r="L31" i="4"/>
  <c r="M31" i="4"/>
  <c r="L24" i="4"/>
  <c r="M24" i="4"/>
  <c r="L40" i="4"/>
  <c r="M40" i="4"/>
  <c r="L26" i="4"/>
  <c r="M26" i="4"/>
  <c r="L42" i="4"/>
  <c r="M42" i="4"/>
  <c r="L35" i="4"/>
  <c r="M35" i="4"/>
  <c r="L28" i="4"/>
  <c r="M28" i="4"/>
  <c r="L34" i="4"/>
  <c r="M34" i="4"/>
  <c r="L21" i="4"/>
  <c r="M21" i="4"/>
  <c r="L25" i="4"/>
  <c r="M25" i="4"/>
  <c r="L29" i="4"/>
  <c r="M29" i="4"/>
  <c r="L33" i="4"/>
  <c r="M33" i="4"/>
  <c r="L37" i="4"/>
  <c r="M37" i="4"/>
  <c r="L41" i="4"/>
  <c r="M41" i="4"/>
  <c r="L30" i="4"/>
  <c r="M30" i="4"/>
  <c r="L39" i="4"/>
  <c r="M39" i="4"/>
  <c r="L32" i="4"/>
  <c r="M32" i="4"/>
  <c r="L23" i="4"/>
  <c r="M23" i="4"/>
  <c r="C12" i="3"/>
  <c r="J28" i="3"/>
  <c r="J32" i="3"/>
  <c r="O30" i="4"/>
  <c r="C6" i="2"/>
  <c r="O32" i="4"/>
  <c r="O34" i="4"/>
  <c r="O36" i="4"/>
  <c r="O38" i="4"/>
  <c r="O40" i="4"/>
  <c r="O42" i="4"/>
  <c r="C7" i="2"/>
  <c r="O21" i="4"/>
  <c r="O25" i="4"/>
  <c r="O33" i="4"/>
  <c r="O35" i="4"/>
  <c r="O39" i="4"/>
  <c r="O20" i="4"/>
  <c r="O24" i="4"/>
  <c r="O28" i="4"/>
  <c r="O29" i="4"/>
  <c r="O31" i="4"/>
  <c r="O37" i="4"/>
  <c r="O41" i="4"/>
  <c r="O22" i="4"/>
  <c r="O26" i="4"/>
  <c r="O27" i="4"/>
  <c r="O19" i="4"/>
  <c r="O23" i="4"/>
  <c r="L68" i="4"/>
  <c r="M68" i="4"/>
  <c r="L48" i="4"/>
  <c r="M48" i="4"/>
  <c r="L72" i="4"/>
  <c r="M72" i="4"/>
  <c r="L69" i="4"/>
  <c r="M69" i="4"/>
  <c r="L70" i="4"/>
  <c r="M70" i="4"/>
  <c r="L73" i="4"/>
  <c r="M73" i="4"/>
  <c r="L77" i="4"/>
  <c r="M77" i="4"/>
  <c r="L76" i="4"/>
  <c r="M76" i="4"/>
  <c r="L78" i="4"/>
  <c r="M78" i="4"/>
  <c r="L67" i="4"/>
  <c r="M67" i="4"/>
  <c r="L75" i="4"/>
  <c r="M75" i="4"/>
  <c r="L74" i="4"/>
  <c r="M74" i="4"/>
  <c r="L47" i="4"/>
  <c r="M47" i="4"/>
  <c r="L45" i="4"/>
  <c r="M45" i="4"/>
  <c r="L54" i="4"/>
  <c r="M54" i="4"/>
  <c r="L63" i="4"/>
  <c r="M63" i="4"/>
  <c r="L64" i="4"/>
  <c r="M64" i="4"/>
  <c r="L66" i="4"/>
  <c r="M66" i="4"/>
  <c r="L60" i="4"/>
  <c r="M60" i="4"/>
  <c r="L44" i="4"/>
  <c r="M44" i="4"/>
  <c r="L65" i="4"/>
  <c r="M65" i="4"/>
  <c r="L49" i="4"/>
  <c r="M49" i="4"/>
  <c r="L59" i="4"/>
  <c r="M59" i="4"/>
  <c r="L58" i="4"/>
  <c r="M58" i="4"/>
  <c r="L55" i="4"/>
  <c r="M55" i="4"/>
  <c r="L61" i="4"/>
  <c r="M61" i="4"/>
  <c r="L62" i="4"/>
  <c r="M62" i="4"/>
  <c r="L46" i="4"/>
  <c r="M46" i="4"/>
  <c r="L56" i="4"/>
  <c r="M56" i="4"/>
  <c r="L50" i="4"/>
  <c r="M50" i="4"/>
  <c r="L52" i="4"/>
  <c r="M52" i="4"/>
  <c r="L53" i="4"/>
  <c r="M53" i="4"/>
  <c r="L57" i="4"/>
  <c r="M57" i="4"/>
  <c r="L43" i="4"/>
  <c r="G23" i="3"/>
  <c r="H23" i="3"/>
  <c r="D24" i="3"/>
  <c r="F24" i="3"/>
  <c r="G24" i="3"/>
  <c r="H24" i="3"/>
  <c r="D25" i="3"/>
  <c r="F25" i="3"/>
  <c r="O23" i="3"/>
  <c r="L21" i="3"/>
  <c r="M21" i="3"/>
  <c r="N21" i="3"/>
  <c r="O22" i="3"/>
  <c r="H47" i="4"/>
  <c r="D48" i="4"/>
  <c r="F48" i="4"/>
  <c r="G48" i="4"/>
  <c r="H48" i="4"/>
  <c r="D49" i="4"/>
  <c r="F72" i="4"/>
  <c r="G72" i="4"/>
  <c r="H72" i="4"/>
  <c r="D73" i="4"/>
  <c r="K23" i="3"/>
  <c r="L22" i="3"/>
  <c r="M22" i="3"/>
  <c r="N22" i="3"/>
  <c r="N20" i="4"/>
  <c r="H24" i="4"/>
  <c r="D25" i="4"/>
  <c r="F25" i="4"/>
  <c r="G25" i="4"/>
  <c r="H25" i="4"/>
  <c r="D26" i="4"/>
  <c r="F26" i="4"/>
  <c r="G26" i="4"/>
  <c r="H26" i="4"/>
  <c r="D27" i="4"/>
  <c r="F27" i="4"/>
  <c r="G27" i="4"/>
  <c r="H27" i="4"/>
  <c r="D28" i="4"/>
  <c r="F28" i="4"/>
  <c r="G28" i="4"/>
  <c r="H28" i="4"/>
  <c r="D29" i="4"/>
  <c r="F29" i="4"/>
  <c r="G29" i="4"/>
  <c r="H29" i="4"/>
  <c r="D30" i="4"/>
  <c r="F30" i="4"/>
  <c r="G30" i="4"/>
  <c r="H30" i="4"/>
  <c r="D31" i="4"/>
  <c r="F31" i="4"/>
  <c r="G31" i="4"/>
  <c r="H31" i="4"/>
  <c r="D32" i="4"/>
  <c r="F32" i="4"/>
  <c r="G32" i="4"/>
  <c r="H32" i="4"/>
  <c r="D33" i="4"/>
  <c r="F33" i="4"/>
  <c r="G33" i="4"/>
  <c r="H33" i="4"/>
  <c r="D34" i="4"/>
  <c r="F34" i="4"/>
  <c r="G34" i="4"/>
  <c r="H34" i="4"/>
  <c r="D35" i="4"/>
  <c r="F35" i="4"/>
  <c r="G35" i="4"/>
  <c r="H35" i="4"/>
  <c r="D36" i="4"/>
  <c r="D13" i="3"/>
  <c r="E13" i="3"/>
  <c r="N19" i="4"/>
  <c r="P21" i="3"/>
  <c r="P22" i="3"/>
  <c r="C13" i="3"/>
  <c r="D14" i="3"/>
  <c r="O24" i="3"/>
  <c r="G25" i="3"/>
  <c r="H25" i="3"/>
  <c r="D26" i="3"/>
  <c r="F26" i="3"/>
  <c r="O25" i="3"/>
  <c r="F73" i="4"/>
  <c r="G73" i="4"/>
  <c r="H73" i="4"/>
  <c r="D74" i="4"/>
  <c r="F49" i="4"/>
  <c r="G49" i="4"/>
  <c r="H49" i="4"/>
  <c r="D50" i="4"/>
  <c r="K24" i="3"/>
  <c r="L23" i="3"/>
  <c r="M23" i="3"/>
  <c r="N23" i="3"/>
  <c r="N21" i="4"/>
  <c r="F36" i="4"/>
  <c r="G36" i="4"/>
  <c r="H36" i="4"/>
  <c r="D37" i="4"/>
  <c r="F37" i="4"/>
  <c r="G37" i="4"/>
  <c r="H37" i="4"/>
  <c r="D38" i="4"/>
  <c r="F38" i="4"/>
  <c r="G38" i="4"/>
  <c r="H38" i="4"/>
  <c r="D39" i="4"/>
  <c r="F39" i="4"/>
  <c r="G39" i="4"/>
  <c r="H39" i="4"/>
  <c r="D40" i="4"/>
  <c r="F40" i="4"/>
  <c r="G40" i="4"/>
  <c r="H40" i="4"/>
  <c r="D41" i="4"/>
  <c r="F41" i="4"/>
  <c r="G41" i="4"/>
  <c r="H41" i="4"/>
  <c r="D42" i="4"/>
  <c r="F42" i="4"/>
  <c r="G42" i="4"/>
  <c r="H42" i="4"/>
  <c r="J36" i="3"/>
  <c r="J44" i="3"/>
  <c r="J40" i="3"/>
  <c r="J37" i="3"/>
  <c r="J35" i="3"/>
  <c r="J39" i="3"/>
  <c r="J43" i="3"/>
  <c r="J33" i="3"/>
  <c r="J34" i="3"/>
  <c r="J41" i="3"/>
  <c r="J38" i="3"/>
  <c r="J42" i="3"/>
  <c r="P23" i="3"/>
  <c r="P19" i="4"/>
  <c r="P20" i="4"/>
  <c r="P21" i="4"/>
  <c r="E14" i="3"/>
  <c r="C14" i="3"/>
  <c r="G26" i="3"/>
  <c r="H26" i="3"/>
  <c r="D27" i="3"/>
  <c r="F27" i="3"/>
  <c r="O26" i="3"/>
  <c r="F74" i="4"/>
  <c r="G74" i="4"/>
  <c r="H74" i="4"/>
  <c r="D75" i="4"/>
  <c r="F50" i="4"/>
  <c r="G50" i="4"/>
  <c r="H50" i="4"/>
  <c r="D51" i="4"/>
  <c r="K25" i="3"/>
  <c r="L24" i="3"/>
  <c r="M24" i="3"/>
  <c r="N24" i="3"/>
  <c r="J52" i="3"/>
  <c r="J48" i="3"/>
  <c r="J56" i="3"/>
  <c r="J47" i="3"/>
  <c r="J50" i="3"/>
  <c r="J46" i="3"/>
  <c r="J53" i="3"/>
  <c r="J51" i="3"/>
  <c r="J55" i="3"/>
  <c r="J45" i="3"/>
  <c r="J54" i="3"/>
  <c r="J49" i="3"/>
  <c r="N22" i="4"/>
  <c r="P24" i="3"/>
  <c r="D15" i="3"/>
  <c r="E15" i="3"/>
  <c r="G27" i="3"/>
  <c r="H27" i="3"/>
  <c r="D28" i="3"/>
  <c r="F28" i="3"/>
  <c r="O27" i="3"/>
  <c r="F75" i="4"/>
  <c r="G75" i="4"/>
  <c r="H75" i="4"/>
  <c r="D76" i="4"/>
  <c r="F51" i="4"/>
  <c r="G51" i="4"/>
  <c r="H51" i="4"/>
  <c r="D52" i="4"/>
  <c r="K26" i="3"/>
  <c r="L25" i="3"/>
  <c r="M25" i="3"/>
  <c r="N25" i="3"/>
  <c r="P22" i="4"/>
  <c r="N23" i="4"/>
  <c r="P25" i="3"/>
  <c r="C15" i="3"/>
  <c r="J64" i="3"/>
  <c r="J57" i="3"/>
  <c r="J67" i="3"/>
  <c r="J60" i="3"/>
  <c r="J58" i="3"/>
  <c r="J59" i="3"/>
  <c r="J63" i="3"/>
  <c r="J66" i="3"/>
  <c r="J68" i="3"/>
  <c r="J61" i="3"/>
  <c r="J62" i="3"/>
  <c r="J65" i="3"/>
  <c r="G28" i="3"/>
  <c r="H28" i="3"/>
  <c r="D29" i="3"/>
  <c r="F29" i="3"/>
  <c r="O28" i="3"/>
  <c r="F76" i="4"/>
  <c r="G76" i="4"/>
  <c r="H76" i="4"/>
  <c r="D77" i="4"/>
  <c r="F52" i="4"/>
  <c r="G52" i="4"/>
  <c r="H52" i="4"/>
  <c r="D53" i="4"/>
  <c r="K27" i="3"/>
  <c r="L26" i="3"/>
  <c r="M26" i="3"/>
  <c r="N26" i="3"/>
  <c r="N24" i="4"/>
  <c r="P23" i="4"/>
  <c r="P24" i="4"/>
  <c r="P26" i="3"/>
  <c r="D16" i="3"/>
  <c r="E16" i="3"/>
  <c r="G29" i="3"/>
  <c r="H29" i="3"/>
  <c r="D30" i="3"/>
  <c r="F30" i="3"/>
  <c r="O29" i="3"/>
  <c r="F77" i="4"/>
  <c r="G77" i="4"/>
  <c r="H77" i="4"/>
  <c r="D78" i="4"/>
  <c r="F53" i="4"/>
  <c r="G53" i="4"/>
  <c r="H53" i="4"/>
  <c r="D54" i="4"/>
  <c r="K28" i="3"/>
  <c r="L27" i="3"/>
  <c r="M27" i="3"/>
  <c r="N27" i="3"/>
  <c r="N25" i="4"/>
  <c r="P27" i="3"/>
  <c r="C16" i="3"/>
  <c r="J80" i="3"/>
  <c r="J69" i="3"/>
  <c r="J70" i="3"/>
  <c r="J77" i="3"/>
  <c r="J73" i="3"/>
  <c r="J76" i="3"/>
  <c r="J78" i="3"/>
  <c r="J74" i="3"/>
  <c r="J79" i="3"/>
  <c r="J75" i="3"/>
  <c r="J72" i="3"/>
  <c r="J71" i="3"/>
  <c r="G30" i="3"/>
  <c r="H30" i="3"/>
  <c r="D31" i="3"/>
  <c r="F31" i="3"/>
  <c r="O30" i="3"/>
  <c r="F78" i="4"/>
  <c r="G78" i="4"/>
  <c r="H78" i="4"/>
  <c r="F54" i="4"/>
  <c r="G54" i="4"/>
  <c r="H54" i="4"/>
  <c r="D55" i="4"/>
  <c r="K29" i="3"/>
  <c r="L28" i="3"/>
  <c r="M28" i="3"/>
  <c r="N28" i="3"/>
  <c r="N26" i="4"/>
  <c r="P28" i="3"/>
  <c r="P25" i="4"/>
  <c r="P26" i="4"/>
  <c r="G31" i="3"/>
  <c r="H31" i="3"/>
  <c r="D32" i="3"/>
  <c r="F32" i="3"/>
  <c r="O31" i="3"/>
  <c r="F55" i="4"/>
  <c r="G55" i="4"/>
  <c r="H55" i="4"/>
  <c r="D56" i="4"/>
  <c r="K30" i="3"/>
  <c r="L29" i="3"/>
  <c r="M29" i="3"/>
  <c r="N29" i="3"/>
  <c r="N27" i="4"/>
  <c r="P29" i="3"/>
  <c r="G32" i="3"/>
  <c r="H32" i="3"/>
  <c r="D33" i="3"/>
  <c r="F33" i="3"/>
  <c r="O32" i="3"/>
  <c r="F56" i="4"/>
  <c r="G56" i="4"/>
  <c r="H56" i="4"/>
  <c r="D57" i="4"/>
  <c r="K31" i="3"/>
  <c r="L30" i="3"/>
  <c r="M30" i="3"/>
  <c r="N30" i="3"/>
  <c r="N28" i="4"/>
  <c r="P30" i="3"/>
  <c r="P27" i="4"/>
  <c r="P28" i="4"/>
  <c r="G33" i="3"/>
  <c r="H33" i="3"/>
  <c r="D34" i="3"/>
  <c r="F34" i="3"/>
  <c r="O33" i="3"/>
  <c r="F57" i="4"/>
  <c r="G57" i="4"/>
  <c r="H57" i="4"/>
  <c r="D58" i="4"/>
  <c r="K32" i="3"/>
  <c r="L31" i="3"/>
  <c r="M31" i="3"/>
  <c r="N31" i="3"/>
  <c r="N29" i="4"/>
  <c r="P31" i="3"/>
  <c r="G34" i="3"/>
  <c r="H34" i="3"/>
  <c r="D35" i="3"/>
  <c r="F35" i="3"/>
  <c r="O34" i="3"/>
  <c r="F58" i="4"/>
  <c r="G58" i="4"/>
  <c r="H58" i="4"/>
  <c r="D59" i="4"/>
  <c r="K33" i="3"/>
  <c r="L32" i="3"/>
  <c r="M32" i="3"/>
  <c r="N32" i="3"/>
  <c r="N30" i="4"/>
  <c r="P32" i="3"/>
  <c r="P30" i="4"/>
  <c r="P29" i="4"/>
  <c r="G35" i="3"/>
  <c r="H35" i="3"/>
  <c r="D36" i="3"/>
  <c r="F36" i="3"/>
  <c r="O35" i="3"/>
  <c r="F59" i="4"/>
  <c r="G59" i="4"/>
  <c r="H59" i="4"/>
  <c r="D60" i="4"/>
  <c r="K34" i="3"/>
  <c r="L33" i="3"/>
  <c r="M33" i="3"/>
  <c r="N33" i="3"/>
  <c r="N31" i="4"/>
  <c r="P31" i="4"/>
  <c r="P33" i="3"/>
  <c r="D6" i="2"/>
  <c r="E6" i="2"/>
  <c r="G36" i="3"/>
  <c r="H36" i="3"/>
  <c r="D37" i="3"/>
  <c r="F37" i="3"/>
  <c r="O36" i="3"/>
  <c r="F60" i="4"/>
  <c r="G60" i="4"/>
  <c r="H60" i="4"/>
  <c r="D61" i="4"/>
  <c r="K35" i="3"/>
  <c r="L34" i="3"/>
  <c r="M34" i="3"/>
  <c r="N34" i="3"/>
  <c r="N32" i="4"/>
  <c r="P32" i="4"/>
  <c r="P34" i="3"/>
  <c r="G37" i="3"/>
  <c r="H37" i="3"/>
  <c r="D38" i="3"/>
  <c r="F38" i="3"/>
  <c r="O37" i="3"/>
  <c r="F61" i="4"/>
  <c r="G61" i="4"/>
  <c r="H61" i="4"/>
  <c r="D62" i="4"/>
  <c r="K36" i="3"/>
  <c r="L35" i="3"/>
  <c r="M35" i="3"/>
  <c r="N35" i="3"/>
  <c r="N33" i="4"/>
  <c r="P33" i="4"/>
  <c r="P35" i="3"/>
  <c r="G38" i="3"/>
  <c r="H38" i="3"/>
  <c r="D39" i="3"/>
  <c r="F39" i="3"/>
  <c r="O38" i="3"/>
  <c r="F62" i="4"/>
  <c r="G62" i="4"/>
  <c r="H62" i="4"/>
  <c r="D63" i="4"/>
  <c r="K37" i="3"/>
  <c r="L36" i="3"/>
  <c r="M36" i="3"/>
  <c r="N36" i="3"/>
  <c r="N34" i="4"/>
  <c r="P34" i="4"/>
  <c r="P36" i="3"/>
  <c r="G39" i="3"/>
  <c r="H39" i="3"/>
  <c r="D40" i="3"/>
  <c r="F40" i="3"/>
  <c r="O39" i="3"/>
  <c r="F63" i="4"/>
  <c r="G63" i="4"/>
  <c r="H63" i="4"/>
  <c r="D64" i="4"/>
  <c r="K38" i="3"/>
  <c r="L37" i="3"/>
  <c r="M37" i="3"/>
  <c r="N37" i="3"/>
  <c r="N35" i="4"/>
  <c r="P35" i="4"/>
  <c r="P37" i="3"/>
  <c r="G40" i="3"/>
  <c r="H40" i="3"/>
  <c r="D41" i="3"/>
  <c r="F41" i="3"/>
  <c r="O40" i="3"/>
  <c r="F64" i="4"/>
  <c r="G64" i="4"/>
  <c r="H64" i="4"/>
  <c r="D65" i="4"/>
  <c r="K39" i="3"/>
  <c r="L38" i="3"/>
  <c r="M38" i="3"/>
  <c r="N38" i="3"/>
  <c r="N36" i="4"/>
  <c r="P36" i="4"/>
  <c r="P38" i="3"/>
  <c r="G41" i="3"/>
  <c r="H41" i="3"/>
  <c r="D42" i="3"/>
  <c r="F42" i="3"/>
  <c r="O41" i="3"/>
  <c r="F65" i="4"/>
  <c r="G65" i="4"/>
  <c r="H65" i="4"/>
  <c r="D66" i="4"/>
  <c r="K40" i="3"/>
  <c r="L39" i="3"/>
  <c r="M39" i="3"/>
  <c r="N39" i="3"/>
  <c r="N37" i="4"/>
  <c r="P37" i="4"/>
  <c r="P39" i="3"/>
  <c r="G42" i="3"/>
  <c r="H42" i="3"/>
  <c r="D43" i="3"/>
  <c r="F43" i="3"/>
  <c r="O42" i="3"/>
  <c r="F66" i="4"/>
  <c r="G66" i="4"/>
  <c r="H66" i="4"/>
  <c r="K41" i="3"/>
  <c r="L40" i="3"/>
  <c r="M40" i="3"/>
  <c r="N40" i="3"/>
  <c r="N38" i="4"/>
  <c r="P38" i="4"/>
  <c r="P40" i="3"/>
  <c r="G43" i="3"/>
  <c r="H43" i="3"/>
  <c r="D44" i="3"/>
  <c r="F44" i="3"/>
  <c r="O43" i="3"/>
  <c r="K42" i="3"/>
  <c r="L41" i="3"/>
  <c r="M41" i="3"/>
  <c r="N41" i="3"/>
  <c r="N39" i="4"/>
  <c r="P39" i="4"/>
  <c r="P41" i="3"/>
  <c r="G44" i="3"/>
  <c r="H44" i="3"/>
  <c r="D45" i="3"/>
  <c r="F45" i="3"/>
  <c r="O44" i="3"/>
  <c r="K43" i="3"/>
  <c r="L42" i="3"/>
  <c r="M42" i="3"/>
  <c r="N42" i="3"/>
  <c r="N40" i="4"/>
  <c r="P40" i="4"/>
  <c r="P42" i="3"/>
  <c r="G45" i="3"/>
  <c r="H45" i="3"/>
  <c r="D46" i="3"/>
  <c r="F46" i="3"/>
  <c r="O45" i="3"/>
  <c r="K44" i="3"/>
  <c r="L43" i="3"/>
  <c r="M43" i="3"/>
  <c r="N43" i="3"/>
  <c r="N41" i="4"/>
  <c r="P41" i="4"/>
  <c r="P43" i="3"/>
  <c r="G46" i="3"/>
  <c r="H46" i="3"/>
  <c r="D47" i="3"/>
  <c r="F47" i="3"/>
  <c r="O46" i="3"/>
  <c r="K45" i="3"/>
  <c r="L44" i="3"/>
  <c r="M44" i="3"/>
  <c r="N44" i="3"/>
  <c r="N42" i="4"/>
  <c r="P44" i="3"/>
  <c r="G47" i="3"/>
  <c r="H47" i="3"/>
  <c r="D48" i="3"/>
  <c r="F48" i="3"/>
  <c r="O47" i="3"/>
  <c r="K46" i="3"/>
  <c r="L45" i="3"/>
  <c r="M45" i="3"/>
  <c r="N45" i="3"/>
  <c r="N43" i="4"/>
  <c r="P43" i="4"/>
  <c r="P45" i="3"/>
  <c r="P42" i="4"/>
  <c r="D7" i="2"/>
  <c r="E7" i="2"/>
  <c r="G48" i="3"/>
  <c r="H48" i="3"/>
  <c r="D49" i="3"/>
  <c r="F49" i="3"/>
  <c r="O48" i="3"/>
  <c r="K47" i="3"/>
  <c r="L46" i="3"/>
  <c r="M46" i="3"/>
  <c r="N46" i="3"/>
  <c r="N44" i="4"/>
  <c r="P44" i="4"/>
  <c r="P46" i="3"/>
  <c r="G49" i="3"/>
  <c r="H49" i="3"/>
  <c r="D50" i="3"/>
  <c r="F50" i="3"/>
  <c r="O49" i="3"/>
  <c r="K48" i="3"/>
  <c r="L47" i="3"/>
  <c r="M47" i="3"/>
  <c r="N47" i="3"/>
  <c r="N45" i="4"/>
  <c r="P45" i="4"/>
  <c r="P47" i="3"/>
  <c r="G50" i="3"/>
  <c r="H50" i="3"/>
  <c r="D51" i="3"/>
  <c r="F51" i="3"/>
  <c r="O50" i="3"/>
  <c r="K49" i="3"/>
  <c r="L48" i="3"/>
  <c r="M48" i="3"/>
  <c r="N48" i="3"/>
  <c r="N46" i="4"/>
  <c r="P46" i="4"/>
  <c r="P48" i="3"/>
  <c r="G51" i="3"/>
  <c r="H51" i="3"/>
  <c r="D52" i="3"/>
  <c r="F52" i="3"/>
  <c r="O51" i="3"/>
  <c r="K50" i="3"/>
  <c r="L49" i="3"/>
  <c r="M49" i="3"/>
  <c r="N49" i="3"/>
  <c r="N47" i="4"/>
  <c r="P47" i="4"/>
  <c r="P49" i="3"/>
  <c r="G52" i="3"/>
  <c r="H52" i="3"/>
  <c r="D53" i="3"/>
  <c r="F53" i="3"/>
  <c r="O52" i="3"/>
  <c r="K51" i="3"/>
  <c r="L50" i="3"/>
  <c r="M50" i="3"/>
  <c r="N50" i="3"/>
  <c r="N48" i="4"/>
  <c r="P48" i="4"/>
  <c r="P50" i="3"/>
  <c r="G53" i="3"/>
  <c r="H53" i="3"/>
  <c r="D54" i="3"/>
  <c r="F54" i="3"/>
  <c r="O53" i="3"/>
  <c r="K52" i="3"/>
  <c r="L51" i="3"/>
  <c r="M51" i="3"/>
  <c r="N51" i="3"/>
  <c r="N49" i="4"/>
  <c r="P49" i="4"/>
  <c r="P51" i="3"/>
  <c r="G54" i="3"/>
  <c r="H54" i="3"/>
  <c r="D55" i="3"/>
  <c r="F55" i="3"/>
  <c r="O54" i="3"/>
  <c r="K53" i="3"/>
  <c r="L52" i="3"/>
  <c r="M52" i="3"/>
  <c r="N52" i="3"/>
  <c r="N50" i="4"/>
  <c r="P50" i="4"/>
  <c r="P52" i="3"/>
  <c r="G55" i="3"/>
  <c r="H55" i="3"/>
  <c r="D56" i="3"/>
  <c r="F56" i="3"/>
  <c r="O55" i="3"/>
  <c r="K54" i="3"/>
  <c r="L53" i="3"/>
  <c r="M53" i="3"/>
  <c r="N53" i="3"/>
  <c r="N51" i="4"/>
  <c r="P51" i="4"/>
  <c r="P53" i="3"/>
  <c r="G56" i="3"/>
  <c r="H56" i="3"/>
  <c r="D57" i="3"/>
  <c r="F57" i="3"/>
  <c r="O56" i="3"/>
  <c r="K55" i="3"/>
  <c r="L54" i="3"/>
  <c r="M54" i="3"/>
  <c r="N54" i="3"/>
  <c r="N52" i="4"/>
  <c r="P52" i="4"/>
  <c r="P54" i="3"/>
  <c r="G57" i="3"/>
  <c r="H57" i="3"/>
  <c r="D58" i="3"/>
  <c r="F58" i="3"/>
  <c r="O57" i="3"/>
  <c r="K56" i="3"/>
  <c r="L55" i="3"/>
  <c r="M55" i="3"/>
  <c r="N55" i="3"/>
  <c r="N53" i="4"/>
  <c r="P53" i="4"/>
  <c r="P55" i="3"/>
  <c r="G58" i="3"/>
  <c r="H58" i="3"/>
  <c r="D59" i="3"/>
  <c r="F59" i="3"/>
  <c r="O58" i="3"/>
  <c r="K57" i="3"/>
  <c r="L56" i="3"/>
  <c r="M56" i="3"/>
  <c r="N56" i="3"/>
  <c r="N54" i="4"/>
  <c r="P56" i="3"/>
  <c r="G59" i="3"/>
  <c r="H59" i="3"/>
  <c r="D60" i="3"/>
  <c r="O59" i="3"/>
  <c r="K58" i="3"/>
  <c r="L57" i="3"/>
  <c r="M57" i="3"/>
  <c r="N57" i="3"/>
  <c r="N55" i="4"/>
  <c r="P55" i="4"/>
  <c r="P57" i="3"/>
  <c r="P54" i="4"/>
  <c r="D8" i="2"/>
  <c r="F60" i="3"/>
  <c r="K59" i="3"/>
  <c r="L58" i="3"/>
  <c r="M58" i="3"/>
  <c r="N58" i="3"/>
  <c r="N56" i="4"/>
  <c r="P56" i="4"/>
  <c r="P58" i="3"/>
  <c r="G60" i="3"/>
  <c r="H60" i="3"/>
  <c r="D61" i="3"/>
  <c r="F61" i="3"/>
  <c r="O60" i="3"/>
  <c r="K60" i="3"/>
  <c r="L59" i="3"/>
  <c r="M59" i="3"/>
  <c r="N59" i="3"/>
  <c r="N57" i="4"/>
  <c r="P57" i="4"/>
  <c r="P59" i="3"/>
  <c r="G61" i="3"/>
  <c r="H61" i="3"/>
  <c r="D62" i="3"/>
  <c r="F62" i="3"/>
  <c r="O61" i="3"/>
  <c r="K61" i="3"/>
  <c r="L60" i="3"/>
  <c r="M60" i="3"/>
  <c r="N60" i="3"/>
  <c r="N58" i="4"/>
  <c r="P58" i="4"/>
  <c r="P60" i="3"/>
  <c r="G62" i="3"/>
  <c r="H62" i="3"/>
  <c r="D63" i="3"/>
  <c r="F63" i="3"/>
  <c r="O62" i="3"/>
  <c r="K62" i="3"/>
  <c r="L61" i="3"/>
  <c r="M61" i="3"/>
  <c r="N61" i="3"/>
  <c r="N59" i="4"/>
  <c r="P59" i="4"/>
  <c r="P61" i="3"/>
  <c r="G63" i="3"/>
  <c r="H63" i="3"/>
  <c r="D64" i="3"/>
  <c r="F64" i="3"/>
  <c r="O63" i="3"/>
  <c r="K63" i="3"/>
  <c r="L62" i="3"/>
  <c r="M62" i="3"/>
  <c r="N62" i="3"/>
  <c r="N60" i="4"/>
  <c r="P60" i="4"/>
  <c r="P62" i="3"/>
  <c r="G64" i="3"/>
  <c r="H64" i="3"/>
  <c r="D65" i="3"/>
  <c r="F65" i="3"/>
  <c r="O64" i="3"/>
  <c r="K64" i="3"/>
  <c r="L63" i="3"/>
  <c r="M63" i="3"/>
  <c r="N63" i="3"/>
  <c r="N61" i="4"/>
  <c r="P61" i="4"/>
  <c r="P63" i="3"/>
  <c r="G65" i="3"/>
  <c r="H65" i="3"/>
  <c r="D66" i="3"/>
  <c r="F66" i="3"/>
  <c r="O65" i="3"/>
  <c r="K65" i="3"/>
  <c r="L64" i="3"/>
  <c r="M64" i="3"/>
  <c r="N64" i="3"/>
  <c r="N62" i="4"/>
  <c r="P62" i="4"/>
  <c r="P64" i="3"/>
  <c r="G66" i="3"/>
  <c r="H66" i="3"/>
  <c r="D67" i="3"/>
  <c r="F67" i="3"/>
  <c r="O66" i="3"/>
  <c r="K66" i="3"/>
  <c r="L65" i="3"/>
  <c r="M65" i="3"/>
  <c r="N65" i="3"/>
  <c r="N63" i="4"/>
  <c r="P63" i="4"/>
  <c r="P65" i="3"/>
  <c r="G67" i="3"/>
  <c r="H67" i="3"/>
  <c r="D68" i="3"/>
  <c r="F68" i="3"/>
  <c r="O67" i="3"/>
  <c r="K67" i="3"/>
  <c r="L66" i="3"/>
  <c r="M66" i="3"/>
  <c r="N66" i="3"/>
  <c r="N64" i="4"/>
  <c r="P64" i="4"/>
  <c r="P66" i="3"/>
  <c r="G68" i="3"/>
  <c r="H68" i="3"/>
  <c r="D69" i="3"/>
  <c r="F69" i="3"/>
  <c r="O68" i="3"/>
  <c r="K68" i="3"/>
  <c r="L67" i="3"/>
  <c r="M67" i="3"/>
  <c r="N67" i="3"/>
  <c r="N65" i="4"/>
  <c r="P65" i="4"/>
  <c r="P67" i="3"/>
  <c r="G69" i="3"/>
  <c r="H69" i="3"/>
  <c r="D70" i="3"/>
  <c r="F70" i="3"/>
  <c r="O69" i="3"/>
  <c r="K69" i="3"/>
  <c r="L68" i="3"/>
  <c r="M68" i="3"/>
  <c r="N68" i="3"/>
  <c r="N66" i="4"/>
  <c r="P68" i="3"/>
  <c r="G70" i="3"/>
  <c r="H70" i="3"/>
  <c r="D71" i="3"/>
  <c r="F71" i="3"/>
  <c r="O70" i="3"/>
  <c r="K70" i="3"/>
  <c r="L69" i="3"/>
  <c r="M69" i="3"/>
  <c r="N69" i="3"/>
  <c r="N67" i="4"/>
  <c r="P67" i="4"/>
  <c r="P69" i="3"/>
  <c r="P66" i="4"/>
  <c r="D9" i="2"/>
  <c r="G71" i="3"/>
  <c r="H71" i="3"/>
  <c r="D72" i="3"/>
  <c r="F72" i="3"/>
  <c r="O71" i="3"/>
  <c r="K71" i="3"/>
  <c r="L70" i="3"/>
  <c r="M70" i="3"/>
  <c r="N70" i="3"/>
  <c r="N68" i="4"/>
  <c r="P68" i="4"/>
  <c r="P70" i="3"/>
  <c r="G72" i="3"/>
  <c r="H72" i="3"/>
  <c r="D73" i="3"/>
  <c r="F73" i="3"/>
  <c r="O72" i="3"/>
  <c r="K72" i="3"/>
  <c r="L71" i="3"/>
  <c r="M71" i="3"/>
  <c r="N71" i="3"/>
  <c r="N69" i="4"/>
  <c r="P69" i="4"/>
  <c r="P71" i="3"/>
  <c r="G73" i="3"/>
  <c r="H73" i="3"/>
  <c r="D74" i="3"/>
  <c r="F74" i="3"/>
  <c r="O73" i="3"/>
  <c r="K73" i="3"/>
  <c r="L72" i="3"/>
  <c r="M72" i="3"/>
  <c r="N72" i="3"/>
  <c r="N70" i="4"/>
  <c r="P70" i="4"/>
  <c r="P72" i="3"/>
  <c r="G74" i="3"/>
  <c r="H74" i="3"/>
  <c r="D75" i="3"/>
  <c r="F75" i="3"/>
  <c r="O74" i="3"/>
  <c r="K74" i="3"/>
  <c r="L73" i="3"/>
  <c r="M73" i="3"/>
  <c r="N73" i="3"/>
  <c r="N71" i="4"/>
  <c r="P71" i="4"/>
  <c r="P73" i="3"/>
  <c r="G75" i="3"/>
  <c r="H75" i="3"/>
  <c r="D76" i="3"/>
  <c r="O75" i="3"/>
  <c r="K75" i="3"/>
  <c r="L74" i="3"/>
  <c r="M74" i="3"/>
  <c r="N74" i="3"/>
  <c r="N72" i="4"/>
  <c r="P72" i="4"/>
  <c r="P74" i="3"/>
  <c r="F76" i="3"/>
  <c r="K76" i="3"/>
  <c r="L75" i="3"/>
  <c r="M75" i="3"/>
  <c r="N75" i="3"/>
  <c r="N73" i="4"/>
  <c r="P73" i="4"/>
  <c r="P75" i="3"/>
  <c r="G76" i="3"/>
  <c r="H76" i="3"/>
  <c r="D77" i="3"/>
  <c r="F77" i="3"/>
  <c r="O76" i="3"/>
  <c r="K77" i="3"/>
  <c r="L76" i="3"/>
  <c r="M76" i="3"/>
  <c r="N76" i="3"/>
  <c r="N74" i="4"/>
  <c r="P74" i="4"/>
  <c r="G77" i="3"/>
  <c r="H77" i="3"/>
  <c r="D78" i="3"/>
  <c r="F78" i="3"/>
  <c r="O77" i="3"/>
  <c r="K78" i="3"/>
  <c r="P76" i="3"/>
  <c r="L77" i="3"/>
  <c r="M77" i="3"/>
  <c r="N77" i="3"/>
  <c r="G78" i="3"/>
  <c r="H78" i="3"/>
  <c r="D79" i="3"/>
  <c r="F79" i="3"/>
  <c r="O78" i="3"/>
  <c r="K79" i="3"/>
  <c r="L78" i="3"/>
  <c r="M78" i="3"/>
  <c r="N78" i="3"/>
  <c r="N76" i="4"/>
  <c r="P78" i="3"/>
  <c r="N75" i="4"/>
  <c r="P75" i="4"/>
  <c r="P77" i="3"/>
  <c r="G79" i="3"/>
  <c r="H79" i="3"/>
  <c r="D80" i="3"/>
  <c r="F80" i="3"/>
  <c r="O79" i="3"/>
  <c r="K80" i="3"/>
  <c r="L79" i="3"/>
  <c r="M79" i="3"/>
  <c r="N79" i="3"/>
  <c r="M43" i="4"/>
  <c r="P76" i="4"/>
  <c r="N77" i="4"/>
  <c r="P77" i="4"/>
  <c r="P79" i="3"/>
  <c r="O46" i="4"/>
  <c r="O54" i="4"/>
  <c r="C8" i="2"/>
  <c r="E8" i="2"/>
  <c r="O62" i="4"/>
  <c r="O76" i="4"/>
  <c r="O51" i="4"/>
  <c r="O69" i="4"/>
  <c r="O53" i="4"/>
  <c r="O67" i="4"/>
  <c r="O70" i="4"/>
  <c r="O48" i="4"/>
  <c r="O56" i="4"/>
  <c r="O66" i="4"/>
  <c r="O55" i="4"/>
  <c r="O73" i="4"/>
  <c r="O57" i="4"/>
  <c r="O71" i="4"/>
  <c r="O74" i="4"/>
  <c r="O50" i="4"/>
  <c r="O58" i="4"/>
  <c r="O68" i="4"/>
  <c r="O43" i="4"/>
  <c r="O61" i="4"/>
  <c r="O75" i="4"/>
  <c r="O45" i="4"/>
  <c r="O59" i="4"/>
  <c r="O77" i="4"/>
  <c r="O78" i="4"/>
  <c r="F6" i="4"/>
  <c r="O44" i="4"/>
  <c r="O52" i="4"/>
  <c r="O60" i="4"/>
  <c r="O72" i="4"/>
  <c r="O47" i="4"/>
  <c r="O65" i="4"/>
  <c r="O49" i="4"/>
  <c r="O63" i="4"/>
  <c r="O64" i="4"/>
  <c r="G80" i="3"/>
  <c r="H80" i="3"/>
  <c r="L80" i="3"/>
  <c r="M80" i="3"/>
  <c r="N80" i="3"/>
  <c r="O80" i="3"/>
  <c r="C9" i="2"/>
  <c r="E9" i="2"/>
  <c r="N78" i="4"/>
  <c r="P78" i="4"/>
  <c r="D10" i="2"/>
  <c r="P80" i="3"/>
  <c r="J6" i="3"/>
  <c r="C10" i="2"/>
  <c r="E10" i="2"/>
</calcChain>
</file>

<file path=xl/sharedStrings.xml><?xml version="1.0" encoding="utf-8"?>
<sst xmlns="http://schemas.openxmlformats.org/spreadsheetml/2006/main" count="161" uniqueCount="63">
  <si>
    <t>Interest Rate</t>
  </si>
  <si>
    <t>1. Build a financial model showing the results of each scenario (see blank tabs)</t>
  </si>
  <si>
    <t>*Inputs on the top of the page</t>
  </si>
  <si>
    <t>*Ability to quickly change the inputs as needed</t>
  </si>
  <si>
    <t>2. After the 2 scenarios have been created create an Analysis Summary</t>
  </si>
  <si>
    <t>Summary should include the following</t>
  </si>
  <si>
    <t>Financial Models should include the following:</t>
  </si>
  <si>
    <t>*Recommendation on which scenario to pursue</t>
  </si>
  <si>
    <t>*A data output that summarizes your findings</t>
  </si>
  <si>
    <t>SCENARIO #1 - Buy a Car</t>
  </si>
  <si>
    <t>Cash Down</t>
  </si>
  <si>
    <t>Number of Months</t>
  </si>
  <si>
    <t>Car Cost</t>
  </si>
  <si>
    <t>Sales Tax Rate</t>
  </si>
  <si>
    <t>SCENARIO #2 - Lease a New Car Every 2 Years</t>
  </si>
  <si>
    <t>*Which Scenario makes the most sense after 2 years?</t>
  </si>
  <si>
    <t>*Which Scenario makes the most sense after 5 years?</t>
  </si>
  <si>
    <t>*What priorities would make leasing better and what would make buying better?</t>
  </si>
  <si>
    <t>*Sensitivity at 2 and 5 Years</t>
  </si>
  <si>
    <t>Annual Deprecation of Car Value</t>
  </si>
  <si>
    <t>Year 1</t>
  </si>
  <si>
    <t>Year 2</t>
  </si>
  <si>
    <t>Year 3</t>
  </si>
  <si>
    <t>Year 4</t>
  </si>
  <si>
    <t>Year 5</t>
  </si>
  <si>
    <t>Month #</t>
  </si>
  <si>
    <t>Year #</t>
  </si>
  <si>
    <t>Residual %</t>
  </si>
  <si>
    <t>*Utilize Date Validation, Vlookup(), Named Ranges, Index()</t>
  </si>
  <si>
    <t>Beg. Bal.</t>
  </si>
  <si>
    <t>PMT</t>
  </si>
  <si>
    <t>IR</t>
  </si>
  <si>
    <t>Principal</t>
  </si>
  <si>
    <t>End Bal.</t>
  </si>
  <si>
    <t>Depreciation</t>
  </si>
  <si>
    <t>Car Value</t>
  </si>
  <si>
    <t>Car Equity</t>
  </si>
  <si>
    <t>Est. Cost</t>
  </si>
  <si>
    <t>&lt;</t>
  </si>
  <si>
    <t>Down Payment</t>
  </si>
  <si>
    <t>Sales Tax %</t>
  </si>
  <si>
    <t>Interest</t>
  </si>
  <si>
    <t>Annual Depreciation</t>
  </si>
  <si>
    <t>Monthly Depreciation</t>
  </si>
  <si>
    <t>Year 0</t>
  </si>
  <si>
    <t>Cost Per Month</t>
  </si>
  <si>
    <t>Sales Tax</t>
  </si>
  <si>
    <t>Total Pmt</t>
  </si>
  <si>
    <t>Lease</t>
  </si>
  <si>
    <t>Buy</t>
  </si>
  <si>
    <t># Months</t>
  </si>
  <si>
    <t>Variance</t>
  </si>
  <si>
    <t>Depr. + Int</t>
  </si>
  <si>
    <t>Avg Cost Per Month -Lease</t>
  </si>
  <si>
    <t>Avg Cost Per Month -Buy</t>
  </si>
  <si>
    <t>Avg. Monthly Cost</t>
  </si>
  <si>
    <t>Lease A Car</t>
  </si>
  <si>
    <t>Buy A Car</t>
  </si>
  <si>
    <t>Average Cost Per Month</t>
  </si>
  <si>
    <t>Average Cost per Month to Lease - 60 months</t>
  </si>
  <si>
    <t>Annual</t>
  </si>
  <si>
    <t>Depr. %</t>
  </si>
  <si>
    <t>Average Cost per Month to Buy - 60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</si>
</sst>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10" fontId="0" fillId="0" borderId="4" xfId="0" applyNumberFormat="1" applyBorder="1"/>
    <xf numFmtId="164" fontId="0" fillId="0" borderId="4" xfId="1" applyNumberFormat="1" applyFont="1" applyBorder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44" fontId="0" fillId="0" borderId="2" xfId="1" applyFont="1" applyBorder="1"/>
    <xf numFmtId="165" fontId="0" fillId="0" borderId="4" xfId="2" applyNumberFormat="1" applyFont="1" applyBorder="1"/>
    <xf numFmtId="0" fontId="0" fillId="0" borderId="5" xfId="0" applyBorder="1"/>
    <xf numFmtId="9" fontId="0" fillId="0" borderId="6" xfId="3" applyFont="1" applyBorder="1"/>
    <xf numFmtId="0" fontId="0" fillId="0" borderId="0" xfId="0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0" xfId="0" applyFont="1"/>
    <xf numFmtId="8" fontId="3" fillId="0" borderId="0" xfId="0" applyNumberFormat="1" applyFont="1"/>
    <xf numFmtId="0" fontId="3" fillId="0" borderId="0" xfId="0" applyFont="1" applyAlignment="1">
      <alignment horizontal="center"/>
    </xf>
    <xf numFmtId="9" fontId="0" fillId="0" borderId="6" xfId="0" applyNumberFormat="1" applyBorder="1"/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3" fillId="0" borderId="1" xfId="0" applyFont="1" applyBorder="1"/>
    <xf numFmtId="44" fontId="3" fillId="0" borderId="2" xfId="1" applyFont="1" applyBorder="1"/>
    <xf numFmtId="0" fontId="3" fillId="0" borderId="3" xfId="0" applyFont="1" applyBorder="1"/>
    <xf numFmtId="10" fontId="3" fillId="0" borderId="4" xfId="0" applyNumberFormat="1" applyFont="1" applyBorder="1"/>
    <xf numFmtId="164" fontId="3" fillId="0" borderId="4" xfId="1" applyNumberFormat="1" applyFont="1" applyBorder="1"/>
    <xf numFmtId="165" fontId="3" fillId="0" borderId="4" xfId="2" applyNumberFormat="1" applyFont="1" applyBorder="1"/>
    <xf numFmtId="0" fontId="3" fillId="0" borderId="5" xfId="0" applyFont="1" applyBorder="1"/>
    <xf numFmtId="9" fontId="3" fillId="0" borderId="6" xfId="3" applyFont="1" applyBorder="1"/>
    <xf numFmtId="44" fontId="3" fillId="0" borderId="0" xfId="0" applyNumberFormat="1" applyFont="1"/>
    <xf numFmtId="44" fontId="3" fillId="0" borderId="0" xfId="0" applyNumberFormat="1" applyFont="1" applyAlignment="1">
      <alignment horizontal="center"/>
    </xf>
    <xf numFmtId="0" fontId="2" fillId="0" borderId="9" xfId="0" applyFont="1" applyBorder="1" applyAlignment="1">
      <alignment horizontal="center"/>
    </xf>
    <xf numFmtId="10" fontId="0" fillId="0" borderId="0" xfId="3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164" fontId="3" fillId="0" borderId="0" xfId="0" applyNumberFormat="1" applyFo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3" xfId="0" applyFont="1" applyFill="1" applyBorder="1"/>
    <xf numFmtId="164" fontId="3" fillId="3" borderId="0" xfId="0" applyNumberFormat="1" applyFont="1" applyFill="1"/>
    <xf numFmtId="0" fontId="3" fillId="3" borderId="0" xfId="0" applyFont="1" applyFill="1"/>
    <xf numFmtId="44" fontId="3" fillId="3" borderId="4" xfId="0" applyNumberFormat="1" applyFont="1" applyFill="1" applyBorder="1"/>
    <xf numFmtId="0" fontId="3" fillId="3" borderId="5" xfId="0" applyFont="1" applyFill="1" applyBorder="1"/>
    <xf numFmtId="164" fontId="3" fillId="3" borderId="9" xfId="0" applyNumberFormat="1" applyFont="1" applyFill="1" applyBorder="1"/>
    <xf numFmtId="44" fontId="3" fillId="3" borderId="6" xfId="0" applyNumberFormat="1" applyFont="1" applyFill="1" applyBorder="1"/>
    <xf numFmtId="44" fontId="3" fillId="0" borderId="0" xfId="1" applyFont="1"/>
    <xf numFmtId="0" fontId="5" fillId="0" borderId="0" xfId="0" applyFont="1"/>
    <xf numFmtId="0" fontId="0" fillId="4" borderId="0" xfId="0" applyFill="1"/>
    <xf numFmtId="0" fontId="4" fillId="0" borderId="1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4" fillId="0" borderId="7" xfId="0" applyFont="1" applyBorder="1" applyAlignment="1">
      <alignment horizontal="centerContinuous" vertical="center" wrapText="1"/>
    </xf>
    <xf numFmtId="0" fontId="3" fillId="5" borderId="0" xfId="0" applyFont="1" applyFill="1" applyAlignment="1">
      <alignment horizontal="center"/>
    </xf>
    <xf numFmtId="44" fontId="3" fillId="5" borderId="0" xfId="0" applyNumberFormat="1" applyFont="1" applyFill="1"/>
    <xf numFmtId="8" fontId="3" fillId="5" borderId="0" xfId="0" applyNumberFormat="1" applyFont="1" applyFill="1"/>
    <xf numFmtId="0" fontId="3" fillId="5" borderId="0" xfId="0" applyFont="1" applyFill="1"/>
    <xf numFmtId="0" fontId="3" fillId="5" borderId="9" xfId="0" applyFont="1" applyFill="1" applyBorder="1" applyAlignment="1">
      <alignment horizontal="center"/>
    </xf>
    <xf numFmtId="44" fontId="3" fillId="5" borderId="9" xfId="0" applyNumberFormat="1" applyFont="1" applyFill="1" applyBorder="1"/>
    <xf numFmtId="8" fontId="3" fillId="5" borderId="9" xfId="0" applyNumberFormat="1" applyFont="1" applyFill="1" applyBorder="1"/>
    <xf numFmtId="0" fontId="3" fillId="5" borderId="9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Continuous" vertical="center" wrapText="1"/>
    </xf>
    <xf numFmtId="0" fontId="4" fillId="0" borderId="6" xfId="0" applyFont="1" applyBorder="1" applyAlignment="1">
      <alignment horizontal="center"/>
    </xf>
    <xf numFmtId="44" fontId="3" fillId="0" borderId="0" xfId="1" applyFont="1" applyFill="1" applyBorder="1"/>
    <xf numFmtId="44" fontId="3" fillId="0" borderId="9" xfId="1" applyFont="1" applyFill="1" applyBorder="1"/>
    <xf numFmtId="44" fontId="3" fillId="0" borderId="15" xfId="1" applyFont="1" applyFill="1" applyBorder="1"/>
    <xf numFmtId="0" fontId="4" fillId="6" borderId="13" xfId="0" applyFont="1" applyFill="1" applyBorder="1" applyAlignment="1">
      <alignment horizontal="center"/>
    </xf>
    <xf numFmtId="44" fontId="3" fillId="6" borderId="13" xfId="1" applyFont="1" applyFill="1" applyBorder="1"/>
    <xf numFmtId="44" fontId="3" fillId="6" borderId="14" xfId="1" applyFont="1" applyFill="1" applyBorder="1"/>
    <xf numFmtId="44" fontId="3" fillId="6" borderId="12" xfId="1" applyFont="1" applyFill="1" applyBorder="1"/>
    <xf numFmtId="10" fontId="3" fillId="0" borderId="9" xfId="3" applyNumberFormat="1" applyFont="1" applyBorder="1" applyAlignment="1">
      <alignment horizontal="center"/>
    </xf>
    <xf numFmtId="9" fontId="3" fillId="0" borderId="4" xfId="3" applyFont="1" applyBorder="1" applyAlignment="1">
      <alignment horizontal="right"/>
    </xf>
    <xf numFmtId="0" fontId="3" fillId="0" borderId="0" xfId="0" applyFont="1" applyAlignment="1">
      <alignment horizontal="centerContinuous"/>
    </xf>
    <xf numFmtId="9" fontId="3" fillId="0" borderId="0" xfId="3" applyFont="1" applyBorder="1" applyAlignment="1">
      <alignment horizontal="right"/>
    </xf>
    <xf numFmtId="0" fontId="4" fillId="0" borderId="0" xfId="0" applyFont="1" applyAlignment="1">
      <alignment horizontal="centerContinuous"/>
    </xf>
    <xf numFmtId="0" fontId="3" fillId="0" borderId="9" xfId="0" applyFont="1" applyBorder="1" applyAlignment="1">
      <alignment horizontal="centerContinuous"/>
    </xf>
    <xf numFmtId="166" fontId="3" fillId="0" borderId="9" xfId="3" applyNumberFormat="1" applyFont="1" applyBorder="1" applyAlignment="1">
      <alignment horizontal="center"/>
    </xf>
    <xf numFmtId="9" fontId="3" fillId="0" borderId="4" xfId="3" applyFont="1" applyBorder="1"/>
    <xf numFmtId="166" fontId="4" fillId="0" borderId="9" xfId="3" applyNumberFormat="1" applyFont="1" applyBorder="1" applyAlignment="1">
      <alignment horizontal="centerContinuous"/>
    </xf>
    <xf numFmtId="0" fontId="3" fillId="7" borderId="0" xfId="0" applyFont="1" applyFill="1" applyAlignment="1">
      <alignment horizontal="center"/>
    </xf>
    <xf numFmtId="44" fontId="3" fillId="7" borderId="0" xfId="0" applyNumberFormat="1" applyFont="1" applyFill="1"/>
    <xf numFmtId="8" fontId="3" fillId="7" borderId="0" xfId="0" applyNumberFormat="1" applyFont="1" applyFill="1"/>
    <xf numFmtId="0" fontId="3" fillId="7" borderId="0" xfId="0" applyFont="1" applyFill="1"/>
    <xf numFmtId="8" fontId="3" fillId="7" borderId="0" xfId="0" applyNumberFormat="1" applyFont="1" applyFill="1" applyAlignment="1">
      <alignment horizontal="center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Lease</a:t>
            </a:r>
            <a:r>
              <a:rPr lang="en-US" baseline="0"/>
              <a:t> Vs. Buy 2-yr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Lease an Auto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BuyACar!$B$21:$B$80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LeaseACar!$M$19:$M$42</c:f>
              <c:numCache>
                <c:formatCode>"$"#,##0.00_);[Red]\("$"#,##0.00\)</c:formatCode>
                <c:ptCount val="24"/>
                <c:pt idx="0">
                  <c:v>-130.12775104181586</c:v>
                </c:pt>
                <c:pt idx="1">
                  <c:v>-176.9221687502984</c:v>
                </c:pt>
                <c:pt idx="2">
                  <c:v>-223.71658645878097</c:v>
                </c:pt>
                <c:pt idx="3">
                  <c:v>-270.51100416726348</c:v>
                </c:pt>
                <c:pt idx="4">
                  <c:v>-317.30542187574605</c:v>
                </c:pt>
                <c:pt idx="5">
                  <c:v>-364.09983958422862</c:v>
                </c:pt>
                <c:pt idx="6">
                  <c:v>-410.89425729271107</c:v>
                </c:pt>
                <c:pt idx="7">
                  <c:v>-457.68867500119364</c:v>
                </c:pt>
                <c:pt idx="8">
                  <c:v>-504.48309270967621</c:v>
                </c:pt>
                <c:pt idx="9">
                  <c:v>-551.27751041815884</c:v>
                </c:pt>
                <c:pt idx="10">
                  <c:v>-598.07192812664141</c:v>
                </c:pt>
                <c:pt idx="11">
                  <c:v>-644.86634583512398</c:v>
                </c:pt>
                <c:pt idx="12">
                  <c:v>-691.66076354360655</c:v>
                </c:pt>
                <c:pt idx="13">
                  <c:v>-738.45518125208912</c:v>
                </c:pt>
                <c:pt idx="14">
                  <c:v>-785.24959896057169</c:v>
                </c:pt>
                <c:pt idx="15">
                  <c:v>-832.04401666905414</c:v>
                </c:pt>
                <c:pt idx="16">
                  <c:v>-878.8384343775366</c:v>
                </c:pt>
                <c:pt idx="17">
                  <c:v>-925.63285208601917</c:v>
                </c:pt>
                <c:pt idx="18">
                  <c:v>-972.42726979450163</c:v>
                </c:pt>
                <c:pt idx="19">
                  <c:v>-1019.2216875029841</c:v>
                </c:pt>
                <c:pt idx="20">
                  <c:v>-1066.0161052114665</c:v>
                </c:pt>
                <c:pt idx="21">
                  <c:v>-1112.8105229199491</c:v>
                </c:pt>
                <c:pt idx="22">
                  <c:v>-1159.6049406284317</c:v>
                </c:pt>
                <c:pt idx="23">
                  <c:v>-1206.399358336914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10-46BB-826A-E957CA90B541}"/>
            </c:ext>
          </c:extLst>
        </c:ser>
        <c:ser>
          <c:idx val="1"/>
          <c:order val="1"/>
          <c:tx>
            <c:v>Buy an Auto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BuyACar!$B$21:$B$80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numCache>
            </c:numRef>
          </c:cat>
          <c:val>
            <c:numRef>
              <c:f>LeaseACar!$N$19:$N$42</c:f>
              <c:numCache>
                <c:formatCode>"$"#,##0.00_);[Red]\("$"#,##0.00\)</c:formatCode>
                <c:ptCount val="24"/>
                <c:pt idx="0">
                  <c:v>-2193.4479166666688</c:v>
                </c:pt>
                <c:pt idx="1">
                  <c:v>-1336.7007432807943</c:v>
                </c:pt>
                <c:pt idx="2">
                  <c:v>-1050.7860746059425</c:v>
                </c:pt>
                <c:pt idx="3">
                  <c:v>-907.57890908844843</c:v>
                </c:pt>
                <c:pt idx="4">
                  <c:v>-821.45424517153629</c:v>
                </c:pt>
                <c:pt idx="5">
                  <c:v>-763.87041462865193</c:v>
                </c:pt>
                <c:pt idx="6">
                  <c:v>-722.59527303964467</c:v>
                </c:pt>
                <c:pt idx="7">
                  <c:v>-691.51274740980773</c:v>
                </c:pt>
                <c:pt idx="8">
                  <c:v>-667.22501870955546</c:v>
                </c:pt>
                <c:pt idx="9">
                  <c:v>-647.69339489028891</c:v>
                </c:pt>
                <c:pt idx="10">
                  <c:v>-631.62052589160487</c:v>
                </c:pt>
                <c:pt idx="11">
                  <c:v>-618.14151114489698</c:v>
                </c:pt>
                <c:pt idx="12">
                  <c:v>-600.24731643426537</c:v>
                </c:pt>
                <c:pt idx="13">
                  <c:v>-584.8362501979874</c:v>
                </c:pt>
                <c:pt idx="14">
                  <c:v>-571.41151597606176</c:v>
                </c:pt>
                <c:pt idx="15">
                  <c:v>-559.60051602325757</c:v>
                </c:pt>
                <c:pt idx="16">
                  <c:v>-549.11832227441539</c:v>
                </c:pt>
                <c:pt idx="17">
                  <c:v>-539.74332365464738</c:v>
                </c:pt>
                <c:pt idx="18">
                  <c:v>-531.30056371262935</c:v>
                </c:pt>
                <c:pt idx="19">
                  <c:v>-523.65007696390353</c:v>
                </c:pt>
                <c:pt idx="20">
                  <c:v>-516.67855770752112</c:v>
                </c:pt>
                <c:pt idx="21">
                  <c:v>-510.29330098359935</c:v>
                </c:pt>
                <c:pt idx="22">
                  <c:v>-504.41772415064349</c:v>
                </c:pt>
                <c:pt idx="23">
                  <c:v>-498.98800806853734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10-46BB-826A-E957CA90B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302160"/>
        <c:axId val="695304128"/>
      </c:lineChart>
      <c:catAx>
        <c:axId val="69530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04128"/>
        <c:crosses val="autoZero"/>
        <c:auto val="1"/>
        <c:lblAlgn val="ctr"/>
        <c:lblOffset val="100"/>
        <c:noMultiLvlLbl val="0"/>
      </c:catAx>
      <c:valAx>
        <c:axId val="6953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30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Lease Vs. Buy 5-yr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LeaseACar!$M$19:$M$78</c:f>
              <c:numCache>
                <c:formatCode>"$"#,##0.00_);[Red]\("$"#,##0.00\)</c:formatCode>
                <c:ptCount val="60"/>
                <c:pt idx="0">
                  <c:v>-130.12775104181586</c:v>
                </c:pt>
                <c:pt idx="1">
                  <c:v>-176.9221687502984</c:v>
                </c:pt>
                <c:pt idx="2">
                  <c:v>-223.71658645878097</c:v>
                </c:pt>
                <c:pt idx="3">
                  <c:v>-270.51100416726348</c:v>
                </c:pt>
                <c:pt idx="4">
                  <c:v>-317.30542187574605</c:v>
                </c:pt>
                <c:pt idx="5">
                  <c:v>-364.09983958422862</c:v>
                </c:pt>
                <c:pt idx="6">
                  <c:v>-410.89425729271107</c:v>
                </c:pt>
                <c:pt idx="7">
                  <c:v>-457.68867500119364</c:v>
                </c:pt>
                <c:pt idx="8">
                  <c:v>-504.48309270967621</c:v>
                </c:pt>
                <c:pt idx="9">
                  <c:v>-551.27751041815884</c:v>
                </c:pt>
                <c:pt idx="10">
                  <c:v>-598.07192812664141</c:v>
                </c:pt>
                <c:pt idx="11">
                  <c:v>-644.86634583512398</c:v>
                </c:pt>
                <c:pt idx="12">
                  <c:v>-691.66076354360655</c:v>
                </c:pt>
                <c:pt idx="13">
                  <c:v>-738.45518125208912</c:v>
                </c:pt>
                <c:pt idx="14">
                  <c:v>-785.24959896057169</c:v>
                </c:pt>
                <c:pt idx="15">
                  <c:v>-832.04401666905414</c:v>
                </c:pt>
                <c:pt idx="16">
                  <c:v>-878.8384343775366</c:v>
                </c:pt>
                <c:pt idx="17">
                  <c:v>-925.63285208601917</c:v>
                </c:pt>
                <c:pt idx="18">
                  <c:v>-972.42726979450163</c:v>
                </c:pt>
                <c:pt idx="19">
                  <c:v>-1019.2216875029841</c:v>
                </c:pt>
                <c:pt idx="20">
                  <c:v>-1066.0161052114665</c:v>
                </c:pt>
                <c:pt idx="21">
                  <c:v>-1112.8105229199491</c:v>
                </c:pt>
                <c:pt idx="22">
                  <c:v>-1159.6049406284317</c:v>
                </c:pt>
                <c:pt idx="23">
                  <c:v>-1206.399358336914</c:v>
                </c:pt>
                <c:pt idx="24">
                  <c:v>-130.12775104181586</c:v>
                </c:pt>
                <c:pt idx="25">
                  <c:v>-176.9221687502984</c:v>
                </c:pt>
                <c:pt idx="26">
                  <c:v>-223.71658645878097</c:v>
                </c:pt>
                <c:pt idx="27">
                  <c:v>-270.51100416726348</c:v>
                </c:pt>
                <c:pt idx="28">
                  <c:v>-317.30542187574605</c:v>
                </c:pt>
                <c:pt idx="29">
                  <c:v>-364.09983958422862</c:v>
                </c:pt>
                <c:pt idx="30">
                  <c:v>-410.89425729271107</c:v>
                </c:pt>
                <c:pt idx="31">
                  <c:v>-457.68867500119364</c:v>
                </c:pt>
                <c:pt idx="32">
                  <c:v>-504.48309270967621</c:v>
                </c:pt>
                <c:pt idx="33">
                  <c:v>-551.27751041815884</c:v>
                </c:pt>
                <c:pt idx="34">
                  <c:v>-598.07192812664141</c:v>
                </c:pt>
                <c:pt idx="35">
                  <c:v>-644.86634583512398</c:v>
                </c:pt>
                <c:pt idx="36">
                  <c:v>-691.66076354360655</c:v>
                </c:pt>
                <c:pt idx="37">
                  <c:v>-738.45518125208912</c:v>
                </c:pt>
                <c:pt idx="38">
                  <c:v>-785.24959896057169</c:v>
                </c:pt>
                <c:pt idx="39">
                  <c:v>-832.04401666905414</c:v>
                </c:pt>
                <c:pt idx="40">
                  <c:v>-878.8384343775366</c:v>
                </c:pt>
                <c:pt idx="41">
                  <c:v>-925.63285208601917</c:v>
                </c:pt>
                <c:pt idx="42">
                  <c:v>-972.42726979450163</c:v>
                </c:pt>
                <c:pt idx="43">
                  <c:v>-1019.2216875029841</c:v>
                </c:pt>
                <c:pt idx="44">
                  <c:v>-1066.0161052114665</c:v>
                </c:pt>
                <c:pt idx="45">
                  <c:v>-1112.8105229199491</c:v>
                </c:pt>
                <c:pt idx="46">
                  <c:v>-1159.6049406284317</c:v>
                </c:pt>
                <c:pt idx="47">
                  <c:v>-1206.399358336914</c:v>
                </c:pt>
                <c:pt idx="48">
                  <c:v>-130.12775104181586</c:v>
                </c:pt>
                <c:pt idx="49">
                  <c:v>-176.9221687502984</c:v>
                </c:pt>
                <c:pt idx="50">
                  <c:v>-223.71658645878097</c:v>
                </c:pt>
                <c:pt idx="51">
                  <c:v>-270.51100416726348</c:v>
                </c:pt>
                <c:pt idx="52">
                  <c:v>-317.30542187574605</c:v>
                </c:pt>
                <c:pt idx="53">
                  <c:v>-364.09983958422862</c:v>
                </c:pt>
                <c:pt idx="54">
                  <c:v>-410.89425729271107</c:v>
                </c:pt>
                <c:pt idx="55">
                  <c:v>-457.68867500119364</c:v>
                </c:pt>
                <c:pt idx="56">
                  <c:v>-504.48309270967621</c:v>
                </c:pt>
                <c:pt idx="57">
                  <c:v>-551.27751041815884</c:v>
                </c:pt>
                <c:pt idx="58">
                  <c:v>-598.07192812664141</c:v>
                </c:pt>
                <c:pt idx="59">
                  <c:v>-644.86634583512398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FD-4DC3-A2A3-F7C802EA3BF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LeaseACar!$N$19:$N$78</c:f>
              <c:numCache>
                <c:formatCode>"$"#,##0.00_);[Red]\("$"#,##0.00\)</c:formatCode>
                <c:ptCount val="60"/>
                <c:pt idx="0">
                  <c:v>-2193.4479166666688</c:v>
                </c:pt>
                <c:pt idx="1">
                  <c:v>-1336.7007432807943</c:v>
                </c:pt>
                <c:pt idx="2">
                  <c:v>-1050.7860746059425</c:v>
                </c:pt>
                <c:pt idx="3">
                  <c:v>-907.57890908844843</c:v>
                </c:pt>
                <c:pt idx="4">
                  <c:v>-821.45424517153629</c:v>
                </c:pt>
                <c:pt idx="5">
                  <c:v>-763.87041462865193</c:v>
                </c:pt>
                <c:pt idx="6">
                  <c:v>-722.59527303964467</c:v>
                </c:pt>
                <c:pt idx="7">
                  <c:v>-691.51274740980773</c:v>
                </c:pt>
                <c:pt idx="8">
                  <c:v>-667.22501870955546</c:v>
                </c:pt>
                <c:pt idx="9">
                  <c:v>-647.69339489028891</c:v>
                </c:pt>
                <c:pt idx="10">
                  <c:v>-631.62052589160487</c:v>
                </c:pt>
                <c:pt idx="11">
                  <c:v>-618.14151114489698</c:v>
                </c:pt>
                <c:pt idx="12">
                  <c:v>-600.24731643426537</c:v>
                </c:pt>
                <c:pt idx="13">
                  <c:v>-584.8362501979874</c:v>
                </c:pt>
                <c:pt idx="14">
                  <c:v>-571.41151597606176</c:v>
                </c:pt>
                <c:pt idx="15">
                  <c:v>-559.60051602325757</c:v>
                </c:pt>
                <c:pt idx="16">
                  <c:v>-549.11832227441539</c:v>
                </c:pt>
                <c:pt idx="17">
                  <c:v>-539.74332365464738</c:v>
                </c:pt>
                <c:pt idx="18">
                  <c:v>-531.30056371262935</c:v>
                </c:pt>
                <c:pt idx="19">
                  <c:v>-523.65007696390353</c:v>
                </c:pt>
                <c:pt idx="20">
                  <c:v>-516.67855770752112</c:v>
                </c:pt>
                <c:pt idx="21">
                  <c:v>-510.29330098359935</c:v>
                </c:pt>
                <c:pt idx="22">
                  <c:v>-504.41772415064349</c:v>
                </c:pt>
                <c:pt idx="23">
                  <c:v>-498.98800806853734</c:v>
                </c:pt>
                <c:pt idx="24">
                  <c:v>-491.28387773094772</c:v>
                </c:pt>
                <c:pt idx="25">
                  <c:v>-484.13176685435167</c:v>
                </c:pt>
                <c:pt idx="26">
                  <c:v>-477.4702421880196</c:v>
                </c:pt>
                <c:pt idx="27">
                  <c:v>-471.24664642423767</c:v>
                </c:pt>
                <c:pt idx="28">
                  <c:v>-465.4155851041163</c:v>
                </c:pt>
                <c:pt idx="29">
                  <c:v>-459.93771614223414</c:v>
                </c:pt>
                <c:pt idx="30">
                  <c:v>-454.77877363683484</c:v>
                </c:pt>
                <c:pt idx="31">
                  <c:v>-449.90877471560952</c:v>
                </c:pt>
                <c:pt idx="32">
                  <c:v>-445.30137059133665</c:v>
                </c:pt>
                <c:pt idx="33">
                  <c:v>-440.93331213711275</c:v>
                </c:pt>
                <c:pt idx="34">
                  <c:v>-436.7840070772574</c:v>
                </c:pt>
                <c:pt idx="35">
                  <c:v>-432.83515097973276</c:v>
                </c:pt>
                <c:pt idx="36">
                  <c:v>-427.6289766461868</c:v>
                </c:pt>
                <c:pt idx="37">
                  <c:v>-422.66818342286734</c:v>
                </c:pt>
                <c:pt idx="38">
                  <c:v>-417.93382610472628</c:v>
                </c:pt>
                <c:pt idx="39">
                  <c:v>-413.40885383724117</c:v>
                </c:pt>
                <c:pt idx="40">
                  <c:v>-409.07787909764386</c:v>
                </c:pt>
                <c:pt idx="41">
                  <c:v>-404.9269796788297</c:v>
                </c:pt>
                <c:pt idx="42">
                  <c:v>-400.9435283034183</c:v>
                </c:pt>
                <c:pt idx="43">
                  <c:v>-397.11604547225875</c:v>
                </c:pt>
                <c:pt idx="44">
                  <c:v>-393.43407193313402</c:v>
                </c:pt>
                <c:pt idx="45">
                  <c:v>-389.88805778398091</c:v>
                </c:pt>
                <c:pt idx="46">
                  <c:v>-386.46926573314494</c:v>
                </c:pt>
                <c:pt idx="47">
                  <c:v>-383.16968645210221</c:v>
                </c:pt>
                <c:pt idx="48">
                  <c:v>-379.11121599383381</c:v>
                </c:pt>
                <c:pt idx="49">
                  <c:v>-375.19266525432766</c:v>
                </c:pt>
                <c:pt idx="50">
                  <c:v>-371.40574871311844</c:v>
                </c:pt>
                <c:pt idx="51">
                  <c:v>-367.74281806273871</c:v>
                </c:pt>
                <c:pt idx="52">
                  <c:v>-364.19680209395477</c:v>
                </c:pt>
                <c:pt idx="53">
                  <c:v>-360.76115326041986</c:v>
                </c:pt>
                <c:pt idx="54">
                  <c:v>-357.42980007263685</c:v>
                </c:pt>
                <c:pt idx="55">
                  <c:v>-354.19710459256794</c:v>
                </c:pt>
                <c:pt idx="56">
                  <c:v>-351.05782440249357</c:v>
                </c:pt>
                <c:pt idx="57">
                  <c:v>-348.00707850812836</c:v>
                </c:pt>
                <c:pt idx="58">
                  <c:v>-345.04031670921461</c:v>
                </c:pt>
                <c:pt idx="59">
                  <c:v>-342.15329203305652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FD-4DC3-A2A3-F7C802EA3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405080"/>
        <c:axId val="487405408"/>
      </c:lineChart>
      <c:catAx>
        <c:axId val="487405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05408"/>
        <c:crosses val="autoZero"/>
        <c:auto val="1"/>
        <c:lblAlgn val="ctr"/>
        <c:lblOffset val="100"/>
        <c:noMultiLvlLbl val="0"/>
      </c:catAx>
      <c:valAx>
        <c:axId val="48740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05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Monthly Expenses 12-60 mos.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Summary!$C$4</c:f>
              <c:strCache>
                <c:ptCount val="1"/>
                <c:pt idx="0">
                  <c:v>Lease A 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Summary!$B$6:$B$10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</c:numCache>
            </c:numRef>
          </c:cat>
          <c:val>
            <c:numRef>
              <c:f>Summary!$C$6:$C$10</c:f>
              <c:numCache>
                <c:formatCode>_("$"* #,##0.00_);_("$"* \(#,##0.00\);_("$"* "-"??_);_(@_)</c:formatCode>
                <c:ptCount val="5"/>
                <c:pt idx="0">
                  <c:v>-387.4970484384699</c:v>
                </c:pt>
                <c:pt idx="1">
                  <c:v>-668.26355468936515</c:v>
                </c:pt>
                <c:pt idx="2">
                  <c:v>-574.67471927240024</c:v>
                </c:pt>
                <c:pt idx="3">
                  <c:v>-668.26355468936526</c:v>
                </c:pt>
                <c:pt idx="4">
                  <c:v>-612.11025343918607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3-4D47-8312-78C6342D2F85}"/>
            </c:ext>
          </c:extLst>
        </c:ser>
        <c:ser>
          <c:idx val="1"/>
          <c:order val="1"/>
          <c:tx>
            <c:strRef>
              <c:f>Summary!$D$4</c:f>
              <c:strCache>
                <c:ptCount val="1"/>
                <c:pt idx="0">
                  <c:v>Buy A Car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Summary!$B$6:$B$10</c:f>
              <c:numCache>
                <c:formatCode>General</c:formatCode>
                <c:ptCount val="5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</c:numCache>
            </c:numRef>
          </c:cat>
          <c:val>
            <c:numRef>
              <c:f>Summary!$D$6:$D$10</c:f>
              <c:numCache>
                <c:formatCode>_("$"* #,##0.00_);_("$"* \(#,##0.00\);_("$"* "-"??_);_(@_)</c:formatCode>
                <c:ptCount val="5"/>
                <c:pt idx="0">
                  <c:v>-921.05223121065353</c:v>
                </c:pt>
                <c:pt idx="1">
                  <c:v>-730.95467711147137</c:v>
                </c:pt>
                <c:pt idx="2">
                  <c:v>-640.35942984047517</c:v>
                </c:pt>
                <c:pt idx="3">
                  <c:v>-581.24176726505493</c:v>
                </c:pt>
                <c:pt idx="4">
                  <c:v>-536.93167747365214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3-4D47-8312-78C6342D2F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856639120"/>
        <c:axId val="856637152"/>
      </c:barChart>
      <c:catAx>
        <c:axId val="856639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6637152"/>
        <c:crosses val="autoZero"/>
        <c:auto val="1"/>
        <c:lblAlgn val="ctr"/>
        <c:lblOffset val="100"/>
        <c:noMultiLvlLbl val="0"/>
      </c:catAx>
      <c:valAx>
        <c:axId val="85663715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85663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Lease Vs Buy avg cost 1-60 mos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Lease Avg Cost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LeaseACar!$O$19:$O$78</c:f>
              <c:numCache>
                <c:formatCode>"$"#,##0.00_);[Red]\("$"#,##0.00\)</c:formatCode>
                <c:ptCount val="60"/>
                <c:pt idx="0">
                  <c:v>-130.12775104181586</c:v>
                </c:pt>
                <c:pt idx="1">
                  <c:v>-153.52495989605711</c:v>
                </c:pt>
                <c:pt idx="2">
                  <c:v>-176.9221687502984</c:v>
                </c:pt>
                <c:pt idx="3">
                  <c:v>-200.31937760453968</c:v>
                </c:pt>
                <c:pt idx="4">
                  <c:v>-223.71658645878097</c:v>
                </c:pt>
                <c:pt idx="5">
                  <c:v>-247.11379531302225</c:v>
                </c:pt>
                <c:pt idx="6">
                  <c:v>-270.51100416726348</c:v>
                </c:pt>
                <c:pt idx="7">
                  <c:v>-293.90821302150476</c:v>
                </c:pt>
                <c:pt idx="8">
                  <c:v>-317.30542187574605</c:v>
                </c:pt>
                <c:pt idx="9">
                  <c:v>-340.70263072998733</c:v>
                </c:pt>
                <c:pt idx="10">
                  <c:v>-364.09983958422862</c:v>
                </c:pt>
                <c:pt idx="11">
                  <c:v>-387.4970484384699</c:v>
                </c:pt>
                <c:pt idx="12">
                  <c:v>-410.89425729271119</c:v>
                </c:pt>
                <c:pt idx="13">
                  <c:v>-434.29146614695253</c:v>
                </c:pt>
                <c:pt idx="14">
                  <c:v>-457.68867500119376</c:v>
                </c:pt>
                <c:pt idx="15">
                  <c:v>-481.08588385543504</c:v>
                </c:pt>
                <c:pt idx="16">
                  <c:v>-504.48309270967633</c:v>
                </c:pt>
                <c:pt idx="17">
                  <c:v>-527.88030156391756</c:v>
                </c:pt>
                <c:pt idx="18">
                  <c:v>-551.27751041815884</c:v>
                </c:pt>
                <c:pt idx="19">
                  <c:v>-574.67471927240013</c:v>
                </c:pt>
                <c:pt idx="20">
                  <c:v>-598.07192812664141</c:v>
                </c:pt>
                <c:pt idx="21">
                  <c:v>-621.46913698088258</c:v>
                </c:pt>
                <c:pt idx="22">
                  <c:v>-644.86634583512387</c:v>
                </c:pt>
                <c:pt idx="23">
                  <c:v>-668.26355468936515</c:v>
                </c:pt>
                <c:pt idx="24">
                  <c:v>-646.73812254346319</c:v>
                </c:pt>
                <c:pt idx="25">
                  <c:v>-628.66827816680302</c:v>
                </c:pt>
                <c:pt idx="26">
                  <c:v>-613.67006736280223</c:v>
                </c:pt>
                <c:pt idx="27">
                  <c:v>-601.41438653439013</c:v>
                </c:pt>
                <c:pt idx="28">
                  <c:v>-591.61752568409202</c:v>
                </c:pt>
                <c:pt idx="29">
                  <c:v>-584.03360281409664</c:v>
                </c:pt>
                <c:pt idx="30">
                  <c:v>-578.44846263598743</c:v>
                </c:pt>
                <c:pt idx="31">
                  <c:v>-574.67471927240013</c:v>
                </c:pt>
                <c:pt idx="32">
                  <c:v>-572.54770028565099</c:v>
                </c:pt>
                <c:pt idx="33">
                  <c:v>-571.92210646601882</c:v>
                </c:pt>
                <c:pt idx="34">
                  <c:v>-572.66924422775094</c:v>
                </c:pt>
                <c:pt idx="35">
                  <c:v>-574.67471927240024</c:v>
                </c:pt>
                <c:pt idx="36">
                  <c:v>-577.83650425270309</c:v>
                </c:pt>
                <c:pt idx="37">
                  <c:v>-582.06331154216059</c:v>
                </c:pt>
                <c:pt idx="38">
                  <c:v>-587.27321634776081</c:v>
                </c:pt>
                <c:pt idx="39">
                  <c:v>-593.39248635579315</c:v>
                </c:pt>
                <c:pt idx="40">
                  <c:v>-600.35458264900637</c:v>
                </c:pt>
                <c:pt idx="41">
                  <c:v>-608.09930334988769</c:v>
                </c:pt>
                <c:pt idx="42">
                  <c:v>-616.57204675557637</c:v>
                </c:pt>
                <c:pt idx="43">
                  <c:v>-625.72317495438108</c:v>
                </c:pt>
                <c:pt idx="44">
                  <c:v>-635.50746229342747</c:v>
                </c:pt>
                <c:pt idx="45">
                  <c:v>-645.88361578530839</c:v>
                </c:pt>
                <c:pt idx="46">
                  <c:v>-656.81385673941736</c:v>
                </c:pt>
                <c:pt idx="47">
                  <c:v>-668.26355468936526</c:v>
                </c:pt>
                <c:pt idx="48">
                  <c:v>-657.28119134961935</c:v>
                </c:pt>
                <c:pt idx="49">
                  <c:v>-647.67401089763291</c:v>
                </c:pt>
                <c:pt idx="50">
                  <c:v>-639.36112022236125</c:v>
                </c:pt>
                <c:pt idx="51">
                  <c:v>-632.2678487597633</c:v>
                </c:pt>
                <c:pt idx="52">
                  <c:v>-626.32516146006481</c:v>
                </c:pt>
                <c:pt idx="53">
                  <c:v>-621.46913698088258</c:v>
                </c:pt>
                <c:pt idx="54">
                  <c:v>-617.64050280473407</c:v>
                </c:pt>
                <c:pt idx="55">
                  <c:v>-614.78422016538502</c:v>
                </c:pt>
                <c:pt idx="56">
                  <c:v>-612.84911266616211</c:v>
                </c:pt>
                <c:pt idx="57">
                  <c:v>-611.78753331705855</c:v>
                </c:pt>
                <c:pt idx="58">
                  <c:v>-611.5550654324752</c:v>
                </c:pt>
                <c:pt idx="59">
                  <c:v>-612.11025343918607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EE-4E68-8B94-79859BC839A0}"/>
            </c:ext>
          </c:extLst>
        </c:ser>
        <c:ser>
          <c:idx val="1"/>
          <c:order val="1"/>
          <c:tx>
            <c:v>Buy Avg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LeaseACar!$P$19:$P$78</c:f>
              <c:numCache>
                <c:formatCode>"$"#,##0.00_);[Red]\("$"#,##0.00\)</c:formatCode>
                <c:ptCount val="60"/>
                <c:pt idx="0">
                  <c:v>-2193.4479166666688</c:v>
                </c:pt>
                <c:pt idx="1">
                  <c:v>-1765.0743299737314</c:v>
                </c:pt>
                <c:pt idx="2">
                  <c:v>-1526.9782448511351</c:v>
                </c:pt>
                <c:pt idx="3">
                  <c:v>-1372.1284109104633</c:v>
                </c:pt>
                <c:pt idx="4">
                  <c:v>-1261.9935777626779</c:v>
                </c:pt>
                <c:pt idx="5">
                  <c:v>-1178.9730505736736</c:v>
                </c:pt>
                <c:pt idx="6">
                  <c:v>-1113.7762252116695</c:v>
                </c:pt>
                <c:pt idx="7">
                  <c:v>-1060.9932904864368</c:v>
                </c:pt>
                <c:pt idx="8">
                  <c:v>-1017.2412602890056</c:v>
                </c:pt>
                <c:pt idx="9">
                  <c:v>-980.28647374913396</c:v>
                </c:pt>
                <c:pt idx="10">
                  <c:v>-948.5895693984495</c:v>
                </c:pt>
                <c:pt idx="11">
                  <c:v>-921.05223121065353</c:v>
                </c:pt>
                <c:pt idx="12">
                  <c:v>-896.37493007400815</c:v>
                </c:pt>
                <c:pt idx="13">
                  <c:v>-874.122167225721</c:v>
                </c:pt>
                <c:pt idx="14">
                  <c:v>-853.94145714241051</c:v>
                </c:pt>
                <c:pt idx="15">
                  <c:v>-835.54514832246343</c:v>
                </c:pt>
                <c:pt idx="16">
                  <c:v>-818.69651149610763</c:v>
                </c:pt>
                <c:pt idx="17">
                  <c:v>-803.1991121715821</c:v>
                </c:pt>
                <c:pt idx="18">
                  <c:v>-788.88866225268987</c:v>
                </c:pt>
                <c:pt idx="19">
                  <c:v>-775.62673298825052</c:v>
                </c:pt>
                <c:pt idx="20">
                  <c:v>-763.29586749869202</c:v>
                </c:pt>
                <c:pt idx="21">
                  <c:v>-751.79575083891507</c:v>
                </c:pt>
                <c:pt idx="22">
                  <c:v>-741.04018446116413</c:v>
                </c:pt>
                <c:pt idx="23">
                  <c:v>-730.95467711147137</c:v>
                </c:pt>
                <c:pt idx="24">
                  <c:v>-721.36784513625037</c:v>
                </c:pt>
                <c:pt idx="25">
                  <c:v>-712.24338058694661</c:v>
                </c:pt>
                <c:pt idx="26">
                  <c:v>-703.5480791647642</c:v>
                </c:pt>
                <c:pt idx="27">
                  <c:v>-695.25159942403116</c:v>
                </c:pt>
                <c:pt idx="28">
                  <c:v>-687.32621961989616</c:v>
                </c:pt>
                <c:pt idx="29">
                  <c:v>-679.74660283730748</c:v>
                </c:pt>
                <c:pt idx="30">
                  <c:v>-672.4895760889051</c:v>
                </c:pt>
                <c:pt idx="31">
                  <c:v>-665.53392604598957</c:v>
                </c:pt>
                <c:pt idx="32">
                  <c:v>-658.86021224433341</c:v>
                </c:pt>
                <c:pt idx="33">
                  <c:v>-652.45059753529756</c:v>
                </c:pt>
                <c:pt idx="34">
                  <c:v>-646.28869495078209</c:v>
                </c:pt>
                <c:pt idx="35">
                  <c:v>-640.35942984047517</c:v>
                </c:pt>
                <c:pt idx="36">
                  <c:v>-634.60995813252134</c:v>
                </c:pt>
                <c:pt idx="37">
                  <c:v>-629.03254300858305</c:v>
                </c:pt>
                <c:pt idx="38">
                  <c:v>-623.61975539566367</c:v>
                </c:pt>
                <c:pt idx="39">
                  <c:v>-618.36448285670315</c:v>
                </c:pt>
                <c:pt idx="40">
                  <c:v>-613.25993154550656</c:v>
                </c:pt>
                <c:pt idx="41">
                  <c:v>-608.29962316772856</c:v>
                </c:pt>
                <c:pt idx="42">
                  <c:v>-603.47738840344221</c:v>
                </c:pt>
                <c:pt idx="43">
                  <c:v>-598.78735788227903</c:v>
                </c:pt>
                <c:pt idx="44">
                  <c:v>-594.2239515278535</c:v>
                </c:pt>
                <c:pt idx="45">
                  <c:v>-589.78186688124765</c:v>
                </c:pt>
                <c:pt idx="46">
                  <c:v>-585.4560668568198</c:v>
                </c:pt>
                <c:pt idx="47">
                  <c:v>-581.24176726505493</c:v>
                </c:pt>
                <c:pt idx="48">
                  <c:v>-577.11665397380557</c:v>
                </c:pt>
                <c:pt idx="49">
                  <c:v>-573.07817419941591</c:v>
                </c:pt>
                <c:pt idx="50">
                  <c:v>-569.12381291537088</c:v>
                </c:pt>
                <c:pt idx="51">
                  <c:v>-565.25110147589726</c:v>
                </c:pt>
                <c:pt idx="52">
                  <c:v>-561.45762412906811</c:v>
                </c:pt>
                <c:pt idx="53">
                  <c:v>-557.7410228166857</c:v>
                </c:pt>
                <c:pt idx="54">
                  <c:v>-554.09900058497578</c:v>
                </c:pt>
                <c:pt idx="55">
                  <c:v>-550.52932387082558</c:v>
                </c:pt>
                <c:pt idx="56">
                  <c:v>-547.02982388015312</c:v>
                </c:pt>
                <c:pt idx="57">
                  <c:v>-543.59839723580785</c:v>
                </c:pt>
                <c:pt idx="58">
                  <c:v>-540.23300604044186</c:v>
                </c:pt>
                <c:pt idx="59">
                  <c:v>-536.93167747365214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EE-4E68-8B94-79859BC83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9653552"/>
        <c:axId val="769652896"/>
      </c:lineChart>
      <c:catAx>
        <c:axId val="76965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52896"/>
        <c:crosses val="autoZero"/>
        <c:auto val="1"/>
        <c:lblAlgn val="ctr"/>
        <c:lblOffset val="100"/>
        <c:noMultiLvlLbl val="0"/>
      </c:catAx>
      <c:valAx>
        <c:axId val="7696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65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2</xdr:row>
      <xdr:rowOff>171450</xdr:rowOff>
    </xdr:from>
    <xdr:to>
      <xdr:col>15</xdr:col>
      <xdr:colOff>123825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3E46B1-7984-47C8-95BC-00DB245C3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361950</xdr:colOff>
      <xdr:row>17</xdr:row>
      <xdr:rowOff>133350</xdr:rowOff>
    </xdr:from>
    <xdr:to>
      <xdr:col>15</xdr:col>
      <xdr:colOff>142875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4A78E1-8862-4FD7-A50D-A2430AC43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561974</xdr:colOff>
      <xdr:row>11</xdr:row>
      <xdr:rowOff>123824</xdr:rowOff>
    </xdr:from>
    <xdr:to>
      <xdr:col>5</xdr:col>
      <xdr:colOff>342900</xdr:colOff>
      <xdr:row>26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816A1-7E33-5D84-F685-CFEBF0E34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27</xdr:row>
      <xdr:rowOff>57150</xdr:rowOff>
    </xdr:from>
    <xdr:to>
      <xdr:col>7</xdr:col>
      <xdr:colOff>228600</xdr:colOff>
      <xdr:row>41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5CA910-78EC-401B-8F0C-1517563B9B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0A016-99D3-4A0A-855E-D115BBCDA730}">
  <sheetPr>
    <tabColor theme="8"/>
  </sheetPr>
  <dimension ref="B2:F28"/>
  <sheetViews>
    <sheetView showGridLines="0" workbookViewId="0">
      <selection activeCell="B23" sqref="B23:B28"/>
    </sheetView>
  </sheetViews>
  <sheetFormatPr defaultRowHeight="15" x14ac:dyDescent="0.25"/>
  <cols>
    <col min="1" max="1" width="3.42578125" customWidth="1"/>
    <col min="2" max="2" width="30.140625" customWidth="1"/>
    <col min="3" max="3" width="11.140625" bestFit="1" customWidth="1"/>
    <col min="4" max="4" width="2.5703125" customWidth="1"/>
    <col min="5" max="5" width="31.5703125" customWidth="1"/>
    <col min="6" max="6" width="10.5703125" bestFit="1" customWidth="1"/>
  </cols>
  <sheetData>
    <row r="2" spans="2:6" x14ac:dyDescent="0.25">
      <c r="B2" s="4" t="s">
        <v>9</v>
      </c>
      <c r="C2" s="5"/>
      <c r="D2" s="3"/>
      <c r="E2" s="4" t="s">
        <v>14</v>
      </c>
      <c r="F2" s="5"/>
    </row>
    <row r="3" spans="2:6" x14ac:dyDescent="0.25">
      <c r="B3" s="1" t="s">
        <v>10</v>
      </c>
      <c r="C3" s="10">
        <v>1000</v>
      </c>
      <c r="E3" s="1" t="s">
        <v>10</v>
      </c>
      <c r="F3" s="10">
        <v>1000</v>
      </c>
    </row>
    <row r="4" spans="2:6" x14ac:dyDescent="0.25">
      <c r="B4" s="2" t="s">
        <v>13</v>
      </c>
      <c r="C4" s="6">
        <v>6.8500000000000005E-2</v>
      </c>
      <c r="E4" s="2" t="s">
        <v>13</v>
      </c>
      <c r="F4" s="6">
        <v>6.8500000000000005E-2</v>
      </c>
    </row>
    <row r="5" spans="2:6" x14ac:dyDescent="0.25">
      <c r="B5" s="2" t="s">
        <v>12</v>
      </c>
      <c r="C5" s="7">
        <v>25000</v>
      </c>
      <c r="E5" s="2" t="s">
        <v>12</v>
      </c>
      <c r="F5" s="7">
        <v>25000</v>
      </c>
    </row>
    <row r="6" spans="2:6" x14ac:dyDescent="0.25">
      <c r="B6" s="2" t="s">
        <v>0</v>
      </c>
      <c r="C6" s="6">
        <v>0.03</v>
      </c>
      <c r="E6" s="2" t="s">
        <v>0</v>
      </c>
      <c r="F6" s="6">
        <v>0.03</v>
      </c>
    </row>
    <row r="7" spans="2:6" x14ac:dyDescent="0.25">
      <c r="B7" s="2" t="s">
        <v>11</v>
      </c>
      <c r="C7" s="11">
        <v>60</v>
      </c>
      <c r="E7" s="2" t="s">
        <v>11</v>
      </c>
      <c r="F7" s="11">
        <v>24</v>
      </c>
    </row>
    <row r="8" spans="2:6" x14ac:dyDescent="0.25">
      <c r="B8" s="12" t="s">
        <v>19</v>
      </c>
      <c r="C8" s="13">
        <v>0.2</v>
      </c>
      <c r="E8" s="12" t="s">
        <v>27</v>
      </c>
      <c r="F8" s="20">
        <v>0.6</v>
      </c>
    </row>
    <row r="12" spans="2:6" x14ac:dyDescent="0.25">
      <c r="B12" s="3" t="s">
        <v>1</v>
      </c>
    </row>
    <row r="14" spans="2:6" x14ac:dyDescent="0.25">
      <c r="B14" s="8" t="s">
        <v>6</v>
      </c>
    </row>
    <row r="15" spans="2:6" x14ac:dyDescent="0.25">
      <c r="B15" s="9" t="s">
        <v>2</v>
      </c>
    </row>
    <row r="16" spans="2:6" x14ac:dyDescent="0.25">
      <c r="B16" s="9" t="s">
        <v>3</v>
      </c>
    </row>
    <row r="17" spans="2:2" x14ac:dyDescent="0.25">
      <c r="B17" s="9" t="s">
        <v>18</v>
      </c>
    </row>
    <row r="18" spans="2:2" x14ac:dyDescent="0.25">
      <c r="B18" s="9" t="s">
        <v>28</v>
      </c>
    </row>
    <row r="20" spans="2:2" x14ac:dyDescent="0.25">
      <c r="B20" s="3" t="s">
        <v>4</v>
      </c>
    </row>
    <row r="22" spans="2:2" x14ac:dyDescent="0.25">
      <c r="B22" s="8" t="s">
        <v>5</v>
      </c>
    </row>
    <row r="23" spans="2:2" x14ac:dyDescent="0.25">
      <c r="B23" s="9" t="s">
        <v>7</v>
      </c>
    </row>
    <row r="24" spans="2:2" x14ac:dyDescent="0.25">
      <c r="B24" s="9" t="s">
        <v>7</v>
      </c>
    </row>
    <row r="25" spans="2:2" x14ac:dyDescent="0.25">
      <c r="B25" s="9" t="s">
        <v>8</v>
      </c>
    </row>
    <row r="26" spans="2:2" x14ac:dyDescent="0.25">
      <c r="B26" s="9" t="s">
        <v>15</v>
      </c>
    </row>
    <row r="27" spans="2:2" x14ac:dyDescent="0.25">
      <c r="B27" s="9" t="s">
        <v>16</v>
      </c>
    </row>
    <row r="28" spans="2:2" x14ac:dyDescent="0.25">
      <c r="B28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59BB-CD7F-4DA1-84E0-12F16197CD4F}">
  <sheetPr>
    <tabColor rgb="FFFF0000"/>
  </sheetPr>
  <dimension ref="A1:H61"/>
  <sheetViews>
    <sheetView topLeftCell="A4" workbookViewId="0">
      <selection activeCell="H10" sqref="H10:H14"/>
    </sheetView>
  </sheetViews>
  <sheetFormatPr defaultRowHeight="15" x14ac:dyDescent="0.25"/>
  <cols>
    <col min="1" max="2" width="9.140625" style="14"/>
    <col min="3" max="3" width="2.7109375" customWidth="1"/>
    <col min="4" max="4" width="14.5703125" bestFit="1" customWidth="1"/>
    <col min="5" max="5" width="2.7109375" customWidth="1"/>
    <col min="6" max="6" width="11" bestFit="1" customWidth="1"/>
    <col min="7" max="7" width="2.7109375" customWidth="1"/>
  </cols>
  <sheetData>
    <row r="1" spans="1:8" x14ac:dyDescent="0.25">
      <c r="A1" s="15" t="s">
        <v>25</v>
      </c>
      <c r="B1" s="16" t="s">
        <v>26</v>
      </c>
      <c r="D1" s="35" t="s">
        <v>39</v>
      </c>
      <c r="F1" s="35" t="s">
        <v>40</v>
      </c>
      <c r="H1" s="35" t="s">
        <v>31</v>
      </c>
    </row>
    <row r="2" spans="1:8" x14ac:dyDescent="0.25">
      <c r="A2" s="14">
        <v>1</v>
      </c>
      <c r="B2" s="14" t="s">
        <v>20</v>
      </c>
      <c r="D2" s="14">
        <v>500</v>
      </c>
      <c r="F2" s="36">
        <v>0.05</v>
      </c>
      <c r="H2" s="36">
        <v>0.02</v>
      </c>
    </row>
    <row r="3" spans="1:8" x14ac:dyDescent="0.25">
      <c r="A3" s="14">
        <f>A2+1</f>
        <v>2</v>
      </c>
      <c r="B3" s="14" t="s">
        <v>20</v>
      </c>
      <c r="D3" s="14">
        <v>1000</v>
      </c>
      <c r="F3" s="36">
        <v>5.0500000000000003E-2</v>
      </c>
      <c r="H3" s="36">
        <v>2.2499999999999999E-2</v>
      </c>
    </row>
    <row r="4" spans="1:8" x14ac:dyDescent="0.25">
      <c r="A4" s="14">
        <f t="shared" ref="A4:A61" si="0">A3+1</f>
        <v>3</v>
      </c>
      <c r="B4" s="14" t="s">
        <v>20</v>
      </c>
      <c r="D4" s="14">
        <v>1500</v>
      </c>
      <c r="F4" s="36">
        <v>5.0999999999999997E-2</v>
      </c>
      <c r="H4" s="36">
        <v>2.5000000000000001E-2</v>
      </c>
    </row>
    <row r="5" spans="1:8" x14ac:dyDescent="0.25">
      <c r="A5" s="14">
        <f t="shared" si="0"/>
        <v>4</v>
      </c>
      <c r="B5" s="14" t="s">
        <v>20</v>
      </c>
      <c r="D5" s="14">
        <v>2000</v>
      </c>
      <c r="F5" s="36">
        <v>5.1499999999999997E-2</v>
      </c>
      <c r="H5" s="36">
        <v>2.75E-2</v>
      </c>
    </row>
    <row r="6" spans="1:8" x14ac:dyDescent="0.25">
      <c r="A6" s="14">
        <f t="shared" si="0"/>
        <v>5</v>
      </c>
      <c r="B6" s="14" t="s">
        <v>20</v>
      </c>
      <c r="D6" s="14">
        <v>2500</v>
      </c>
      <c r="F6" s="36">
        <v>5.1999999999999998E-2</v>
      </c>
      <c r="H6" s="36">
        <v>0.03</v>
      </c>
    </row>
    <row r="7" spans="1:8" x14ac:dyDescent="0.25">
      <c r="A7" s="14">
        <f t="shared" si="0"/>
        <v>6</v>
      </c>
      <c r="B7" s="14" t="s">
        <v>20</v>
      </c>
      <c r="D7" s="14">
        <v>3000</v>
      </c>
      <c r="F7" s="36">
        <v>5.2499999999999998E-2</v>
      </c>
      <c r="H7" s="36">
        <v>3.2500000000000001E-2</v>
      </c>
    </row>
    <row r="8" spans="1:8" x14ac:dyDescent="0.25">
      <c r="A8" s="14">
        <f t="shared" si="0"/>
        <v>7</v>
      </c>
      <c r="B8" s="14" t="s">
        <v>20</v>
      </c>
      <c r="D8" s="14">
        <v>3500</v>
      </c>
      <c r="F8" s="36">
        <v>5.2999999999999999E-2</v>
      </c>
      <c r="H8" s="36">
        <v>3.5000000000000003E-2</v>
      </c>
    </row>
    <row r="9" spans="1:8" x14ac:dyDescent="0.25">
      <c r="A9" s="14">
        <f t="shared" si="0"/>
        <v>8</v>
      </c>
      <c r="B9" s="14" t="s">
        <v>20</v>
      </c>
      <c r="D9" s="14">
        <v>4000</v>
      </c>
      <c r="F9" s="36">
        <v>5.3499999999999999E-2</v>
      </c>
      <c r="H9" s="36">
        <v>3.7499999999999999E-2</v>
      </c>
    </row>
    <row r="10" spans="1:8" x14ac:dyDescent="0.25">
      <c r="A10" s="14">
        <f t="shared" si="0"/>
        <v>9</v>
      </c>
      <c r="B10" s="14" t="s">
        <v>20</v>
      </c>
      <c r="D10" s="14">
        <v>4500</v>
      </c>
      <c r="F10" s="36">
        <v>5.3999999999999999E-2</v>
      </c>
      <c r="H10" s="36">
        <v>0.04</v>
      </c>
    </row>
    <row r="11" spans="1:8" x14ac:dyDescent="0.25">
      <c r="A11" s="14">
        <f t="shared" si="0"/>
        <v>10</v>
      </c>
      <c r="B11" s="14" t="s">
        <v>20</v>
      </c>
      <c r="D11" s="14">
        <v>5000</v>
      </c>
      <c r="F11" s="36">
        <v>5.45E-2</v>
      </c>
      <c r="H11" s="36">
        <v>4.2500000000000003E-2</v>
      </c>
    </row>
    <row r="12" spans="1:8" x14ac:dyDescent="0.25">
      <c r="A12" s="14">
        <f t="shared" si="0"/>
        <v>11</v>
      </c>
      <c r="B12" s="14" t="s">
        <v>20</v>
      </c>
      <c r="F12" s="36">
        <v>5.5E-2</v>
      </c>
      <c r="H12" s="36">
        <v>4.4999999999999998E-2</v>
      </c>
    </row>
    <row r="13" spans="1:8" x14ac:dyDescent="0.25">
      <c r="A13" s="14">
        <f t="shared" si="0"/>
        <v>12</v>
      </c>
      <c r="B13" s="14" t="s">
        <v>20</v>
      </c>
      <c r="F13" s="36">
        <v>5.5500000000000001E-2</v>
      </c>
      <c r="H13" s="36">
        <v>4.7500000000000001E-2</v>
      </c>
    </row>
    <row r="14" spans="1:8" x14ac:dyDescent="0.25">
      <c r="A14" s="14">
        <f t="shared" si="0"/>
        <v>13</v>
      </c>
      <c r="B14" s="14" t="s">
        <v>21</v>
      </c>
      <c r="F14" s="36">
        <v>5.6000000000000001E-2</v>
      </c>
      <c r="H14" s="36">
        <v>0.05</v>
      </c>
    </row>
    <row r="15" spans="1:8" x14ac:dyDescent="0.25">
      <c r="A15" s="14">
        <f t="shared" si="0"/>
        <v>14</v>
      </c>
      <c r="B15" s="14" t="s">
        <v>21</v>
      </c>
      <c r="F15" s="36">
        <v>5.6500000000000002E-2</v>
      </c>
    </row>
    <row r="16" spans="1:8" x14ac:dyDescent="0.25">
      <c r="A16" s="14">
        <f t="shared" si="0"/>
        <v>15</v>
      </c>
      <c r="B16" s="14" t="s">
        <v>21</v>
      </c>
      <c r="F16" s="36">
        <v>5.7000000000000002E-2</v>
      </c>
    </row>
    <row r="17" spans="1:6" x14ac:dyDescent="0.25">
      <c r="A17" s="14">
        <f t="shared" si="0"/>
        <v>16</v>
      </c>
      <c r="B17" s="14" t="s">
        <v>21</v>
      </c>
      <c r="F17" s="36">
        <v>5.7500000000000002E-2</v>
      </c>
    </row>
    <row r="18" spans="1:6" x14ac:dyDescent="0.25">
      <c r="A18" s="14">
        <f t="shared" si="0"/>
        <v>17</v>
      </c>
      <c r="B18" s="14" t="s">
        <v>21</v>
      </c>
      <c r="F18" s="36">
        <v>5.8000000000000003E-2</v>
      </c>
    </row>
    <row r="19" spans="1:6" x14ac:dyDescent="0.25">
      <c r="A19" s="14">
        <f t="shared" si="0"/>
        <v>18</v>
      </c>
      <c r="B19" s="14" t="s">
        <v>21</v>
      </c>
      <c r="F19" s="36">
        <v>5.8500000000000003E-2</v>
      </c>
    </row>
    <row r="20" spans="1:6" x14ac:dyDescent="0.25">
      <c r="A20" s="14">
        <f t="shared" si="0"/>
        <v>19</v>
      </c>
      <c r="B20" s="14" t="s">
        <v>21</v>
      </c>
      <c r="F20" s="36">
        <v>5.8999999999999997E-2</v>
      </c>
    </row>
    <row r="21" spans="1:6" x14ac:dyDescent="0.25">
      <c r="A21" s="14">
        <f t="shared" si="0"/>
        <v>20</v>
      </c>
      <c r="B21" s="14" t="s">
        <v>21</v>
      </c>
      <c r="F21" s="36">
        <v>5.9499999999999997E-2</v>
      </c>
    </row>
    <row r="22" spans="1:6" x14ac:dyDescent="0.25">
      <c r="A22" s="14">
        <f t="shared" si="0"/>
        <v>21</v>
      </c>
      <c r="B22" s="14" t="s">
        <v>21</v>
      </c>
      <c r="F22" s="36">
        <v>0.06</v>
      </c>
    </row>
    <row r="23" spans="1:6" x14ac:dyDescent="0.25">
      <c r="A23" s="14">
        <f t="shared" si="0"/>
        <v>22</v>
      </c>
      <c r="B23" s="14" t="s">
        <v>21</v>
      </c>
      <c r="F23" s="36">
        <v>6.0499999999999998E-2</v>
      </c>
    </row>
    <row r="24" spans="1:6" x14ac:dyDescent="0.25">
      <c r="A24" s="14">
        <f t="shared" si="0"/>
        <v>23</v>
      </c>
      <c r="B24" s="14" t="s">
        <v>21</v>
      </c>
      <c r="F24" s="36">
        <v>6.0999999999999999E-2</v>
      </c>
    </row>
    <row r="25" spans="1:6" x14ac:dyDescent="0.25">
      <c r="A25" s="14">
        <f t="shared" si="0"/>
        <v>24</v>
      </c>
      <c r="B25" s="14" t="s">
        <v>21</v>
      </c>
      <c r="F25" s="36">
        <v>6.1499999999999999E-2</v>
      </c>
    </row>
    <row r="26" spans="1:6" x14ac:dyDescent="0.25">
      <c r="A26" s="14">
        <f t="shared" si="0"/>
        <v>25</v>
      </c>
      <c r="B26" s="14" t="s">
        <v>22</v>
      </c>
      <c r="F26" s="36">
        <v>6.2E-2</v>
      </c>
    </row>
    <row r="27" spans="1:6" x14ac:dyDescent="0.25">
      <c r="A27" s="14">
        <f t="shared" si="0"/>
        <v>26</v>
      </c>
      <c r="B27" s="14" t="s">
        <v>22</v>
      </c>
      <c r="F27" s="36">
        <v>6.25E-2</v>
      </c>
    </row>
    <row r="28" spans="1:6" x14ac:dyDescent="0.25">
      <c r="A28" s="14">
        <f t="shared" si="0"/>
        <v>27</v>
      </c>
      <c r="B28" s="14" t="s">
        <v>22</v>
      </c>
      <c r="F28" s="36">
        <v>6.3E-2</v>
      </c>
    </row>
    <row r="29" spans="1:6" x14ac:dyDescent="0.25">
      <c r="A29" s="14">
        <f t="shared" si="0"/>
        <v>28</v>
      </c>
      <c r="B29" s="14" t="s">
        <v>22</v>
      </c>
      <c r="F29" s="36">
        <v>6.3500000000000001E-2</v>
      </c>
    </row>
    <row r="30" spans="1:6" x14ac:dyDescent="0.25">
      <c r="A30" s="14">
        <f t="shared" si="0"/>
        <v>29</v>
      </c>
      <c r="B30" s="14" t="s">
        <v>22</v>
      </c>
      <c r="F30" s="36">
        <v>6.4000000000000001E-2</v>
      </c>
    </row>
    <row r="31" spans="1:6" x14ac:dyDescent="0.25">
      <c r="A31" s="14">
        <f t="shared" si="0"/>
        <v>30</v>
      </c>
      <c r="B31" s="14" t="s">
        <v>22</v>
      </c>
      <c r="F31" s="36">
        <v>6.4500000000000002E-2</v>
      </c>
    </row>
    <row r="32" spans="1:6" x14ac:dyDescent="0.25">
      <c r="A32" s="14">
        <f t="shared" si="0"/>
        <v>31</v>
      </c>
      <c r="B32" s="14" t="s">
        <v>22</v>
      </c>
      <c r="F32" s="36">
        <v>6.5000000000000002E-2</v>
      </c>
    </row>
    <row r="33" spans="1:6" x14ac:dyDescent="0.25">
      <c r="A33" s="14">
        <f t="shared" si="0"/>
        <v>32</v>
      </c>
      <c r="B33" s="14" t="s">
        <v>22</v>
      </c>
      <c r="F33" s="36">
        <v>6.5500000000000003E-2</v>
      </c>
    </row>
    <row r="34" spans="1:6" x14ac:dyDescent="0.25">
      <c r="A34" s="14">
        <f t="shared" si="0"/>
        <v>33</v>
      </c>
      <c r="B34" s="14" t="s">
        <v>22</v>
      </c>
      <c r="F34" s="36">
        <v>6.6000000000000003E-2</v>
      </c>
    </row>
    <row r="35" spans="1:6" x14ac:dyDescent="0.25">
      <c r="A35" s="14">
        <f t="shared" si="0"/>
        <v>34</v>
      </c>
      <c r="B35" s="14" t="s">
        <v>22</v>
      </c>
      <c r="F35" s="36">
        <v>6.6500000000000004E-2</v>
      </c>
    </row>
    <row r="36" spans="1:6" x14ac:dyDescent="0.25">
      <c r="A36" s="14">
        <f t="shared" si="0"/>
        <v>35</v>
      </c>
      <c r="B36" s="14" t="s">
        <v>22</v>
      </c>
      <c r="F36" s="36">
        <v>6.7000000000000004E-2</v>
      </c>
    </row>
    <row r="37" spans="1:6" x14ac:dyDescent="0.25">
      <c r="A37" s="14">
        <f t="shared" si="0"/>
        <v>36</v>
      </c>
      <c r="B37" s="14" t="s">
        <v>22</v>
      </c>
      <c r="F37" s="36">
        <v>6.7500000000000004E-2</v>
      </c>
    </row>
    <row r="38" spans="1:6" x14ac:dyDescent="0.25">
      <c r="A38" s="14">
        <f t="shared" si="0"/>
        <v>37</v>
      </c>
      <c r="B38" s="14" t="s">
        <v>23</v>
      </c>
      <c r="F38" s="36">
        <v>6.8000000000000005E-2</v>
      </c>
    </row>
    <row r="39" spans="1:6" x14ac:dyDescent="0.25">
      <c r="A39" s="14">
        <f t="shared" si="0"/>
        <v>38</v>
      </c>
      <c r="B39" s="14" t="s">
        <v>23</v>
      </c>
      <c r="F39" s="36">
        <v>6.8500000000000005E-2</v>
      </c>
    </row>
    <row r="40" spans="1:6" x14ac:dyDescent="0.25">
      <c r="A40" s="14">
        <f t="shared" si="0"/>
        <v>39</v>
      </c>
      <c r="B40" s="14" t="s">
        <v>23</v>
      </c>
      <c r="F40" s="36">
        <v>6.9000000000000006E-2</v>
      </c>
    </row>
    <row r="41" spans="1:6" x14ac:dyDescent="0.25">
      <c r="A41" s="14">
        <f t="shared" si="0"/>
        <v>40</v>
      </c>
      <c r="B41" s="14" t="s">
        <v>23</v>
      </c>
      <c r="F41" s="36">
        <v>6.9500000000000006E-2</v>
      </c>
    </row>
    <row r="42" spans="1:6" x14ac:dyDescent="0.25">
      <c r="A42" s="14">
        <f t="shared" si="0"/>
        <v>41</v>
      </c>
      <c r="B42" s="14" t="s">
        <v>23</v>
      </c>
      <c r="F42" s="36">
        <v>7.0000000000000007E-2</v>
      </c>
    </row>
    <row r="43" spans="1:6" x14ac:dyDescent="0.25">
      <c r="A43" s="14">
        <f t="shared" si="0"/>
        <v>42</v>
      </c>
      <c r="B43" s="14" t="s">
        <v>23</v>
      </c>
      <c r="F43" s="36">
        <v>7.0499999999999993E-2</v>
      </c>
    </row>
    <row r="44" spans="1:6" x14ac:dyDescent="0.25">
      <c r="A44" s="14">
        <f t="shared" si="0"/>
        <v>43</v>
      </c>
      <c r="B44" s="14" t="s">
        <v>23</v>
      </c>
      <c r="F44" s="36">
        <v>7.0999999999999994E-2</v>
      </c>
    </row>
    <row r="45" spans="1:6" x14ac:dyDescent="0.25">
      <c r="A45" s="14">
        <f t="shared" si="0"/>
        <v>44</v>
      </c>
      <c r="B45" s="14" t="s">
        <v>23</v>
      </c>
      <c r="F45" s="36">
        <v>7.1499999999999994E-2</v>
      </c>
    </row>
    <row r="46" spans="1:6" x14ac:dyDescent="0.25">
      <c r="A46" s="14">
        <f t="shared" si="0"/>
        <v>45</v>
      </c>
      <c r="B46" s="14" t="s">
        <v>23</v>
      </c>
      <c r="F46" s="36">
        <v>7.1999999999999995E-2</v>
      </c>
    </row>
    <row r="47" spans="1:6" x14ac:dyDescent="0.25">
      <c r="A47" s="14">
        <f t="shared" si="0"/>
        <v>46</v>
      </c>
      <c r="B47" s="14" t="s">
        <v>23</v>
      </c>
      <c r="F47" s="36">
        <v>7.2499999999999995E-2</v>
      </c>
    </row>
    <row r="48" spans="1:6" x14ac:dyDescent="0.25">
      <c r="A48" s="14">
        <f t="shared" si="0"/>
        <v>47</v>
      </c>
      <c r="B48" s="14" t="s">
        <v>23</v>
      </c>
      <c r="F48" s="36">
        <v>7.2999999999999995E-2</v>
      </c>
    </row>
    <row r="49" spans="1:6" x14ac:dyDescent="0.25">
      <c r="A49" s="14">
        <f t="shared" si="0"/>
        <v>48</v>
      </c>
      <c r="B49" s="14" t="s">
        <v>23</v>
      </c>
      <c r="F49" s="36">
        <v>7.3499999999999996E-2</v>
      </c>
    </row>
    <row r="50" spans="1:6" x14ac:dyDescent="0.25">
      <c r="A50" s="14">
        <f t="shared" si="0"/>
        <v>49</v>
      </c>
      <c r="B50" s="14" t="s">
        <v>24</v>
      </c>
      <c r="F50" s="36">
        <v>7.3999999999999996E-2</v>
      </c>
    </row>
    <row r="51" spans="1:6" x14ac:dyDescent="0.25">
      <c r="A51" s="14">
        <f t="shared" si="0"/>
        <v>50</v>
      </c>
      <c r="B51" s="14" t="s">
        <v>24</v>
      </c>
      <c r="F51" s="36">
        <v>7.4499999999999997E-2</v>
      </c>
    </row>
    <row r="52" spans="1:6" x14ac:dyDescent="0.25">
      <c r="A52" s="14">
        <f t="shared" si="0"/>
        <v>51</v>
      </c>
      <c r="B52" s="14" t="s">
        <v>24</v>
      </c>
      <c r="F52" s="36">
        <v>7.4999999999999997E-2</v>
      </c>
    </row>
    <row r="53" spans="1:6" x14ac:dyDescent="0.25">
      <c r="A53" s="14">
        <f t="shared" si="0"/>
        <v>52</v>
      </c>
      <c r="B53" s="14" t="s">
        <v>24</v>
      </c>
    </row>
    <row r="54" spans="1:6" x14ac:dyDescent="0.25">
      <c r="A54" s="14">
        <f t="shared" si="0"/>
        <v>53</v>
      </c>
      <c r="B54" s="14" t="s">
        <v>24</v>
      </c>
    </row>
    <row r="55" spans="1:6" x14ac:dyDescent="0.25">
      <c r="A55" s="14">
        <f t="shared" si="0"/>
        <v>54</v>
      </c>
      <c r="B55" s="14" t="s">
        <v>24</v>
      </c>
    </row>
    <row r="56" spans="1:6" x14ac:dyDescent="0.25">
      <c r="A56" s="14">
        <f t="shared" si="0"/>
        <v>55</v>
      </c>
      <c r="B56" s="14" t="s">
        <v>24</v>
      </c>
    </row>
    <row r="57" spans="1:6" x14ac:dyDescent="0.25">
      <c r="A57" s="14">
        <f t="shared" si="0"/>
        <v>56</v>
      </c>
      <c r="B57" s="14" t="s">
        <v>24</v>
      </c>
    </row>
    <row r="58" spans="1:6" x14ac:dyDescent="0.25">
      <c r="A58" s="14">
        <f t="shared" si="0"/>
        <v>57</v>
      </c>
      <c r="B58" s="14" t="s">
        <v>24</v>
      </c>
    </row>
    <row r="59" spans="1:6" x14ac:dyDescent="0.25">
      <c r="A59" s="14">
        <f t="shared" si="0"/>
        <v>58</v>
      </c>
      <c r="B59" s="14" t="s">
        <v>24</v>
      </c>
    </row>
    <row r="60" spans="1:6" x14ac:dyDescent="0.25">
      <c r="A60" s="14">
        <f t="shared" si="0"/>
        <v>59</v>
      </c>
      <c r="B60" s="14" t="s">
        <v>24</v>
      </c>
    </row>
    <row r="61" spans="1:6" x14ac:dyDescent="0.25">
      <c r="A61" s="14">
        <f t="shared" si="0"/>
        <v>60</v>
      </c>
      <c r="B61" s="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DC0F-8C82-454C-9E72-D83F7D696240}">
  <sheetPr>
    <tabColor rgb="FF92D050"/>
  </sheetPr>
  <dimension ref="B4:E10"/>
  <sheetViews>
    <sheetView tabSelected="1" workbookViewId="0">
      <selection activeCell="R14" sqref="R14"/>
    </sheetView>
  </sheetViews>
  <sheetFormatPr defaultRowHeight="15" x14ac:dyDescent="0.25"/>
  <cols>
    <col min="1" max="1" width="5.42578125" style="51" customWidth="1"/>
    <col min="2" max="2" width="7.140625" style="51" bestFit="1" customWidth="1"/>
    <col min="3" max="4" width="13.140625" style="51" bestFit="1" customWidth="1"/>
    <col min="5" max="6" width="9.5703125" style="51" bestFit="1" customWidth="1"/>
    <col min="7" max="7" width="8.28515625" style="51" bestFit="1" customWidth="1"/>
    <col min="8" max="8" width="9.5703125" style="51" bestFit="1" customWidth="1"/>
    <col min="9" max="9" width="7.42578125" style="51" bestFit="1" customWidth="1"/>
    <col min="10" max="16384" width="9.140625" style="51"/>
  </cols>
  <sheetData>
    <row r="4" spans="2:5" x14ac:dyDescent="0.25">
      <c r="B4"/>
      <c r="C4" s="55" t="s">
        <v>56</v>
      </c>
      <c r="D4" s="65" t="s">
        <v>57</v>
      </c>
    </row>
    <row r="5" spans="2:5" x14ac:dyDescent="0.25">
      <c r="B5" s="52" t="s">
        <v>50</v>
      </c>
      <c r="C5" s="64" t="s">
        <v>55</v>
      </c>
      <c r="D5" s="66" t="s">
        <v>55</v>
      </c>
      <c r="E5" s="70" t="s">
        <v>51</v>
      </c>
    </row>
    <row r="6" spans="2:5" x14ac:dyDescent="0.25">
      <c r="B6" s="53">
        <v>12</v>
      </c>
      <c r="C6" s="67">
        <f>LeaseACar!O30</f>
        <v>-387.4970484384699</v>
      </c>
      <c r="D6" s="69">
        <f>LeaseACar!P30</f>
        <v>-921.05223121065353</v>
      </c>
      <c r="E6" s="71">
        <f>C6-D6</f>
        <v>533.55518277218357</v>
      </c>
    </row>
    <row r="7" spans="2:5" x14ac:dyDescent="0.25">
      <c r="B7" s="53">
        <v>24</v>
      </c>
      <c r="C7" s="67">
        <f>LeaseACar!O42</f>
        <v>-668.26355468936515</v>
      </c>
      <c r="D7" s="67">
        <f>LeaseACar!P42</f>
        <v>-730.95467711147137</v>
      </c>
      <c r="E7" s="72">
        <f t="shared" ref="E7:E10" si="0">C7-D7</f>
        <v>62.691122422106218</v>
      </c>
    </row>
    <row r="8" spans="2:5" x14ac:dyDescent="0.25">
      <c r="B8" s="53">
        <v>36</v>
      </c>
      <c r="C8" s="67">
        <f>LeaseACar!O54</f>
        <v>-574.67471927240024</v>
      </c>
      <c r="D8" s="67">
        <f>LeaseACar!P54</f>
        <v>-640.35942984047517</v>
      </c>
      <c r="E8" s="72">
        <f t="shared" si="0"/>
        <v>65.684710568074934</v>
      </c>
    </row>
    <row r="9" spans="2:5" x14ac:dyDescent="0.25">
      <c r="B9" s="53">
        <v>48</v>
      </c>
      <c r="C9" s="67">
        <f>LeaseACar!O66</f>
        <v>-668.26355468936526</v>
      </c>
      <c r="D9" s="67">
        <f>LeaseACar!P66</f>
        <v>-581.24176726505493</v>
      </c>
      <c r="E9" s="72">
        <f t="shared" si="0"/>
        <v>-87.021787424310332</v>
      </c>
    </row>
    <row r="10" spans="2:5" x14ac:dyDescent="0.25">
      <c r="B10" s="54">
        <v>60</v>
      </c>
      <c r="C10" s="68">
        <f>LeaseACar!O78</f>
        <v>-612.11025343918607</v>
      </c>
      <c r="D10" s="68">
        <f>LeaseACar!P78</f>
        <v>-536.93167747365214</v>
      </c>
      <c r="E10" s="73">
        <f t="shared" si="0"/>
        <v>-75.178575965533923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B237-CF55-420C-898E-07B5559A070C}">
  <sheetPr>
    <tabColor theme="2" tint="-0.749992370372631"/>
  </sheetPr>
  <dimension ref="A2:P80"/>
  <sheetViews>
    <sheetView showGridLines="0" zoomScale="90" zoomScaleNormal="90" workbookViewId="0">
      <pane ySplit="19" topLeftCell="A20" activePane="bottomLeft" state="frozen"/>
      <selection pane="bottomLeft" activeCell="G15" sqref="G15"/>
    </sheetView>
  </sheetViews>
  <sheetFormatPr defaultRowHeight="11.25" x14ac:dyDescent="0.2"/>
  <cols>
    <col min="1" max="1" width="2.28515625" style="17" customWidth="1"/>
    <col min="2" max="2" width="25.42578125" style="17" bestFit="1" customWidth="1"/>
    <col min="3" max="3" width="10" style="17" bestFit="1" customWidth="1"/>
    <col min="4" max="4" width="19.7109375" style="17" bestFit="1" customWidth="1"/>
    <col min="5" max="5" width="20.28515625" style="17" bestFit="1" customWidth="1"/>
    <col min="6" max="6" width="8.140625" style="17" bestFit="1" customWidth="1"/>
    <col min="7" max="7" width="9.140625" style="17" bestFit="1" customWidth="1"/>
    <col min="8" max="8" width="10.5703125" style="17" bestFit="1" customWidth="1"/>
    <col min="9" max="9" width="2.5703125" style="17" bestFit="1" customWidth="1"/>
    <col min="10" max="10" width="12.7109375" style="17" bestFit="1" customWidth="1"/>
    <col min="11" max="11" width="10.5703125" style="17" bestFit="1" customWidth="1"/>
    <col min="12" max="12" width="10.28515625" style="17" bestFit="1" customWidth="1"/>
    <col min="13" max="13" width="11.140625" style="17" bestFit="1" customWidth="1"/>
    <col min="14" max="14" width="14.85546875" style="17" bestFit="1" customWidth="1"/>
    <col min="15" max="15" width="10.42578125" style="17" bestFit="1" customWidth="1"/>
    <col min="16" max="16" width="22.85546875" style="17" bestFit="1" customWidth="1"/>
    <col min="17" max="16384" width="9.140625" style="17"/>
  </cols>
  <sheetData>
    <row r="2" spans="2:16" x14ac:dyDescent="0.2">
      <c r="B2" s="23" t="s">
        <v>9</v>
      </c>
      <c r="C2" s="24"/>
    </row>
    <row r="3" spans="2:16" x14ac:dyDescent="0.2">
      <c r="B3" s="25" t="s">
        <v>10</v>
      </c>
      <c r="C3" s="26">
        <v>1000</v>
      </c>
    </row>
    <row r="4" spans="2:16" x14ac:dyDescent="0.2">
      <c r="B4" s="27" t="s">
        <v>13</v>
      </c>
      <c r="C4" s="28">
        <v>6.8500000000000005E-2</v>
      </c>
      <c r="K4" s="79" t="s">
        <v>62</v>
      </c>
      <c r="L4" s="79"/>
      <c r="M4" s="79"/>
      <c r="N4" s="79"/>
      <c r="O4" s="79"/>
      <c r="P4" s="79"/>
    </row>
    <row r="5" spans="2:16" x14ac:dyDescent="0.2">
      <c r="B5" s="27" t="s">
        <v>12</v>
      </c>
      <c r="C5" s="29">
        <v>25000</v>
      </c>
      <c r="J5" s="18"/>
      <c r="K5" s="82" t="s">
        <v>0</v>
      </c>
      <c r="L5" s="82"/>
      <c r="M5" s="82"/>
      <c r="N5" s="82"/>
      <c r="O5" s="82"/>
      <c r="P5" s="82"/>
    </row>
    <row r="6" spans="2:16" x14ac:dyDescent="0.2">
      <c r="B6" s="27" t="s">
        <v>0</v>
      </c>
      <c r="C6" s="28">
        <v>0.03</v>
      </c>
      <c r="J6" s="33">
        <f>P80</f>
        <v>-536.93167747365214</v>
      </c>
      <c r="K6" s="80">
        <v>2.5000000000000001E-2</v>
      </c>
      <c r="L6" s="80">
        <v>0.03</v>
      </c>
      <c r="M6" s="80">
        <v>3.5000000000000003E-2</v>
      </c>
      <c r="N6" s="80">
        <v>0.04</v>
      </c>
      <c r="O6" s="80">
        <v>4.4999999999999998E-2</v>
      </c>
      <c r="P6" s="80">
        <v>0.05</v>
      </c>
    </row>
    <row r="7" spans="2:16" x14ac:dyDescent="0.2">
      <c r="B7" s="27" t="s">
        <v>11</v>
      </c>
      <c r="C7" s="30">
        <v>60</v>
      </c>
      <c r="J7" s="81">
        <v>0.15</v>
      </c>
      <c r="K7" s="37">
        <f t="dataTable" ref="K7:P11" dt2D="1" dtr="1" r1="C6" r2="C8"/>
        <v>-450.75868612740493</v>
      </c>
      <c r="L7" s="37">
        <v>-459.03649897765848</v>
      </c>
      <c r="M7" s="37">
        <v>-467.34975283081707</v>
      </c>
      <c r="N7" s="37">
        <v>-475.69826493681273</v>
      </c>
      <c r="O7" s="37">
        <v>-484.08184889882153</v>
      </c>
      <c r="P7" s="37">
        <v>-492.50031473699397</v>
      </c>
    </row>
    <row r="8" spans="2:16" x14ac:dyDescent="0.2">
      <c r="B8" s="31" t="s">
        <v>19</v>
      </c>
      <c r="C8" s="32">
        <v>0.2</v>
      </c>
      <c r="H8" s="21" t="s">
        <v>60</v>
      </c>
      <c r="J8" s="81">
        <v>0.2</v>
      </c>
      <c r="K8" s="37">
        <v>-528.65386462339893</v>
      </c>
      <c r="L8" s="37">
        <v>-536.93167747365214</v>
      </c>
      <c r="M8" s="37">
        <v>-545.24493132681062</v>
      </c>
      <c r="N8" s="37">
        <v>-553.59344343280679</v>
      </c>
      <c r="O8" s="37">
        <v>-561.97702739481554</v>
      </c>
      <c r="P8" s="37">
        <v>-570.39549323298786</v>
      </c>
    </row>
    <row r="9" spans="2:16" x14ac:dyDescent="0.2">
      <c r="H9" s="21" t="s">
        <v>61</v>
      </c>
      <c r="J9" s="81">
        <v>0.25</v>
      </c>
      <c r="K9" s="37">
        <v>-600.50144165161919</v>
      </c>
      <c r="L9" s="37">
        <v>-608.7792545018724</v>
      </c>
      <c r="M9" s="37">
        <v>-617.09250835503087</v>
      </c>
      <c r="N9" s="37">
        <v>-625.44102046102705</v>
      </c>
      <c r="O9" s="37">
        <v>-633.82460442303579</v>
      </c>
      <c r="P9" s="37">
        <v>-642.24307026120789</v>
      </c>
    </row>
    <row r="10" spans="2:16" x14ac:dyDescent="0.2">
      <c r="B10" s="39" t="s">
        <v>42</v>
      </c>
      <c r="C10" s="40" t="s">
        <v>35</v>
      </c>
      <c r="D10" s="40" t="s">
        <v>42</v>
      </c>
      <c r="E10" s="41" t="s">
        <v>43</v>
      </c>
      <c r="J10" s="81">
        <v>0.3</v>
      </c>
      <c r="K10" s="37">
        <v>-666.86974861617819</v>
      </c>
      <c r="L10" s="37">
        <v>-675.14756146643197</v>
      </c>
      <c r="M10" s="37">
        <v>-683.46081531959032</v>
      </c>
      <c r="N10" s="37">
        <v>-691.80932742558616</v>
      </c>
      <c r="O10" s="37">
        <v>-700.19291138759513</v>
      </c>
      <c r="P10" s="37">
        <v>-708.61137722576746</v>
      </c>
    </row>
    <row r="11" spans="2:16" x14ac:dyDescent="0.2">
      <c r="B11" s="42" t="s">
        <v>44</v>
      </c>
      <c r="C11" s="43">
        <f>C5</f>
        <v>25000</v>
      </c>
      <c r="D11" s="44"/>
      <c r="E11" s="45"/>
      <c r="J11" s="81">
        <v>0.35</v>
      </c>
      <c r="K11" s="37">
        <v>-728.2842073157899</v>
      </c>
      <c r="L11" s="37">
        <v>-736.56202016604334</v>
      </c>
      <c r="M11" s="37">
        <v>-744.87527401920136</v>
      </c>
      <c r="N11" s="37">
        <v>-753.22378612519765</v>
      </c>
      <c r="O11" s="37">
        <v>-761.60737008720628</v>
      </c>
      <c r="P11" s="37">
        <v>-770.02583592537883</v>
      </c>
    </row>
    <row r="12" spans="2:16" x14ac:dyDescent="0.2">
      <c r="B12" s="42" t="s">
        <v>20</v>
      </c>
      <c r="C12" s="43">
        <f>C11-D12</f>
        <v>20000</v>
      </c>
      <c r="D12" s="43">
        <f>C11*$C$8</f>
        <v>5000</v>
      </c>
      <c r="E12" s="45">
        <f>D12/12</f>
        <v>416.66666666666669</v>
      </c>
    </row>
    <row r="13" spans="2:16" x14ac:dyDescent="0.2">
      <c r="B13" s="42" t="s">
        <v>21</v>
      </c>
      <c r="C13" s="43">
        <f>C12-D13</f>
        <v>16000</v>
      </c>
      <c r="D13" s="43">
        <f>C12*$C$8</f>
        <v>4000</v>
      </c>
      <c r="E13" s="45">
        <f t="shared" ref="E13:E16" si="0">D13/12</f>
        <v>333.33333333333331</v>
      </c>
    </row>
    <row r="14" spans="2:16" x14ac:dyDescent="0.2">
      <c r="B14" s="42" t="s">
        <v>22</v>
      </c>
      <c r="C14" s="43">
        <f>C13-D14</f>
        <v>12800</v>
      </c>
      <c r="D14" s="43">
        <f>C13*$C$8</f>
        <v>3200</v>
      </c>
      <c r="E14" s="45">
        <f t="shared" si="0"/>
        <v>266.66666666666669</v>
      </c>
    </row>
    <row r="15" spans="2:16" x14ac:dyDescent="0.2">
      <c r="B15" s="42" t="s">
        <v>23</v>
      </c>
      <c r="C15" s="43">
        <f>C14-D15</f>
        <v>10240</v>
      </c>
      <c r="D15" s="43">
        <f>C14*$C$8</f>
        <v>2560</v>
      </c>
      <c r="E15" s="45">
        <f t="shared" si="0"/>
        <v>213.33333333333334</v>
      </c>
    </row>
    <row r="16" spans="2:16" x14ac:dyDescent="0.2">
      <c r="B16" s="46" t="s">
        <v>24</v>
      </c>
      <c r="C16" s="47">
        <f>C15-D16</f>
        <v>8192</v>
      </c>
      <c r="D16" s="47">
        <f>C15*$C$8</f>
        <v>2048</v>
      </c>
      <c r="E16" s="48">
        <f t="shared" si="0"/>
        <v>170.66666666666666</v>
      </c>
    </row>
    <row r="17" spans="1:16" x14ac:dyDescent="0.2">
      <c r="C17" s="38"/>
      <c r="D17" s="38"/>
    </row>
    <row r="19" spans="1:16" x14ac:dyDescent="0.2">
      <c r="A19" s="50"/>
      <c r="B19" s="22" t="s">
        <v>25</v>
      </c>
      <c r="C19" s="22" t="s">
        <v>26</v>
      </c>
      <c r="D19" s="22" t="s">
        <v>29</v>
      </c>
      <c r="E19" s="22" t="s">
        <v>30</v>
      </c>
      <c r="F19" s="22" t="s">
        <v>41</v>
      </c>
      <c r="G19" s="22" t="s">
        <v>32</v>
      </c>
      <c r="H19" s="22" t="s">
        <v>33</v>
      </c>
      <c r="I19" s="22" t="s">
        <v>38</v>
      </c>
      <c r="J19" s="22" t="s">
        <v>34</v>
      </c>
      <c r="K19" s="22" t="s">
        <v>35</v>
      </c>
      <c r="L19" s="22" t="s">
        <v>36</v>
      </c>
      <c r="M19" s="22" t="s">
        <v>37</v>
      </c>
      <c r="N19" s="22" t="s">
        <v>45</v>
      </c>
      <c r="O19" s="22" t="s">
        <v>52</v>
      </c>
      <c r="P19" s="22" t="s">
        <v>58</v>
      </c>
    </row>
    <row r="20" spans="1:16" x14ac:dyDescent="0.2">
      <c r="B20" s="19">
        <v>0</v>
      </c>
      <c r="K20" s="33">
        <f>C5</f>
        <v>25000</v>
      </c>
    </row>
    <row r="21" spans="1:16" x14ac:dyDescent="0.2">
      <c r="B21" s="19">
        <v>1</v>
      </c>
      <c r="C21" s="19" t="str">
        <f t="shared" ref="C21:C52" si="1">VLOOKUP(B21,CarTable,2,FALSE)</f>
        <v>Year 1</v>
      </c>
      <c r="D21" s="34">
        <f>C5-C3+(C4*C5)</f>
        <v>25712.5</v>
      </c>
      <c r="E21" s="37">
        <f t="shared" ref="E21:E52" si="2">PMT($C$6/12,$C$7,$D$21,0,0)</f>
        <v>-462.01995869972342</v>
      </c>
      <c r="F21" s="34">
        <f>$C$6/12*D21</f>
        <v>64.28125</v>
      </c>
      <c r="G21" s="34">
        <f>-E21-F21</f>
        <v>397.73870869972342</v>
      </c>
      <c r="H21" s="34">
        <f>D21-G21</f>
        <v>25314.761291300278</v>
      </c>
      <c r="J21" s="49">
        <f t="shared" ref="J21:J52" si="3">VLOOKUP(C21,DepreciationTableBuy,4,FALSE)</f>
        <v>416.66666666666669</v>
      </c>
      <c r="K21" s="33">
        <f>K20-J21</f>
        <v>24583.333333333332</v>
      </c>
      <c r="L21" s="33">
        <f>K21-H21</f>
        <v>-731.42795796694554</v>
      </c>
      <c r="M21" s="33">
        <f>-$C$3+SUM($E$21:E21)+L21</f>
        <v>-2193.4479166666688</v>
      </c>
      <c r="N21" s="34">
        <f>M21/B21</f>
        <v>-2193.4479166666688</v>
      </c>
      <c r="O21" s="33">
        <f>-(J21+F21)</f>
        <v>-480.94791666666669</v>
      </c>
      <c r="P21" s="33">
        <f>AVERAGE($N$21:N21)</f>
        <v>-2193.4479166666688</v>
      </c>
    </row>
    <row r="22" spans="1:16" x14ac:dyDescent="0.2">
      <c r="B22" s="19">
        <v>2</v>
      </c>
      <c r="C22" s="19" t="str">
        <f t="shared" si="1"/>
        <v>Year 1</v>
      </c>
      <c r="D22" s="33">
        <f>H21</f>
        <v>25314.761291300278</v>
      </c>
      <c r="E22" s="37">
        <f t="shared" si="2"/>
        <v>-462.01995869972342</v>
      </c>
      <c r="F22" s="34">
        <f>$C$6/12*D22</f>
        <v>63.286903228250694</v>
      </c>
      <c r="G22" s="34">
        <f>-E22-F22</f>
        <v>398.73305547147271</v>
      </c>
      <c r="H22" s="34">
        <f>D22-G22</f>
        <v>24916.028235828806</v>
      </c>
      <c r="J22" s="49">
        <f t="shared" si="3"/>
        <v>416.66666666666669</v>
      </c>
      <c r="K22" s="33">
        <f t="shared" ref="K22:K80" si="4">K21-J22</f>
        <v>24166.666666666664</v>
      </c>
      <c r="L22" s="33">
        <f t="shared" ref="L22:L80" si="5">K22-H22</f>
        <v>-749.36156916214168</v>
      </c>
      <c r="M22" s="33">
        <f>-$C$3+SUM($E$21:E22)+L22</f>
        <v>-2673.4014865615886</v>
      </c>
      <c r="N22" s="34">
        <f t="shared" ref="N22:N80" si="6">M22/B22</f>
        <v>-1336.7007432807943</v>
      </c>
      <c r="O22" s="33">
        <f t="shared" ref="O22:O80" si="7">-(J22+F22)</f>
        <v>-479.95356989491739</v>
      </c>
      <c r="P22" s="33">
        <f>AVERAGE($N$21:N22)</f>
        <v>-1765.0743299737314</v>
      </c>
    </row>
    <row r="23" spans="1:16" x14ac:dyDescent="0.2">
      <c r="B23" s="19">
        <v>3</v>
      </c>
      <c r="C23" s="19" t="str">
        <f t="shared" si="1"/>
        <v>Year 1</v>
      </c>
      <c r="D23" s="33">
        <f t="shared" ref="D23:D26" si="8">H22</f>
        <v>24916.028235828806</v>
      </c>
      <c r="E23" s="37">
        <f t="shared" si="2"/>
        <v>-462.01995869972342</v>
      </c>
      <c r="F23" s="34">
        <f t="shared" ref="F23:F26" si="9">$C$6/12*D23</f>
        <v>62.290070589572018</v>
      </c>
      <c r="G23" s="34">
        <f t="shared" ref="G23:G26" si="10">-E23-F23</f>
        <v>399.72988811015142</v>
      </c>
      <c r="H23" s="34">
        <f t="shared" ref="H23:H26" si="11">D23-G23</f>
        <v>24516.298347718654</v>
      </c>
      <c r="J23" s="49">
        <f t="shared" si="3"/>
        <v>416.66666666666669</v>
      </c>
      <c r="K23" s="33">
        <f t="shared" si="4"/>
        <v>23749.999999999996</v>
      </c>
      <c r="L23" s="33">
        <f t="shared" si="5"/>
        <v>-766.29834771865717</v>
      </c>
      <c r="M23" s="33">
        <f>-$C$3+SUM($E$21:E23)+L23</f>
        <v>-3152.3582238178274</v>
      </c>
      <c r="N23" s="34">
        <f t="shared" si="6"/>
        <v>-1050.7860746059425</v>
      </c>
      <c r="O23" s="33">
        <f t="shared" si="7"/>
        <v>-478.95673725623868</v>
      </c>
      <c r="P23" s="33">
        <f>AVERAGE($N$21:N23)</f>
        <v>-1526.9782448511351</v>
      </c>
    </row>
    <row r="24" spans="1:16" x14ac:dyDescent="0.2">
      <c r="B24" s="19">
        <v>4</v>
      </c>
      <c r="C24" s="19" t="str">
        <f t="shared" si="1"/>
        <v>Year 1</v>
      </c>
      <c r="D24" s="33">
        <f t="shared" si="8"/>
        <v>24516.298347718654</v>
      </c>
      <c r="E24" s="37">
        <f t="shared" si="2"/>
        <v>-462.01995869972342</v>
      </c>
      <c r="F24" s="34">
        <f t="shared" si="9"/>
        <v>61.290745869296636</v>
      </c>
      <c r="G24" s="34">
        <f t="shared" si="10"/>
        <v>400.72921283042677</v>
      </c>
      <c r="H24" s="34">
        <f t="shared" si="11"/>
        <v>24115.569134888228</v>
      </c>
      <c r="J24" s="49">
        <f t="shared" si="3"/>
        <v>416.66666666666669</v>
      </c>
      <c r="K24" s="33">
        <f t="shared" si="4"/>
        <v>23333.333333333328</v>
      </c>
      <c r="L24" s="33">
        <f t="shared" si="5"/>
        <v>-782.23580155489981</v>
      </c>
      <c r="M24" s="33">
        <f>-$C$3+SUM($E$21:E24)+L24</f>
        <v>-3630.3156363537937</v>
      </c>
      <c r="N24" s="34">
        <f t="shared" si="6"/>
        <v>-907.57890908844843</v>
      </c>
      <c r="O24" s="33">
        <f t="shared" si="7"/>
        <v>-477.95741253596333</v>
      </c>
      <c r="P24" s="33">
        <f>AVERAGE($N$21:N24)</f>
        <v>-1372.1284109104633</v>
      </c>
    </row>
    <row r="25" spans="1:16" x14ac:dyDescent="0.2">
      <c r="B25" s="19">
        <v>5</v>
      </c>
      <c r="C25" s="19" t="str">
        <f t="shared" si="1"/>
        <v>Year 1</v>
      </c>
      <c r="D25" s="33">
        <f t="shared" si="8"/>
        <v>24115.569134888228</v>
      </c>
      <c r="E25" s="37">
        <f t="shared" si="2"/>
        <v>-462.01995869972342</v>
      </c>
      <c r="F25" s="34">
        <f t="shared" si="9"/>
        <v>60.288922837220575</v>
      </c>
      <c r="G25" s="34">
        <f t="shared" si="10"/>
        <v>401.73103586250284</v>
      </c>
      <c r="H25" s="34">
        <f t="shared" si="11"/>
        <v>23713.838099025725</v>
      </c>
      <c r="J25" s="49">
        <f t="shared" si="3"/>
        <v>416.66666666666669</v>
      </c>
      <c r="K25" s="33">
        <f t="shared" si="4"/>
        <v>22916.666666666661</v>
      </c>
      <c r="L25" s="33">
        <f t="shared" si="5"/>
        <v>-797.17143235906406</v>
      </c>
      <c r="M25" s="33">
        <f>-$C$3+SUM($E$21:E25)+L25</f>
        <v>-4107.2712258576812</v>
      </c>
      <c r="N25" s="34">
        <f t="shared" si="6"/>
        <v>-821.45424517153629</v>
      </c>
      <c r="O25" s="33">
        <f t="shared" si="7"/>
        <v>-476.95558950388727</v>
      </c>
      <c r="P25" s="33">
        <f>AVERAGE($N$21:N25)</f>
        <v>-1261.9935777626779</v>
      </c>
    </row>
    <row r="26" spans="1:16" x14ac:dyDescent="0.2">
      <c r="B26" s="19">
        <v>6</v>
      </c>
      <c r="C26" s="19" t="str">
        <f t="shared" si="1"/>
        <v>Year 1</v>
      </c>
      <c r="D26" s="33">
        <f t="shared" si="8"/>
        <v>23713.838099025725</v>
      </c>
      <c r="E26" s="37">
        <f t="shared" si="2"/>
        <v>-462.01995869972342</v>
      </c>
      <c r="F26" s="34">
        <f t="shared" si="9"/>
        <v>59.284595247564312</v>
      </c>
      <c r="G26" s="34">
        <f t="shared" si="10"/>
        <v>402.73536345215911</v>
      </c>
      <c r="H26" s="34">
        <f t="shared" si="11"/>
        <v>23311.102735573564</v>
      </c>
      <c r="J26" s="49">
        <f t="shared" si="3"/>
        <v>416.66666666666669</v>
      </c>
      <c r="K26" s="33">
        <f t="shared" si="4"/>
        <v>22499.999999999993</v>
      </c>
      <c r="L26" s="33">
        <f t="shared" si="5"/>
        <v>-811.10273557357141</v>
      </c>
      <c r="M26" s="33">
        <f>-$C$3+SUM($E$21:E26)+L26</f>
        <v>-4583.2224877719118</v>
      </c>
      <c r="N26" s="34">
        <f t="shared" si="6"/>
        <v>-763.87041462865193</v>
      </c>
      <c r="O26" s="33">
        <f t="shared" si="7"/>
        <v>-475.951261914231</v>
      </c>
      <c r="P26" s="33">
        <f>AVERAGE($N$21:N26)</f>
        <v>-1178.9730505736736</v>
      </c>
    </row>
    <row r="27" spans="1:16" x14ac:dyDescent="0.2">
      <c r="B27" s="19">
        <v>7</v>
      </c>
      <c r="C27" s="19" t="str">
        <f t="shared" si="1"/>
        <v>Year 1</v>
      </c>
      <c r="D27" s="33">
        <f t="shared" ref="D27:D80" si="12">H26</f>
        <v>23311.102735573564</v>
      </c>
      <c r="E27" s="37">
        <f t="shared" si="2"/>
        <v>-462.01995869972342</v>
      </c>
      <c r="F27" s="34">
        <f t="shared" ref="F27:F80" si="13">$C$6/12*D27</f>
        <v>58.277756838933911</v>
      </c>
      <c r="G27" s="34">
        <f t="shared" ref="G27:G80" si="14">-E27-F27</f>
        <v>403.74220186078952</v>
      </c>
      <c r="H27" s="34">
        <f t="shared" ref="H27:H80" si="15">D27-G27</f>
        <v>22907.360533712774</v>
      </c>
      <c r="J27" s="49">
        <f t="shared" si="3"/>
        <v>416.66666666666669</v>
      </c>
      <c r="K27" s="33">
        <f t="shared" si="4"/>
        <v>22083.333333333325</v>
      </c>
      <c r="L27" s="33">
        <f t="shared" si="5"/>
        <v>-824.02720037944891</v>
      </c>
      <c r="M27" s="33">
        <f>-$C$3+SUM($E$21:E27)+L27</f>
        <v>-5058.1669112775126</v>
      </c>
      <c r="N27" s="34">
        <f t="shared" si="6"/>
        <v>-722.59527303964467</v>
      </c>
      <c r="O27" s="33">
        <f t="shared" si="7"/>
        <v>-474.94442350560058</v>
      </c>
      <c r="P27" s="33">
        <f>AVERAGE($N$21:N27)</f>
        <v>-1113.7762252116695</v>
      </c>
    </row>
    <row r="28" spans="1:16" x14ac:dyDescent="0.2">
      <c r="B28" s="19">
        <v>8</v>
      </c>
      <c r="C28" s="19" t="str">
        <f t="shared" si="1"/>
        <v>Year 1</v>
      </c>
      <c r="D28" s="33">
        <f t="shared" si="12"/>
        <v>22907.360533712774</v>
      </c>
      <c r="E28" s="37">
        <f t="shared" si="2"/>
        <v>-462.01995869972342</v>
      </c>
      <c r="F28" s="34">
        <f t="shared" si="13"/>
        <v>57.268401334281933</v>
      </c>
      <c r="G28" s="34">
        <f t="shared" si="14"/>
        <v>404.7515573654415</v>
      </c>
      <c r="H28" s="34">
        <f t="shared" si="15"/>
        <v>22502.608976347332</v>
      </c>
      <c r="J28" s="49">
        <f t="shared" si="3"/>
        <v>416.66666666666669</v>
      </c>
      <c r="K28" s="33">
        <f t="shared" si="4"/>
        <v>21666.666666666657</v>
      </c>
      <c r="L28" s="33">
        <f t="shared" si="5"/>
        <v>-835.94230968067495</v>
      </c>
      <c r="M28" s="33">
        <f>-$C$3+SUM($E$21:E28)+L28</f>
        <v>-5532.1019792784618</v>
      </c>
      <c r="N28" s="34">
        <f t="shared" si="6"/>
        <v>-691.51274740980773</v>
      </c>
      <c r="O28" s="33">
        <f t="shared" si="7"/>
        <v>-473.9350680009486</v>
      </c>
      <c r="P28" s="33">
        <f>AVERAGE($N$21:N28)</f>
        <v>-1060.9932904864368</v>
      </c>
    </row>
    <row r="29" spans="1:16" x14ac:dyDescent="0.2">
      <c r="B29" s="19">
        <v>9</v>
      </c>
      <c r="C29" s="19" t="str">
        <f t="shared" si="1"/>
        <v>Year 1</v>
      </c>
      <c r="D29" s="33">
        <f t="shared" si="12"/>
        <v>22502.608976347332</v>
      </c>
      <c r="E29" s="37">
        <f t="shared" si="2"/>
        <v>-462.01995869972342</v>
      </c>
      <c r="F29" s="34">
        <f t="shared" si="13"/>
        <v>56.256522440868331</v>
      </c>
      <c r="G29" s="34">
        <f t="shared" si="14"/>
        <v>405.76343625885511</v>
      </c>
      <c r="H29" s="34">
        <f t="shared" si="15"/>
        <v>22096.845540088478</v>
      </c>
      <c r="J29" s="49">
        <f t="shared" si="3"/>
        <v>416.66666666666669</v>
      </c>
      <c r="K29" s="33">
        <f t="shared" si="4"/>
        <v>21249.999999999989</v>
      </c>
      <c r="L29" s="33">
        <f t="shared" si="5"/>
        <v>-846.84554008848863</v>
      </c>
      <c r="M29" s="33">
        <f>-$C$3+SUM($E$21:E29)+L29</f>
        <v>-6005.0251683859988</v>
      </c>
      <c r="N29" s="34">
        <f t="shared" si="6"/>
        <v>-667.22501870955546</v>
      </c>
      <c r="O29" s="33">
        <f t="shared" si="7"/>
        <v>-472.92318910753499</v>
      </c>
      <c r="P29" s="33">
        <f>AVERAGE($N$21:N29)</f>
        <v>-1017.2412602890056</v>
      </c>
    </row>
    <row r="30" spans="1:16" x14ac:dyDescent="0.2">
      <c r="B30" s="19">
        <v>10</v>
      </c>
      <c r="C30" s="19" t="str">
        <f t="shared" si="1"/>
        <v>Year 1</v>
      </c>
      <c r="D30" s="33">
        <f t="shared" si="12"/>
        <v>22096.845540088478</v>
      </c>
      <c r="E30" s="37">
        <f t="shared" si="2"/>
        <v>-462.01995869972342</v>
      </c>
      <c r="F30" s="34">
        <f t="shared" si="13"/>
        <v>55.242113850221195</v>
      </c>
      <c r="G30" s="34">
        <f t="shared" si="14"/>
        <v>406.77784484950223</v>
      </c>
      <c r="H30" s="34">
        <f t="shared" si="15"/>
        <v>21690.067695238977</v>
      </c>
      <c r="J30" s="49">
        <f t="shared" si="3"/>
        <v>416.66666666666669</v>
      </c>
      <c r="K30" s="33">
        <f t="shared" si="4"/>
        <v>20833.333333333321</v>
      </c>
      <c r="L30" s="33">
        <f t="shared" si="5"/>
        <v>-856.73436190565553</v>
      </c>
      <c r="M30" s="33">
        <f>-$C$3+SUM($E$21:E30)+L30</f>
        <v>-6476.9339489028889</v>
      </c>
      <c r="N30" s="34">
        <f t="shared" si="6"/>
        <v>-647.69339489028891</v>
      </c>
      <c r="O30" s="33">
        <f t="shared" si="7"/>
        <v>-471.90878051688787</v>
      </c>
      <c r="P30" s="33">
        <f>AVERAGE($N$21:N30)</f>
        <v>-980.28647374913396</v>
      </c>
    </row>
    <row r="31" spans="1:16" x14ac:dyDescent="0.2">
      <c r="B31" s="19">
        <v>11</v>
      </c>
      <c r="C31" s="19" t="str">
        <f t="shared" si="1"/>
        <v>Year 1</v>
      </c>
      <c r="D31" s="33">
        <f t="shared" si="12"/>
        <v>21690.067695238977</v>
      </c>
      <c r="E31" s="37">
        <f t="shared" si="2"/>
        <v>-462.01995869972342</v>
      </c>
      <c r="F31" s="34">
        <f t="shared" si="13"/>
        <v>54.225169238097443</v>
      </c>
      <c r="G31" s="34">
        <f t="shared" si="14"/>
        <v>407.79478946162595</v>
      </c>
      <c r="H31" s="34">
        <f t="shared" si="15"/>
        <v>21282.27290577735</v>
      </c>
      <c r="J31" s="49">
        <f t="shared" si="3"/>
        <v>416.66666666666669</v>
      </c>
      <c r="K31" s="33">
        <f t="shared" si="4"/>
        <v>20416.666666666653</v>
      </c>
      <c r="L31" s="33">
        <f t="shared" si="5"/>
        <v>-865.60623911069706</v>
      </c>
      <c r="M31" s="33">
        <f>-$C$3+SUM($E$21:E31)+L31</f>
        <v>-6947.8257848076537</v>
      </c>
      <c r="N31" s="34">
        <f t="shared" si="6"/>
        <v>-631.62052589160487</v>
      </c>
      <c r="O31" s="33">
        <f t="shared" si="7"/>
        <v>-470.89183590476415</v>
      </c>
      <c r="P31" s="33">
        <f>AVERAGE($N$21:N31)</f>
        <v>-948.5895693984495</v>
      </c>
    </row>
    <row r="32" spans="1:16" x14ac:dyDescent="0.2">
      <c r="B32" s="19">
        <v>12</v>
      </c>
      <c r="C32" s="19" t="str">
        <f t="shared" si="1"/>
        <v>Year 1</v>
      </c>
      <c r="D32" s="33">
        <f t="shared" si="12"/>
        <v>21282.27290577735</v>
      </c>
      <c r="E32" s="37">
        <f t="shared" si="2"/>
        <v>-462.01995869972342</v>
      </c>
      <c r="F32" s="34">
        <f t="shared" si="13"/>
        <v>53.205682264443375</v>
      </c>
      <c r="G32" s="34">
        <f t="shared" si="14"/>
        <v>408.81427643528002</v>
      </c>
      <c r="H32" s="34">
        <f t="shared" si="15"/>
        <v>20873.458629342069</v>
      </c>
      <c r="J32" s="49">
        <f t="shared" si="3"/>
        <v>416.66666666666669</v>
      </c>
      <c r="K32" s="33">
        <f t="shared" si="4"/>
        <v>19999.999999999985</v>
      </c>
      <c r="L32" s="33">
        <f t="shared" si="5"/>
        <v>-873.45862934208344</v>
      </c>
      <c r="M32" s="33">
        <f>-$C$3+SUM($E$21:E32)+L32</f>
        <v>-7417.6981337387633</v>
      </c>
      <c r="N32" s="34">
        <f t="shared" si="6"/>
        <v>-618.14151114489698</v>
      </c>
      <c r="O32" s="33">
        <f t="shared" si="7"/>
        <v>-469.87234893111008</v>
      </c>
      <c r="P32" s="33">
        <f>AVERAGE($N$21:N32)</f>
        <v>-921.05223121065353</v>
      </c>
    </row>
    <row r="33" spans="2:16" x14ac:dyDescent="0.2">
      <c r="B33" s="19">
        <v>13</v>
      </c>
      <c r="C33" s="19" t="str">
        <f t="shared" si="1"/>
        <v>Year 2</v>
      </c>
      <c r="D33" s="33">
        <f t="shared" si="12"/>
        <v>20873.458629342069</v>
      </c>
      <c r="E33" s="37">
        <f t="shared" si="2"/>
        <v>-462.01995869972342</v>
      </c>
      <c r="F33" s="34">
        <f t="shared" si="13"/>
        <v>52.183646573355176</v>
      </c>
      <c r="G33" s="34">
        <f t="shared" si="14"/>
        <v>409.83631212636823</v>
      </c>
      <c r="H33" s="34">
        <f t="shared" si="15"/>
        <v>20463.622317215701</v>
      </c>
      <c r="J33" s="49">
        <f t="shared" si="3"/>
        <v>333.33333333333331</v>
      </c>
      <c r="K33" s="33">
        <f t="shared" si="4"/>
        <v>19666.666666666653</v>
      </c>
      <c r="L33" s="33">
        <f t="shared" si="5"/>
        <v>-796.95565054904728</v>
      </c>
      <c r="M33" s="33">
        <f>-$C$3+SUM($E$21:E33)+L33</f>
        <v>-7803.2151136454504</v>
      </c>
      <c r="N33" s="34">
        <f t="shared" si="6"/>
        <v>-600.24731643426537</v>
      </c>
      <c r="O33" s="33">
        <f t="shared" si="7"/>
        <v>-385.5169799066885</v>
      </c>
      <c r="P33" s="33">
        <f>AVERAGE($N$21:N33)</f>
        <v>-896.37493007400815</v>
      </c>
    </row>
    <row r="34" spans="2:16" x14ac:dyDescent="0.2">
      <c r="B34" s="19">
        <v>14</v>
      </c>
      <c r="C34" s="19" t="str">
        <f t="shared" si="1"/>
        <v>Year 2</v>
      </c>
      <c r="D34" s="33">
        <f t="shared" si="12"/>
        <v>20463.622317215701</v>
      </c>
      <c r="E34" s="37">
        <f t="shared" si="2"/>
        <v>-462.01995869972342</v>
      </c>
      <c r="F34" s="34">
        <f t="shared" si="13"/>
        <v>51.159055793039251</v>
      </c>
      <c r="G34" s="34">
        <f t="shared" si="14"/>
        <v>410.86090290668415</v>
      </c>
      <c r="H34" s="34">
        <f t="shared" si="15"/>
        <v>20052.761414309018</v>
      </c>
      <c r="J34" s="49">
        <f t="shared" si="3"/>
        <v>333.33333333333331</v>
      </c>
      <c r="K34" s="33">
        <f t="shared" si="4"/>
        <v>19333.333333333321</v>
      </c>
      <c r="L34" s="33">
        <f t="shared" si="5"/>
        <v>-719.4280809756965</v>
      </c>
      <c r="M34" s="33">
        <f>-$C$3+SUM($E$21:E34)+L34</f>
        <v>-8187.7075027718229</v>
      </c>
      <c r="N34" s="34">
        <f t="shared" si="6"/>
        <v>-584.8362501979874</v>
      </c>
      <c r="O34" s="33">
        <f t="shared" si="7"/>
        <v>-384.49238912637259</v>
      </c>
      <c r="P34" s="33">
        <f>AVERAGE($N$21:N34)</f>
        <v>-874.122167225721</v>
      </c>
    </row>
    <row r="35" spans="2:16" x14ac:dyDescent="0.2">
      <c r="B35" s="19">
        <v>15</v>
      </c>
      <c r="C35" s="19" t="str">
        <f t="shared" si="1"/>
        <v>Year 2</v>
      </c>
      <c r="D35" s="33">
        <f t="shared" si="12"/>
        <v>20052.761414309018</v>
      </c>
      <c r="E35" s="37">
        <f t="shared" si="2"/>
        <v>-462.01995869972342</v>
      </c>
      <c r="F35" s="34">
        <f t="shared" si="13"/>
        <v>50.131903535772544</v>
      </c>
      <c r="G35" s="34">
        <f t="shared" si="14"/>
        <v>411.88805516395087</v>
      </c>
      <c r="H35" s="34">
        <f t="shared" si="15"/>
        <v>19640.873359145065</v>
      </c>
      <c r="J35" s="49">
        <f t="shared" si="3"/>
        <v>333.33333333333331</v>
      </c>
      <c r="K35" s="33">
        <f t="shared" si="4"/>
        <v>18999.999999999989</v>
      </c>
      <c r="L35" s="33">
        <f t="shared" si="5"/>
        <v>-640.87335914507639</v>
      </c>
      <c r="M35" s="33">
        <f>-$C$3+SUM($E$21:E35)+L35</f>
        <v>-8571.172739640926</v>
      </c>
      <c r="N35" s="34">
        <f t="shared" si="6"/>
        <v>-571.41151597606176</v>
      </c>
      <c r="O35" s="33">
        <f t="shared" si="7"/>
        <v>-383.46523686910587</v>
      </c>
      <c r="P35" s="33">
        <f>AVERAGE($N$21:N35)</f>
        <v>-853.94145714241051</v>
      </c>
    </row>
    <row r="36" spans="2:16" x14ac:dyDescent="0.2">
      <c r="B36" s="19">
        <v>16</v>
      </c>
      <c r="C36" s="19" t="str">
        <f t="shared" si="1"/>
        <v>Year 2</v>
      </c>
      <c r="D36" s="33">
        <f t="shared" si="12"/>
        <v>19640.873359145065</v>
      </c>
      <c r="E36" s="37">
        <f t="shared" si="2"/>
        <v>-462.01995869972342</v>
      </c>
      <c r="F36" s="34">
        <f t="shared" si="13"/>
        <v>49.102183397862667</v>
      </c>
      <c r="G36" s="34">
        <f t="shared" si="14"/>
        <v>412.91777530186073</v>
      </c>
      <c r="H36" s="34">
        <f t="shared" si="15"/>
        <v>19227.955583843206</v>
      </c>
      <c r="J36" s="49">
        <f t="shared" si="3"/>
        <v>333.33333333333331</v>
      </c>
      <c r="K36" s="33">
        <f t="shared" si="4"/>
        <v>18666.666666666657</v>
      </c>
      <c r="L36" s="33">
        <f t="shared" si="5"/>
        <v>-561.28891717654915</v>
      </c>
      <c r="M36" s="33">
        <f>-$C$3+SUM($E$21:E36)+L36</f>
        <v>-8953.6082563721211</v>
      </c>
      <c r="N36" s="34">
        <f t="shared" si="6"/>
        <v>-559.60051602325757</v>
      </c>
      <c r="O36" s="33">
        <f t="shared" si="7"/>
        <v>-382.435516731196</v>
      </c>
      <c r="P36" s="33">
        <f>AVERAGE($N$21:N36)</f>
        <v>-835.54514832246343</v>
      </c>
    </row>
    <row r="37" spans="2:16" x14ac:dyDescent="0.2">
      <c r="B37" s="19">
        <v>17</v>
      </c>
      <c r="C37" s="19" t="str">
        <f t="shared" si="1"/>
        <v>Year 2</v>
      </c>
      <c r="D37" s="33">
        <f t="shared" si="12"/>
        <v>19227.955583843206</v>
      </c>
      <c r="E37" s="37">
        <f t="shared" si="2"/>
        <v>-462.01995869972342</v>
      </c>
      <c r="F37" s="34">
        <f t="shared" si="13"/>
        <v>48.069888959608015</v>
      </c>
      <c r="G37" s="34">
        <f t="shared" si="14"/>
        <v>413.9500697401154</v>
      </c>
      <c r="H37" s="34">
        <f t="shared" si="15"/>
        <v>18814.00551410309</v>
      </c>
      <c r="J37" s="49">
        <f t="shared" si="3"/>
        <v>333.33333333333331</v>
      </c>
      <c r="K37" s="33">
        <f t="shared" si="4"/>
        <v>18333.333333333325</v>
      </c>
      <c r="L37" s="33">
        <f t="shared" si="5"/>
        <v>-480.67218076976496</v>
      </c>
      <c r="M37" s="33">
        <f>-$C$3+SUM($E$21:E37)+L37</f>
        <v>-9335.0114786650611</v>
      </c>
      <c r="N37" s="34">
        <f t="shared" si="6"/>
        <v>-549.11832227441539</v>
      </c>
      <c r="O37" s="33">
        <f t="shared" si="7"/>
        <v>-381.40322229294134</v>
      </c>
      <c r="P37" s="33">
        <f>AVERAGE($N$21:N37)</f>
        <v>-818.69651149610763</v>
      </c>
    </row>
    <row r="38" spans="2:16" x14ac:dyDescent="0.2">
      <c r="B38" s="19">
        <v>18</v>
      </c>
      <c r="C38" s="19" t="str">
        <f t="shared" si="1"/>
        <v>Year 2</v>
      </c>
      <c r="D38" s="33">
        <f t="shared" si="12"/>
        <v>18814.00551410309</v>
      </c>
      <c r="E38" s="37">
        <f t="shared" si="2"/>
        <v>-462.01995869972342</v>
      </c>
      <c r="F38" s="34">
        <f t="shared" si="13"/>
        <v>47.035013785257725</v>
      </c>
      <c r="G38" s="34">
        <f t="shared" si="14"/>
        <v>414.9849449144657</v>
      </c>
      <c r="H38" s="34">
        <f t="shared" si="15"/>
        <v>18399.020569188626</v>
      </c>
      <c r="J38" s="49">
        <f t="shared" si="3"/>
        <v>333.33333333333331</v>
      </c>
      <c r="K38" s="33">
        <f t="shared" si="4"/>
        <v>17999.999999999993</v>
      </c>
      <c r="L38" s="33">
        <f t="shared" si="5"/>
        <v>-399.02056918863309</v>
      </c>
      <c r="M38" s="33">
        <f>-$C$3+SUM($E$21:E38)+L38</f>
        <v>-9715.3798257836534</v>
      </c>
      <c r="N38" s="34">
        <f t="shared" si="6"/>
        <v>-539.74332365464738</v>
      </c>
      <c r="O38" s="33">
        <f t="shared" si="7"/>
        <v>-380.36834711859103</v>
      </c>
      <c r="P38" s="33">
        <f>AVERAGE($N$21:N38)</f>
        <v>-803.1991121715821</v>
      </c>
    </row>
    <row r="39" spans="2:16" x14ac:dyDescent="0.2">
      <c r="B39" s="19">
        <v>19</v>
      </c>
      <c r="C39" s="19" t="str">
        <f t="shared" si="1"/>
        <v>Year 2</v>
      </c>
      <c r="D39" s="33">
        <f t="shared" si="12"/>
        <v>18399.020569188626</v>
      </c>
      <c r="E39" s="37">
        <f t="shared" si="2"/>
        <v>-462.01995869972342</v>
      </c>
      <c r="F39" s="34">
        <f t="shared" si="13"/>
        <v>45.997551422971569</v>
      </c>
      <c r="G39" s="34">
        <f t="shared" si="14"/>
        <v>416.02240727675184</v>
      </c>
      <c r="H39" s="34">
        <f t="shared" si="15"/>
        <v>17982.998161911873</v>
      </c>
      <c r="J39" s="49">
        <f t="shared" si="3"/>
        <v>333.33333333333331</v>
      </c>
      <c r="K39" s="33">
        <f t="shared" si="4"/>
        <v>17666.666666666661</v>
      </c>
      <c r="L39" s="33">
        <f t="shared" si="5"/>
        <v>-316.33149524521286</v>
      </c>
      <c r="M39" s="33">
        <f>-$C$3+SUM($E$21:E39)+L39</f>
        <v>-10094.710710539957</v>
      </c>
      <c r="N39" s="34">
        <f t="shared" si="6"/>
        <v>-531.30056371262935</v>
      </c>
      <c r="O39" s="33">
        <f t="shared" si="7"/>
        <v>-379.3308847563049</v>
      </c>
      <c r="P39" s="33">
        <f>AVERAGE($N$21:N39)</f>
        <v>-788.88866225268987</v>
      </c>
    </row>
    <row r="40" spans="2:16" x14ac:dyDescent="0.2">
      <c r="B40" s="19">
        <v>20</v>
      </c>
      <c r="C40" s="19" t="str">
        <f t="shared" si="1"/>
        <v>Year 2</v>
      </c>
      <c r="D40" s="33">
        <f t="shared" si="12"/>
        <v>17982.998161911873</v>
      </c>
      <c r="E40" s="37">
        <f t="shared" si="2"/>
        <v>-462.01995869972342</v>
      </c>
      <c r="F40" s="34">
        <f t="shared" si="13"/>
        <v>44.957495404779685</v>
      </c>
      <c r="G40" s="34">
        <f t="shared" si="14"/>
        <v>417.06246329494371</v>
      </c>
      <c r="H40" s="34">
        <f t="shared" si="15"/>
        <v>17565.93569861693</v>
      </c>
      <c r="J40" s="49">
        <f t="shared" si="3"/>
        <v>333.33333333333331</v>
      </c>
      <c r="K40" s="33">
        <f t="shared" si="4"/>
        <v>17333.333333333328</v>
      </c>
      <c r="L40" s="33">
        <f t="shared" si="5"/>
        <v>-232.6023652836011</v>
      </c>
      <c r="M40" s="33">
        <f>-$C$3+SUM($E$21:E40)+L40</f>
        <v>-10473.00153927807</v>
      </c>
      <c r="N40" s="34">
        <f t="shared" si="6"/>
        <v>-523.65007696390353</v>
      </c>
      <c r="O40" s="33">
        <f t="shared" si="7"/>
        <v>-378.29082873811302</v>
      </c>
      <c r="P40" s="33">
        <f>AVERAGE($N$21:N40)</f>
        <v>-775.62673298825052</v>
      </c>
    </row>
    <row r="41" spans="2:16" x14ac:dyDescent="0.2">
      <c r="B41" s="19">
        <v>21</v>
      </c>
      <c r="C41" s="19" t="str">
        <f t="shared" si="1"/>
        <v>Year 2</v>
      </c>
      <c r="D41" s="33">
        <f t="shared" si="12"/>
        <v>17565.93569861693</v>
      </c>
      <c r="E41" s="37">
        <f t="shared" si="2"/>
        <v>-462.01995869972342</v>
      </c>
      <c r="F41" s="34">
        <f t="shared" si="13"/>
        <v>43.914839246542321</v>
      </c>
      <c r="G41" s="34">
        <f t="shared" si="14"/>
        <v>418.10511945318109</v>
      </c>
      <c r="H41" s="34">
        <f t="shared" si="15"/>
        <v>17147.830579163747</v>
      </c>
      <c r="J41" s="49">
        <f t="shared" si="3"/>
        <v>333.33333333333331</v>
      </c>
      <c r="K41" s="33">
        <f t="shared" si="4"/>
        <v>16999.999999999996</v>
      </c>
      <c r="L41" s="33">
        <f t="shared" si="5"/>
        <v>-147.83057916375037</v>
      </c>
      <c r="M41" s="33">
        <f>-$C$3+SUM($E$21:E41)+L41</f>
        <v>-10850.249711857943</v>
      </c>
      <c r="N41" s="34">
        <f t="shared" si="6"/>
        <v>-516.67855770752112</v>
      </c>
      <c r="O41" s="33">
        <f t="shared" si="7"/>
        <v>-377.24817257987564</v>
      </c>
      <c r="P41" s="33">
        <f>AVERAGE($N$21:N41)</f>
        <v>-763.29586749869202</v>
      </c>
    </row>
    <row r="42" spans="2:16" x14ac:dyDescent="0.2">
      <c r="B42" s="19">
        <v>22</v>
      </c>
      <c r="C42" s="19" t="str">
        <f t="shared" si="1"/>
        <v>Year 2</v>
      </c>
      <c r="D42" s="33">
        <f t="shared" si="12"/>
        <v>17147.830579163747</v>
      </c>
      <c r="E42" s="37">
        <f t="shared" si="2"/>
        <v>-462.01995869972342</v>
      </c>
      <c r="F42" s="34">
        <f t="shared" si="13"/>
        <v>42.869576447909367</v>
      </c>
      <c r="G42" s="34">
        <f t="shared" si="14"/>
        <v>419.15038225181405</v>
      </c>
      <c r="H42" s="34">
        <f t="shared" si="15"/>
        <v>16728.680196911933</v>
      </c>
      <c r="J42" s="49">
        <f t="shared" si="3"/>
        <v>333.33333333333331</v>
      </c>
      <c r="K42" s="33">
        <f t="shared" si="4"/>
        <v>16666.666666666664</v>
      </c>
      <c r="L42" s="33">
        <f t="shared" si="5"/>
        <v>-62.013530245269067</v>
      </c>
      <c r="M42" s="33">
        <f>-$C$3+SUM($E$21:E42)+L42</f>
        <v>-11226.452621639186</v>
      </c>
      <c r="N42" s="34">
        <f t="shared" si="6"/>
        <v>-510.29330098359935</v>
      </c>
      <c r="O42" s="33">
        <f t="shared" si="7"/>
        <v>-376.20290978124268</v>
      </c>
      <c r="P42" s="33">
        <f>AVERAGE($N$21:N42)</f>
        <v>-751.79575083891507</v>
      </c>
    </row>
    <row r="43" spans="2:16" x14ac:dyDescent="0.2">
      <c r="B43" s="19">
        <v>23</v>
      </c>
      <c r="C43" s="19" t="str">
        <f t="shared" si="1"/>
        <v>Year 2</v>
      </c>
      <c r="D43" s="33">
        <f t="shared" si="12"/>
        <v>16728.680196911933</v>
      </c>
      <c r="E43" s="37">
        <f t="shared" si="2"/>
        <v>-462.01995869972342</v>
      </c>
      <c r="F43" s="34">
        <f t="shared" si="13"/>
        <v>41.821700492279831</v>
      </c>
      <c r="G43" s="34">
        <f t="shared" si="14"/>
        <v>420.19825820744359</v>
      </c>
      <c r="H43" s="34">
        <f t="shared" si="15"/>
        <v>16308.48193870449</v>
      </c>
      <c r="J43" s="49">
        <f t="shared" si="3"/>
        <v>333.33333333333331</v>
      </c>
      <c r="K43" s="33">
        <f t="shared" si="4"/>
        <v>16333.33333333333</v>
      </c>
      <c r="L43" s="33">
        <f t="shared" si="5"/>
        <v>24.851394628840353</v>
      </c>
      <c r="M43" s="33">
        <f>-$C$3+SUM($E$21:E43)+L43</f>
        <v>-11601.607655464801</v>
      </c>
      <c r="N43" s="34">
        <f t="shared" si="6"/>
        <v>-504.41772415064349</v>
      </c>
      <c r="O43" s="33">
        <f t="shared" si="7"/>
        <v>-375.15503382561315</v>
      </c>
      <c r="P43" s="33">
        <f>AVERAGE($N$21:N43)</f>
        <v>-741.04018446116413</v>
      </c>
    </row>
    <row r="44" spans="2:16" x14ac:dyDescent="0.2">
      <c r="B44" s="19">
        <v>24</v>
      </c>
      <c r="C44" s="19" t="str">
        <f t="shared" si="1"/>
        <v>Year 2</v>
      </c>
      <c r="D44" s="33">
        <f t="shared" si="12"/>
        <v>16308.48193870449</v>
      </c>
      <c r="E44" s="37">
        <f t="shared" si="2"/>
        <v>-462.01995869972342</v>
      </c>
      <c r="F44" s="34">
        <f t="shared" si="13"/>
        <v>40.771204846761229</v>
      </c>
      <c r="G44" s="34">
        <f t="shared" si="14"/>
        <v>421.24875385296218</v>
      </c>
      <c r="H44" s="34">
        <f t="shared" si="15"/>
        <v>15887.233184851528</v>
      </c>
      <c r="J44" s="49">
        <f t="shared" si="3"/>
        <v>333.33333333333331</v>
      </c>
      <c r="K44" s="33">
        <f t="shared" si="4"/>
        <v>15999.999999999996</v>
      </c>
      <c r="L44" s="33">
        <f t="shared" si="5"/>
        <v>112.76681514846859</v>
      </c>
      <c r="M44" s="33">
        <f>-$C$3+SUM($E$21:E44)+L44</f>
        <v>-11975.712193644897</v>
      </c>
      <c r="N44" s="34">
        <f t="shared" si="6"/>
        <v>-498.98800806853734</v>
      </c>
      <c r="O44" s="33">
        <f t="shared" si="7"/>
        <v>-374.10453818009455</v>
      </c>
      <c r="P44" s="33">
        <f>AVERAGE($N$21:N44)</f>
        <v>-730.95467711147137</v>
      </c>
    </row>
    <row r="45" spans="2:16" x14ac:dyDescent="0.2">
      <c r="B45" s="19">
        <v>25</v>
      </c>
      <c r="C45" s="19" t="str">
        <f t="shared" si="1"/>
        <v>Year 3</v>
      </c>
      <c r="D45" s="33">
        <f t="shared" si="12"/>
        <v>15887.233184851528</v>
      </c>
      <c r="E45" s="37">
        <f t="shared" si="2"/>
        <v>-462.01995869972342</v>
      </c>
      <c r="F45" s="34">
        <f t="shared" si="13"/>
        <v>39.718082962128818</v>
      </c>
      <c r="G45" s="34">
        <f t="shared" si="14"/>
        <v>422.30187573759463</v>
      </c>
      <c r="H45" s="34">
        <f t="shared" si="15"/>
        <v>15464.931309113934</v>
      </c>
      <c r="J45" s="49">
        <f t="shared" si="3"/>
        <v>266.66666666666669</v>
      </c>
      <c r="K45" s="33">
        <f t="shared" si="4"/>
        <v>15733.33333333333</v>
      </c>
      <c r="L45" s="33">
        <f t="shared" si="5"/>
        <v>268.40202421939648</v>
      </c>
      <c r="M45" s="33">
        <f>-$C$3+SUM($E$21:E45)+L45</f>
        <v>-12282.096943273693</v>
      </c>
      <c r="N45" s="34">
        <f t="shared" si="6"/>
        <v>-491.28387773094772</v>
      </c>
      <c r="O45" s="33">
        <f t="shared" si="7"/>
        <v>-306.38474962879548</v>
      </c>
      <c r="P45" s="33">
        <f>AVERAGE($N$21:N45)</f>
        <v>-721.36784513625037</v>
      </c>
    </row>
    <row r="46" spans="2:16" x14ac:dyDescent="0.2">
      <c r="B46" s="19">
        <v>26</v>
      </c>
      <c r="C46" s="19" t="str">
        <f t="shared" si="1"/>
        <v>Year 3</v>
      </c>
      <c r="D46" s="33">
        <f t="shared" si="12"/>
        <v>15464.931309113934</v>
      </c>
      <c r="E46" s="37">
        <f t="shared" si="2"/>
        <v>-462.01995869972342</v>
      </c>
      <c r="F46" s="34">
        <f t="shared" si="13"/>
        <v>38.662328272784833</v>
      </c>
      <c r="G46" s="34">
        <f t="shared" si="14"/>
        <v>423.35763042693861</v>
      </c>
      <c r="H46" s="34">
        <f t="shared" si="15"/>
        <v>15041.573678686995</v>
      </c>
      <c r="J46" s="49">
        <f t="shared" si="3"/>
        <v>266.66666666666669</v>
      </c>
      <c r="K46" s="33">
        <f t="shared" si="4"/>
        <v>15466.666666666664</v>
      </c>
      <c r="L46" s="33">
        <f t="shared" si="5"/>
        <v>425.09298797966949</v>
      </c>
      <c r="M46" s="33">
        <f>-$C$3+SUM($E$21:E46)+L46</f>
        <v>-12587.425938213144</v>
      </c>
      <c r="N46" s="34">
        <f t="shared" si="6"/>
        <v>-484.13176685435167</v>
      </c>
      <c r="O46" s="33">
        <f t="shared" si="7"/>
        <v>-305.32899493945149</v>
      </c>
      <c r="P46" s="33">
        <f>AVERAGE($N$21:N46)</f>
        <v>-712.24338058694661</v>
      </c>
    </row>
    <row r="47" spans="2:16" x14ac:dyDescent="0.2">
      <c r="B47" s="19">
        <v>27</v>
      </c>
      <c r="C47" s="19" t="str">
        <f t="shared" si="1"/>
        <v>Year 3</v>
      </c>
      <c r="D47" s="33">
        <f t="shared" si="12"/>
        <v>15041.573678686995</v>
      </c>
      <c r="E47" s="37">
        <f t="shared" si="2"/>
        <v>-462.01995869972342</v>
      </c>
      <c r="F47" s="34">
        <f t="shared" si="13"/>
        <v>37.603934196717489</v>
      </c>
      <c r="G47" s="34">
        <f t="shared" si="14"/>
        <v>424.41602450300593</v>
      </c>
      <c r="H47" s="34">
        <f t="shared" si="15"/>
        <v>14617.15765418399</v>
      </c>
      <c r="J47" s="49">
        <f t="shared" si="3"/>
        <v>266.66666666666669</v>
      </c>
      <c r="K47" s="33">
        <f t="shared" si="4"/>
        <v>15199.999999999998</v>
      </c>
      <c r="L47" s="33">
        <f t="shared" si="5"/>
        <v>582.84234581600867</v>
      </c>
      <c r="M47" s="33">
        <f>-$C$3+SUM($E$21:E47)+L47</f>
        <v>-12891.696539076529</v>
      </c>
      <c r="N47" s="34">
        <f t="shared" si="6"/>
        <v>-477.4702421880196</v>
      </c>
      <c r="O47" s="33">
        <f t="shared" si="7"/>
        <v>-304.27060086338417</v>
      </c>
      <c r="P47" s="33">
        <f>AVERAGE($N$21:N47)</f>
        <v>-703.5480791647642</v>
      </c>
    </row>
    <row r="48" spans="2:16" x14ac:dyDescent="0.2">
      <c r="B48" s="19">
        <v>28</v>
      </c>
      <c r="C48" s="19" t="str">
        <f t="shared" si="1"/>
        <v>Year 3</v>
      </c>
      <c r="D48" s="33">
        <f t="shared" si="12"/>
        <v>14617.15765418399</v>
      </c>
      <c r="E48" s="37">
        <f t="shared" si="2"/>
        <v>-462.01995869972342</v>
      </c>
      <c r="F48" s="34">
        <f t="shared" si="13"/>
        <v>36.542894135459974</v>
      </c>
      <c r="G48" s="34">
        <f t="shared" si="14"/>
        <v>425.47706456426346</v>
      </c>
      <c r="H48" s="34">
        <f t="shared" si="15"/>
        <v>14191.680589619726</v>
      </c>
      <c r="J48" s="49">
        <f t="shared" si="3"/>
        <v>266.66666666666669</v>
      </c>
      <c r="K48" s="33">
        <f t="shared" si="4"/>
        <v>14933.333333333332</v>
      </c>
      <c r="L48" s="33">
        <f t="shared" si="5"/>
        <v>741.65274371360647</v>
      </c>
      <c r="M48" s="33">
        <f>-$C$3+SUM($E$21:E48)+L48</f>
        <v>-13194.906099878655</v>
      </c>
      <c r="N48" s="34">
        <f t="shared" si="6"/>
        <v>-471.24664642423767</v>
      </c>
      <c r="O48" s="33">
        <f t="shared" si="7"/>
        <v>-303.20956080212665</v>
      </c>
      <c r="P48" s="33">
        <f>AVERAGE($N$21:N48)</f>
        <v>-695.25159942403116</v>
      </c>
    </row>
    <row r="49" spans="2:16" x14ac:dyDescent="0.2">
      <c r="B49" s="19">
        <v>29</v>
      </c>
      <c r="C49" s="19" t="str">
        <f t="shared" si="1"/>
        <v>Year 3</v>
      </c>
      <c r="D49" s="33">
        <f t="shared" si="12"/>
        <v>14191.680589619726</v>
      </c>
      <c r="E49" s="37">
        <f t="shared" si="2"/>
        <v>-462.01995869972342</v>
      </c>
      <c r="F49" s="34">
        <f t="shared" si="13"/>
        <v>35.479201474049312</v>
      </c>
      <c r="G49" s="34">
        <f t="shared" si="14"/>
        <v>426.5407572256741</v>
      </c>
      <c r="H49" s="34">
        <f t="shared" si="15"/>
        <v>13765.139832394052</v>
      </c>
      <c r="J49" s="49">
        <f t="shared" si="3"/>
        <v>266.66666666666669</v>
      </c>
      <c r="K49" s="33">
        <f t="shared" si="4"/>
        <v>14666.666666666666</v>
      </c>
      <c r="L49" s="33">
        <f t="shared" si="5"/>
        <v>901.526834272614</v>
      </c>
      <c r="M49" s="33">
        <f>-$C$3+SUM($E$21:E49)+L49</f>
        <v>-13497.051968019372</v>
      </c>
      <c r="N49" s="34">
        <f t="shared" si="6"/>
        <v>-465.4155851041163</v>
      </c>
      <c r="O49" s="33">
        <f t="shared" si="7"/>
        <v>-302.145868140716</v>
      </c>
      <c r="P49" s="33">
        <f>AVERAGE($N$21:N49)</f>
        <v>-687.32621961989616</v>
      </c>
    </row>
    <row r="50" spans="2:16" x14ac:dyDescent="0.2">
      <c r="B50" s="19">
        <v>30</v>
      </c>
      <c r="C50" s="19" t="str">
        <f t="shared" si="1"/>
        <v>Year 3</v>
      </c>
      <c r="D50" s="33">
        <f t="shared" si="12"/>
        <v>13765.139832394052</v>
      </c>
      <c r="E50" s="37">
        <f t="shared" si="2"/>
        <v>-462.01995869972342</v>
      </c>
      <c r="F50" s="34">
        <f t="shared" si="13"/>
        <v>34.412849580985132</v>
      </c>
      <c r="G50" s="34">
        <f t="shared" si="14"/>
        <v>427.60710911873826</v>
      </c>
      <c r="H50" s="34">
        <f t="shared" si="15"/>
        <v>13337.532723275313</v>
      </c>
      <c r="J50" s="49">
        <f t="shared" si="3"/>
        <v>266.66666666666669</v>
      </c>
      <c r="K50" s="33">
        <f t="shared" si="4"/>
        <v>14400</v>
      </c>
      <c r="L50" s="33">
        <f t="shared" si="5"/>
        <v>1062.4672767246866</v>
      </c>
      <c r="M50" s="33">
        <f>-$C$3+SUM($E$21:E50)+L50</f>
        <v>-13798.131484267024</v>
      </c>
      <c r="N50" s="34">
        <f t="shared" si="6"/>
        <v>-459.93771614223414</v>
      </c>
      <c r="O50" s="33">
        <f t="shared" si="7"/>
        <v>-301.07951624765184</v>
      </c>
      <c r="P50" s="33">
        <f>AVERAGE($N$21:N50)</f>
        <v>-679.74660283730748</v>
      </c>
    </row>
    <row r="51" spans="2:16" x14ac:dyDescent="0.2">
      <c r="B51" s="19">
        <v>31</v>
      </c>
      <c r="C51" s="19" t="str">
        <f t="shared" si="1"/>
        <v>Year 3</v>
      </c>
      <c r="D51" s="33">
        <f t="shared" si="12"/>
        <v>13337.532723275313</v>
      </c>
      <c r="E51" s="37">
        <f t="shared" si="2"/>
        <v>-462.01995869972342</v>
      </c>
      <c r="F51" s="34">
        <f t="shared" si="13"/>
        <v>33.343831808188284</v>
      </c>
      <c r="G51" s="34">
        <f t="shared" si="14"/>
        <v>428.67612689153515</v>
      </c>
      <c r="H51" s="34">
        <f t="shared" si="15"/>
        <v>12908.856596383779</v>
      </c>
      <c r="J51" s="49">
        <f t="shared" si="3"/>
        <v>266.66666666666669</v>
      </c>
      <c r="K51" s="33">
        <f t="shared" si="4"/>
        <v>14133.333333333334</v>
      </c>
      <c r="L51" s="33">
        <f t="shared" si="5"/>
        <v>1224.4767369495548</v>
      </c>
      <c r="M51" s="33">
        <f>-$C$3+SUM($E$21:E51)+L51</f>
        <v>-14098.141982741879</v>
      </c>
      <c r="N51" s="34">
        <f t="shared" si="6"/>
        <v>-454.77877363683484</v>
      </c>
      <c r="O51" s="33">
        <f t="shared" si="7"/>
        <v>-300.01049847485496</v>
      </c>
      <c r="P51" s="33">
        <f>AVERAGE($N$21:N51)</f>
        <v>-672.4895760889051</v>
      </c>
    </row>
    <row r="52" spans="2:16" x14ac:dyDescent="0.2">
      <c r="B52" s="19">
        <v>32</v>
      </c>
      <c r="C52" s="19" t="str">
        <f t="shared" si="1"/>
        <v>Year 3</v>
      </c>
      <c r="D52" s="33">
        <f t="shared" si="12"/>
        <v>12908.856596383779</v>
      </c>
      <c r="E52" s="37">
        <f t="shared" si="2"/>
        <v>-462.01995869972342</v>
      </c>
      <c r="F52" s="34">
        <f t="shared" si="13"/>
        <v>32.272141490959449</v>
      </c>
      <c r="G52" s="34">
        <f t="shared" si="14"/>
        <v>429.74781720876399</v>
      </c>
      <c r="H52" s="34">
        <f t="shared" si="15"/>
        <v>12479.108779175014</v>
      </c>
      <c r="J52" s="49">
        <f t="shared" si="3"/>
        <v>266.66666666666669</v>
      </c>
      <c r="K52" s="33">
        <f t="shared" si="4"/>
        <v>13866.666666666668</v>
      </c>
      <c r="L52" s="33">
        <f t="shared" si="5"/>
        <v>1387.5578874916537</v>
      </c>
      <c r="M52" s="33">
        <f>-$C$3+SUM($E$21:E52)+L52</f>
        <v>-14397.080790899505</v>
      </c>
      <c r="N52" s="34">
        <f t="shared" si="6"/>
        <v>-449.90877471560952</v>
      </c>
      <c r="O52" s="33">
        <f t="shared" si="7"/>
        <v>-298.93880815762611</v>
      </c>
      <c r="P52" s="33">
        <f>AVERAGE($N$21:N52)</f>
        <v>-665.53392604598957</v>
      </c>
    </row>
    <row r="53" spans="2:16" x14ac:dyDescent="0.2">
      <c r="B53" s="19">
        <v>33</v>
      </c>
      <c r="C53" s="19" t="str">
        <f t="shared" ref="C53:C80" si="16">VLOOKUP(B53,CarTable,2,FALSE)</f>
        <v>Year 3</v>
      </c>
      <c r="D53" s="33">
        <f t="shared" si="12"/>
        <v>12479.108779175014</v>
      </c>
      <c r="E53" s="37">
        <f t="shared" ref="E53:E80" si="17">PMT($C$6/12,$C$7,$D$21,0,0)</f>
        <v>-462.01995869972342</v>
      </c>
      <c r="F53" s="34">
        <f t="shared" si="13"/>
        <v>31.197771947937536</v>
      </c>
      <c r="G53" s="34">
        <f t="shared" si="14"/>
        <v>430.82218675178586</v>
      </c>
      <c r="H53" s="34">
        <f t="shared" si="15"/>
        <v>12048.286592423228</v>
      </c>
      <c r="J53" s="49">
        <f t="shared" ref="J53:J80" si="18">VLOOKUP(C53,DepreciationTableBuy,4,FALSE)</f>
        <v>266.66666666666669</v>
      </c>
      <c r="K53" s="33">
        <f t="shared" si="4"/>
        <v>13600.000000000002</v>
      </c>
      <c r="L53" s="33">
        <f t="shared" si="5"/>
        <v>1551.7134075767735</v>
      </c>
      <c r="M53" s="33">
        <f>-$C$3+SUM($E$21:E53)+L53</f>
        <v>-14694.945229514109</v>
      </c>
      <c r="N53" s="34">
        <f t="shared" si="6"/>
        <v>-445.30137059133665</v>
      </c>
      <c r="O53" s="33">
        <f t="shared" si="7"/>
        <v>-297.86443861460424</v>
      </c>
      <c r="P53" s="33">
        <f>AVERAGE($N$21:N53)</f>
        <v>-658.86021224433341</v>
      </c>
    </row>
    <row r="54" spans="2:16" x14ac:dyDescent="0.2">
      <c r="B54" s="19">
        <v>34</v>
      </c>
      <c r="C54" s="19" t="str">
        <f t="shared" si="16"/>
        <v>Year 3</v>
      </c>
      <c r="D54" s="33">
        <f t="shared" si="12"/>
        <v>12048.286592423228</v>
      </c>
      <c r="E54" s="37">
        <f t="shared" si="17"/>
        <v>-462.01995869972342</v>
      </c>
      <c r="F54" s="34">
        <f t="shared" si="13"/>
        <v>30.120716481058071</v>
      </c>
      <c r="G54" s="34">
        <f t="shared" si="14"/>
        <v>431.89924221866534</v>
      </c>
      <c r="H54" s="34">
        <f t="shared" si="15"/>
        <v>11616.387350204563</v>
      </c>
      <c r="J54" s="49">
        <f t="shared" si="18"/>
        <v>266.66666666666669</v>
      </c>
      <c r="K54" s="33">
        <f t="shared" si="4"/>
        <v>13333.333333333336</v>
      </c>
      <c r="L54" s="33">
        <f t="shared" si="5"/>
        <v>1716.9459831287732</v>
      </c>
      <c r="M54" s="33">
        <f>-$C$3+SUM($E$21:E54)+L54</f>
        <v>-14991.732612661834</v>
      </c>
      <c r="N54" s="34">
        <f t="shared" si="6"/>
        <v>-440.93331213711275</v>
      </c>
      <c r="O54" s="33">
        <f t="shared" si="7"/>
        <v>-296.78738314772477</v>
      </c>
      <c r="P54" s="33">
        <f>AVERAGE($N$21:N54)</f>
        <v>-652.45059753529756</v>
      </c>
    </row>
    <row r="55" spans="2:16" x14ac:dyDescent="0.2">
      <c r="B55" s="19">
        <v>35</v>
      </c>
      <c r="C55" s="19" t="str">
        <f t="shared" si="16"/>
        <v>Year 3</v>
      </c>
      <c r="D55" s="33">
        <f t="shared" si="12"/>
        <v>11616.387350204563</v>
      </c>
      <c r="E55" s="37">
        <f t="shared" si="17"/>
        <v>-462.01995869972342</v>
      </c>
      <c r="F55" s="34">
        <f t="shared" si="13"/>
        <v>29.040968375511408</v>
      </c>
      <c r="G55" s="34">
        <f t="shared" si="14"/>
        <v>432.97899032421202</v>
      </c>
      <c r="H55" s="34">
        <f t="shared" si="15"/>
        <v>11183.40835988035</v>
      </c>
      <c r="J55" s="49">
        <f t="shared" si="18"/>
        <v>266.66666666666669</v>
      </c>
      <c r="K55" s="33">
        <f t="shared" si="4"/>
        <v>13066.66666666667</v>
      </c>
      <c r="L55" s="33">
        <f t="shared" si="5"/>
        <v>1883.2583067863197</v>
      </c>
      <c r="M55" s="33">
        <f>-$C$3+SUM($E$21:E55)+L55</f>
        <v>-15287.440247704009</v>
      </c>
      <c r="N55" s="34">
        <f t="shared" si="6"/>
        <v>-436.7840070772574</v>
      </c>
      <c r="O55" s="33">
        <f t="shared" si="7"/>
        <v>-295.70763504217808</v>
      </c>
      <c r="P55" s="33">
        <f>AVERAGE($N$21:N55)</f>
        <v>-646.28869495078209</v>
      </c>
    </row>
    <row r="56" spans="2:16" x14ac:dyDescent="0.2">
      <c r="B56" s="19">
        <v>36</v>
      </c>
      <c r="C56" s="19" t="str">
        <f t="shared" si="16"/>
        <v>Year 3</v>
      </c>
      <c r="D56" s="33">
        <f t="shared" si="12"/>
        <v>11183.40835988035</v>
      </c>
      <c r="E56" s="37">
        <f t="shared" si="17"/>
        <v>-462.01995869972342</v>
      </c>
      <c r="F56" s="34">
        <f t="shared" si="13"/>
        <v>27.958520899700876</v>
      </c>
      <c r="G56" s="34">
        <f t="shared" si="14"/>
        <v>434.06143780002253</v>
      </c>
      <c r="H56" s="34">
        <f t="shared" si="15"/>
        <v>10749.346922080327</v>
      </c>
      <c r="J56" s="49">
        <f t="shared" si="18"/>
        <v>266.66666666666669</v>
      </c>
      <c r="K56" s="33">
        <f t="shared" si="4"/>
        <v>12800.000000000004</v>
      </c>
      <c r="L56" s="33">
        <f t="shared" si="5"/>
        <v>2050.6530779196764</v>
      </c>
      <c r="M56" s="33">
        <f>-$C$3+SUM($E$21:E56)+L56</f>
        <v>-15582.065435270379</v>
      </c>
      <c r="N56" s="34">
        <f t="shared" si="6"/>
        <v>-432.83515097973276</v>
      </c>
      <c r="O56" s="33">
        <f t="shared" si="7"/>
        <v>-294.62518756636757</v>
      </c>
      <c r="P56" s="33">
        <f>AVERAGE($N$21:N56)</f>
        <v>-640.35942984047517</v>
      </c>
    </row>
    <row r="57" spans="2:16" x14ac:dyDescent="0.2">
      <c r="B57" s="19">
        <v>37</v>
      </c>
      <c r="C57" s="19" t="str">
        <f t="shared" si="16"/>
        <v>Year 4</v>
      </c>
      <c r="D57" s="33">
        <f t="shared" si="12"/>
        <v>10749.346922080327</v>
      </c>
      <c r="E57" s="37">
        <f t="shared" si="17"/>
        <v>-462.01995869972342</v>
      </c>
      <c r="F57" s="34">
        <f t="shared" si="13"/>
        <v>26.873367305200819</v>
      </c>
      <c r="G57" s="34">
        <f t="shared" si="14"/>
        <v>435.1465913945226</v>
      </c>
      <c r="H57" s="34">
        <f t="shared" si="15"/>
        <v>10314.200330685804</v>
      </c>
      <c r="J57" s="49">
        <f t="shared" si="18"/>
        <v>213.33333333333334</v>
      </c>
      <c r="K57" s="33">
        <f t="shared" si="4"/>
        <v>12586.66666666667</v>
      </c>
      <c r="L57" s="33">
        <f t="shared" si="5"/>
        <v>2272.4663359808656</v>
      </c>
      <c r="M57" s="33">
        <f>-$C$3+SUM($E$21:E57)+L57</f>
        <v>-15822.272135908912</v>
      </c>
      <c r="N57" s="34">
        <f t="shared" si="6"/>
        <v>-427.6289766461868</v>
      </c>
      <c r="O57" s="33">
        <f t="shared" si="7"/>
        <v>-240.20670063853416</v>
      </c>
      <c r="P57" s="33">
        <f>AVERAGE($N$21:N57)</f>
        <v>-634.60995813252134</v>
      </c>
    </row>
    <row r="58" spans="2:16" x14ac:dyDescent="0.2">
      <c r="B58" s="19">
        <v>38</v>
      </c>
      <c r="C58" s="19" t="str">
        <f t="shared" si="16"/>
        <v>Year 4</v>
      </c>
      <c r="D58" s="33">
        <f t="shared" si="12"/>
        <v>10314.200330685804</v>
      </c>
      <c r="E58" s="37">
        <f t="shared" si="17"/>
        <v>-462.01995869972342</v>
      </c>
      <c r="F58" s="34">
        <f t="shared" si="13"/>
        <v>25.785500826714511</v>
      </c>
      <c r="G58" s="34">
        <f t="shared" si="14"/>
        <v>436.23445787300892</v>
      </c>
      <c r="H58" s="34">
        <f t="shared" si="15"/>
        <v>9877.9658728127961</v>
      </c>
      <c r="J58" s="49">
        <f t="shared" si="18"/>
        <v>213.33333333333334</v>
      </c>
      <c r="K58" s="33">
        <f t="shared" si="4"/>
        <v>12373.333333333336</v>
      </c>
      <c r="L58" s="33">
        <f t="shared" si="5"/>
        <v>2495.3674605205397</v>
      </c>
      <c r="M58" s="33">
        <f>-$C$3+SUM($E$21:E58)+L58</f>
        <v>-16061.39097006896</v>
      </c>
      <c r="N58" s="34">
        <f t="shared" si="6"/>
        <v>-422.66818342286734</v>
      </c>
      <c r="O58" s="33">
        <f t="shared" si="7"/>
        <v>-239.11883416004787</v>
      </c>
      <c r="P58" s="33">
        <f>AVERAGE($N$21:N58)</f>
        <v>-629.03254300858305</v>
      </c>
    </row>
    <row r="59" spans="2:16" x14ac:dyDescent="0.2">
      <c r="B59" s="19">
        <v>39</v>
      </c>
      <c r="C59" s="19" t="str">
        <f t="shared" si="16"/>
        <v>Year 4</v>
      </c>
      <c r="D59" s="33">
        <f t="shared" si="12"/>
        <v>9877.9658728127961</v>
      </c>
      <c r="E59" s="37">
        <f t="shared" si="17"/>
        <v>-462.01995869972342</v>
      </c>
      <c r="F59" s="34">
        <f t="shared" si="13"/>
        <v>24.694914682031992</v>
      </c>
      <c r="G59" s="34">
        <f t="shared" si="14"/>
        <v>437.32504401769143</v>
      </c>
      <c r="H59" s="34">
        <f t="shared" si="15"/>
        <v>9440.6408287951053</v>
      </c>
      <c r="J59" s="49">
        <f t="shared" si="18"/>
        <v>213.33333333333334</v>
      </c>
      <c r="K59" s="33">
        <f t="shared" si="4"/>
        <v>12160.000000000002</v>
      </c>
      <c r="L59" s="33">
        <f t="shared" si="5"/>
        <v>2719.3591712048965</v>
      </c>
      <c r="M59" s="33">
        <f>-$C$3+SUM($E$21:E59)+L59</f>
        <v>-16299.419218084326</v>
      </c>
      <c r="N59" s="34">
        <f t="shared" si="6"/>
        <v>-417.93382610472628</v>
      </c>
      <c r="O59" s="33">
        <f t="shared" si="7"/>
        <v>-238.02824801536534</v>
      </c>
      <c r="P59" s="33">
        <f>AVERAGE($N$21:N59)</f>
        <v>-623.61975539566367</v>
      </c>
    </row>
    <row r="60" spans="2:16" x14ac:dyDescent="0.2">
      <c r="B60" s="19">
        <v>40</v>
      </c>
      <c r="C60" s="19" t="str">
        <f t="shared" si="16"/>
        <v>Year 4</v>
      </c>
      <c r="D60" s="33">
        <f t="shared" si="12"/>
        <v>9440.6408287951053</v>
      </c>
      <c r="E60" s="37">
        <f t="shared" si="17"/>
        <v>-462.01995869972342</v>
      </c>
      <c r="F60" s="34">
        <f t="shared" si="13"/>
        <v>23.601602071987763</v>
      </c>
      <c r="G60" s="34">
        <f t="shared" si="14"/>
        <v>438.41835662773565</v>
      </c>
      <c r="H60" s="34">
        <f t="shared" si="15"/>
        <v>9002.2224721673701</v>
      </c>
      <c r="J60" s="49">
        <f t="shared" si="18"/>
        <v>213.33333333333334</v>
      </c>
      <c r="K60" s="33">
        <f t="shared" si="4"/>
        <v>11946.666666666668</v>
      </c>
      <c r="L60" s="33">
        <f t="shared" si="5"/>
        <v>2944.4441944992977</v>
      </c>
      <c r="M60" s="33">
        <f>-$C$3+SUM($E$21:E60)+L60</f>
        <v>-16536.354153489647</v>
      </c>
      <c r="N60" s="34">
        <f t="shared" si="6"/>
        <v>-413.40885383724117</v>
      </c>
      <c r="O60" s="33">
        <f t="shared" si="7"/>
        <v>-236.93493540532111</v>
      </c>
      <c r="P60" s="33">
        <f>AVERAGE($N$21:N60)</f>
        <v>-618.36448285670315</v>
      </c>
    </row>
    <row r="61" spans="2:16" x14ac:dyDescent="0.2">
      <c r="B61" s="19">
        <v>41</v>
      </c>
      <c r="C61" s="19" t="str">
        <f t="shared" si="16"/>
        <v>Year 4</v>
      </c>
      <c r="D61" s="33">
        <f t="shared" si="12"/>
        <v>9002.2224721673701</v>
      </c>
      <c r="E61" s="37">
        <f t="shared" si="17"/>
        <v>-462.01995869972342</v>
      </c>
      <c r="F61" s="34">
        <f t="shared" si="13"/>
        <v>22.505556180418427</v>
      </c>
      <c r="G61" s="34">
        <f t="shared" si="14"/>
        <v>439.51440251930501</v>
      </c>
      <c r="H61" s="34">
        <f t="shared" si="15"/>
        <v>8562.7080696480643</v>
      </c>
      <c r="J61" s="49">
        <f t="shared" si="18"/>
        <v>213.33333333333334</v>
      </c>
      <c r="K61" s="33">
        <f t="shared" si="4"/>
        <v>11733.333333333334</v>
      </c>
      <c r="L61" s="33">
        <f t="shared" si="5"/>
        <v>3170.6252636852696</v>
      </c>
      <c r="M61" s="33">
        <f>-$C$3+SUM($E$21:E61)+L61</f>
        <v>-16772.193043003397</v>
      </c>
      <c r="N61" s="34">
        <f t="shared" si="6"/>
        <v>-409.07787909764386</v>
      </c>
      <c r="O61" s="33">
        <f t="shared" si="7"/>
        <v>-235.83888951375178</v>
      </c>
      <c r="P61" s="33">
        <f>AVERAGE($N$21:N61)</f>
        <v>-613.25993154550656</v>
      </c>
    </row>
    <row r="62" spans="2:16" x14ac:dyDescent="0.2">
      <c r="B62" s="19">
        <v>42</v>
      </c>
      <c r="C62" s="19" t="str">
        <f t="shared" si="16"/>
        <v>Year 4</v>
      </c>
      <c r="D62" s="33">
        <f t="shared" si="12"/>
        <v>8562.7080696480643</v>
      </c>
      <c r="E62" s="37">
        <f t="shared" si="17"/>
        <v>-462.01995869972342</v>
      </c>
      <c r="F62" s="34">
        <f t="shared" si="13"/>
        <v>21.406770174120162</v>
      </c>
      <c r="G62" s="34">
        <f t="shared" si="14"/>
        <v>440.61318852560328</v>
      </c>
      <c r="H62" s="34">
        <f t="shared" si="15"/>
        <v>8122.0948811224607</v>
      </c>
      <c r="J62" s="49">
        <f t="shared" si="18"/>
        <v>213.33333333333334</v>
      </c>
      <c r="K62" s="33">
        <f t="shared" si="4"/>
        <v>11520</v>
      </c>
      <c r="L62" s="33">
        <f t="shared" si="5"/>
        <v>3397.9051188775393</v>
      </c>
      <c r="M62" s="33">
        <f>-$C$3+SUM($E$21:E62)+L62</f>
        <v>-17006.933146510848</v>
      </c>
      <c r="N62" s="34">
        <f t="shared" si="6"/>
        <v>-404.9269796788297</v>
      </c>
      <c r="O62" s="33">
        <f t="shared" si="7"/>
        <v>-234.74010350745351</v>
      </c>
      <c r="P62" s="33">
        <f>AVERAGE($N$21:N62)</f>
        <v>-608.29962316772856</v>
      </c>
    </row>
    <row r="63" spans="2:16" x14ac:dyDescent="0.2">
      <c r="B63" s="19">
        <v>43</v>
      </c>
      <c r="C63" s="19" t="str">
        <f t="shared" si="16"/>
        <v>Year 4</v>
      </c>
      <c r="D63" s="33">
        <f t="shared" si="12"/>
        <v>8122.0948811224607</v>
      </c>
      <c r="E63" s="37">
        <f t="shared" si="17"/>
        <v>-462.01995869972342</v>
      </c>
      <c r="F63" s="34">
        <f t="shared" si="13"/>
        <v>20.305237202806151</v>
      </c>
      <c r="G63" s="34">
        <f t="shared" si="14"/>
        <v>441.71472149691726</v>
      </c>
      <c r="H63" s="34">
        <f t="shared" si="15"/>
        <v>7680.3801596255435</v>
      </c>
      <c r="J63" s="49">
        <f t="shared" si="18"/>
        <v>213.33333333333334</v>
      </c>
      <c r="K63" s="33">
        <f t="shared" si="4"/>
        <v>11306.666666666666</v>
      </c>
      <c r="L63" s="33">
        <f t="shared" si="5"/>
        <v>3626.2865070411226</v>
      </c>
      <c r="M63" s="33">
        <f>-$C$3+SUM($E$21:E63)+L63</f>
        <v>-17240.571717046987</v>
      </c>
      <c r="N63" s="34">
        <f t="shared" si="6"/>
        <v>-400.9435283034183</v>
      </c>
      <c r="O63" s="33">
        <f t="shared" si="7"/>
        <v>-233.6385705361395</v>
      </c>
      <c r="P63" s="33">
        <f>AVERAGE($N$21:N63)</f>
        <v>-603.47738840344221</v>
      </c>
    </row>
    <row r="64" spans="2:16" x14ac:dyDescent="0.2">
      <c r="B64" s="19">
        <v>44</v>
      </c>
      <c r="C64" s="19" t="str">
        <f t="shared" si="16"/>
        <v>Year 4</v>
      </c>
      <c r="D64" s="33">
        <f t="shared" si="12"/>
        <v>7680.3801596255435</v>
      </c>
      <c r="E64" s="37">
        <f t="shared" si="17"/>
        <v>-462.01995869972342</v>
      </c>
      <c r="F64" s="34">
        <f t="shared" si="13"/>
        <v>19.20095039906386</v>
      </c>
      <c r="G64" s="34">
        <f t="shared" si="14"/>
        <v>442.81900830065956</v>
      </c>
      <c r="H64" s="34">
        <f t="shared" si="15"/>
        <v>7237.5611513248841</v>
      </c>
      <c r="J64" s="49">
        <f t="shared" si="18"/>
        <v>213.33333333333334</v>
      </c>
      <c r="K64" s="33">
        <f t="shared" si="4"/>
        <v>11093.333333333332</v>
      </c>
      <c r="L64" s="33">
        <f t="shared" si="5"/>
        <v>3855.772182008448</v>
      </c>
      <c r="M64" s="33">
        <f>-$C$3+SUM($E$21:E64)+L64</f>
        <v>-17473.106000779386</v>
      </c>
      <c r="N64" s="34">
        <f t="shared" si="6"/>
        <v>-397.11604547225875</v>
      </c>
      <c r="O64" s="33">
        <f t="shared" si="7"/>
        <v>-232.5342837323972</v>
      </c>
      <c r="P64" s="33">
        <f>AVERAGE($N$21:N64)</f>
        <v>-598.78735788227903</v>
      </c>
    </row>
    <row r="65" spans="2:16" x14ac:dyDescent="0.2">
      <c r="B65" s="19">
        <v>45</v>
      </c>
      <c r="C65" s="19" t="str">
        <f t="shared" si="16"/>
        <v>Year 4</v>
      </c>
      <c r="D65" s="33">
        <f t="shared" si="12"/>
        <v>7237.5611513248841</v>
      </c>
      <c r="E65" s="37">
        <f t="shared" si="17"/>
        <v>-462.01995869972342</v>
      </c>
      <c r="F65" s="34">
        <f t="shared" si="13"/>
        <v>18.09390287831221</v>
      </c>
      <c r="G65" s="34">
        <f t="shared" si="14"/>
        <v>443.92605582141118</v>
      </c>
      <c r="H65" s="34">
        <f t="shared" si="15"/>
        <v>6793.6350955034732</v>
      </c>
      <c r="J65" s="49">
        <f t="shared" si="18"/>
        <v>213.33333333333334</v>
      </c>
      <c r="K65" s="33">
        <f t="shared" si="4"/>
        <v>10879.999999999998</v>
      </c>
      <c r="L65" s="33">
        <f t="shared" si="5"/>
        <v>4086.364904496525</v>
      </c>
      <c r="M65" s="33">
        <f>-$C$3+SUM($E$21:E65)+L65</f>
        <v>-17704.533236991032</v>
      </c>
      <c r="N65" s="34">
        <f t="shared" si="6"/>
        <v>-393.43407193313402</v>
      </c>
      <c r="O65" s="33">
        <f t="shared" si="7"/>
        <v>-231.42723621164555</v>
      </c>
      <c r="P65" s="33">
        <f>AVERAGE($N$21:N65)</f>
        <v>-594.2239515278535</v>
      </c>
    </row>
    <row r="66" spans="2:16" x14ac:dyDescent="0.2">
      <c r="B66" s="19">
        <v>46</v>
      </c>
      <c r="C66" s="19" t="str">
        <f t="shared" si="16"/>
        <v>Year 4</v>
      </c>
      <c r="D66" s="33">
        <f t="shared" si="12"/>
        <v>6793.6350955034732</v>
      </c>
      <c r="E66" s="37">
        <f t="shared" si="17"/>
        <v>-462.01995869972342</v>
      </c>
      <c r="F66" s="34">
        <f t="shared" si="13"/>
        <v>16.984087738758681</v>
      </c>
      <c r="G66" s="34">
        <f t="shared" si="14"/>
        <v>445.03587096096476</v>
      </c>
      <c r="H66" s="34">
        <f t="shared" si="15"/>
        <v>6348.5992245425086</v>
      </c>
      <c r="J66" s="49">
        <f t="shared" si="18"/>
        <v>213.33333333333334</v>
      </c>
      <c r="K66" s="33">
        <f t="shared" si="4"/>
        <v>10666.666666666664</v>
      </c>
      <c r="L66" s="33">
        <f t="shared" si="5"/>
        <v>4318.0674421241556</v>
      </c>
      <c r="M66" s="33">
        <f>-$C$3+SUM($E$21:E66)+L66</f>
        <v>-17934.850658063122</v>
      </c>
      <c r="N66" s="34">
        <f t="shared" si="6"/>
        <v>-389.88805778398091</v>
      </c>
      <c r="O66" s="33">
        <f t="shared" si="7"/>
        <v>-230.31742107209203</v>
      </c>
      <c r="P66" s="33">
        <f>AVERAGE($N$21:N66)</f>
        <v>-589.78186688124765</v>
      </c>
    </row>
    <row r="67" spans="2:16" x14ac:dyDescent="0.2">
      <c r="B67" s="19">
        <v>47</v>
      </c>
      <c r="C67" s="19" t="str">
        <f t="shared" si="16"/>
        <v>Year 4</v>
      </c>
      <c r="D67" s="33">
        <f t="shared" si="12"/>
        <v>6348.5992245425086</v>
      </c>
      <c r="E67" s="37">
        <f t="shared" si="17"/>
        <v>-462.01995869972342</v>
      </c>
      <c r="F67" s="34">
        <f t="shared" si="13"/>
        <v>15.871498061356272</v>
      </c>
      <c r="G67" s="34">
        <f t="shared" si="14"/>
        <v>446.14846063836717</v>
      </c>
      <c r="H67" s="34">
        <f t="shared" si="15"/>
        <v>5902.4507639041412</v>
      </c>
      <c r="J67" s="49">
        <f t="shared" si="18"/>
        <v>213.33333333333334</v>
      </c>
      <c r="K67" s="33">
        <f t="shared" si="4"/>
        <v>10453.33333333333</v>
      </c>
      <c r="L67" s="33">
        <f t="shared" si="5"/>
        <v>4550.8825694291891</v>
      </c>
      <c r="M67" s="33">
        <f>-$C$3+SUM($E$21:E67)+L67</f>
        <v>-18164.055489457813</v>
      </c>
      <c r="N67" s="34">
        <f t="shared" si="6"/>
        <v>-386.46926573314494</v>
      </c>
      <c r="O67" s="33">
        <f t="shared" si="7"/>
        <v>-229.20483139468962</v>
      </c>
      <c r="P67" s="33">
        <f>AVERAGE($N$21:N67)</f>
        <v>-585.4560668568198</v>
      </c>
    </row>
    <row r="68" spans="2:16" x14ac:dyDescent="0.2">
      <c r="B68" s="19">
        <v>48</v>
      </c>
      <c r="C68" s="19" t="str">
        <f t="shared" si="16"/>
        <v>Year 4</v>
      </c>
      <c r="D68" s="33">
        <f t="shared" si="12"/>
        <v>5902.4507639041412</v>
      </c>
      <c r="E68" s="37">
        <f t="shared" si="17"/>
        <v>-462.01995869972342</v>
      </c>
      <c r="F68" s="34">
        <f t="shared" si="13"/>
        <v>14.756126909760354</v>
      </c>
      <c r="G68" s="34">
        <f t="shared" si="14"/>
        <v>447.26383178996309</v>
      </c>
      <c r="H68" s="34">
        <f t="shared" si="15"/>
        <v>5455.1869321141785</v>
      </c>
      <c r="J68" s="49">
        <f t="shared" si="18"/>
        <v>213.33333333333334</v>
      </c>
      <c r="K68" s="33">
        <f t="shared" si="4"/>
        <v>10239.999999999996</v>
      </c>
      <c r="L68" s="33">
        <f t="shared" si="5"/>
        <v>4784.8130678858179</v>
      </c>
      <c r="M68" s="33">
        <f>-$C$3+SUM($E$21:E68)+L68</f>
        <v>-18392.144949700905</v>
      </c>
      <c r="N68" s="34">
        <f t="shared" si="6"/>
        <v>-383.16968645210221</v>
      </c>
      <c r="O68" s="33">
        <f t="shared" si="7"/>
        <v>-228.0894602430937</v>
      </c>
      <c r="P68" s="33">
        <f>AVERAGE($N$21:N68)</f>
        <v>-581.24176726505493</v>
      </c>
    </row>
    <row r="69" spans="2:16" x14ac:dyDescent="0.2">
      <c r="B69" s="19">
        <v>49</v>
      </c>
      <c r="C69" s="19" t="str">
        <f t="shared" si="16"/>
        <v>Year 5</v>
      </c>
      <c r="D69" s="33">
        <f t="shared" si="12"/>
        <v>5455.1869321141785</v>
      </c>
      <c r="E69" s="37">
        <f t="shared" si="17"/>
        <v>-462.01995869972342</v>
      </c>
      <c r="F69" s="34">
        <f t="shared" si="13"/>
        <v>13.637967330285447</v>
      </c>
      <c r="G69" s="34">
        <f t="shared" si="14"/>
        <v>448.38199136943797</v>
      </c>
      <c r="H69" s="34">
        <f t="shared" si="15"/>
        <v>5006.8049407447406</v>
      </c>
      <c r="J69" s="49">
        <f t="shared" si="18"/>
        <v>170.66666666666666</v>
      </c>
      <c r="K69" s="33">
        <f t="shared" si="4"/>
        <v>10069.33333333333</v>
      </c>
      <c r="L69" s="33">
        <f t="shared" si="5"/>
        <v>5062.5283925885897</v>
      </c>
      <c r="M69" s="33">
        <f>-$C$3+SUM($E$21:E69)+L69</f>
        <v>-18576.449583697857</v>
      </c>
      <c r="N69" s="34">
        <f t="shared" si="6"/>
        <v>-379.11121599383381</v>
      </c>
      <c r="O69" s="33">
        <f t="shared" si="7"/>
        <v>-184.30463399695211</v>
      </c>
      <c r="P69" s="33">
        <f>AVERAGE($N$21:N69)</f>
        <v>-577.11665397380557</v>
      </c>
    </row>
    <row r="70" spans="2:16" x14ac:dyDescent="0.2">
      <c r="B70" s="19">
        <v>50</v>
      </c>
      <c r="C70" s="19" t="str">
        <f t="shared" si="16"/>
        <v>Year 5</v>
      </c>
      <c r="D70" s="33">
        <f t="shared" si="12"/>
        <v>5006.8049407447406</v>
      </c>
      <c r="E70" s="37">
        <f t="shared" si="17"/>
        <v>-462.01995869972342</v>
      </c>
      <c r="F70" s="34">
        <f t="shared" si="13"/>
        <v>12.517012351861851</v>
      </c>
      <c r="G70" s="34">
        <f t="shared" si="14"/>
        <v>449.50294634786155</v>
      </c>
      <c r="H70" s="34">
        <f t="shared" si="15"/>
        <v>4557.3019943968793</v>
      </c>
      <c r="J70" s="49">
        <f t="shared" si="18"/>
        <v>170.66666666666666</v>
      </c>
      <c r="K70" s="33">
        <f t="shared" si="4"/>
        <v>9898.6666666666642</v>
      </c>
      <c r="L70" s="33">
        <f t="shared" si="5"/>
        <v>5341.3646722697849</v>
      </c>
      <c r="M70" s="33">
        <f>-$C$3+SUM($E$21:E70)+L70</f>
        <v>-18759.633262716383</v>
      </c>
      <c r="N70" s="34">
        <f t="shared" si="6"/>
        <v>-375.19266525432766</v>
      </c>
      <c r="O70" s="33">
        <f t="shared" si="7"/>
        <v>-183.18367901852849</v>
      </c>
      <c r="P70" s="33">
        <f>AVERAGE($N$21:N70)</f>
        <v>-573.07817419941591</v>
      </c>
    </row>
    <row r="71" spans="2:16" x14ac:dyDescent="0.2">
      <c r="B71" s="19">
        <v>51</v>
      </c>
      <c r="C71" s="19" t="str">
        <f t="shared" si="16"/>
        <v>Year 5</v>
      </c>
      <c r="D71" s="33">
        <f t="shared" si="12"/>
        <v>4557.3019943968793</v>
      </c>
      <c r="E71" s="37">
        <f t="shared" si="17"/>
        <v>-462.01995869972342</v>
      </c>
      <c r="F71" s="34">
        <f t="shared" si="13"/>
        <v>11.393254985992199</v>
      </c>
      <c r="G71" s="34">
        <f t="shared" si="14"/>
        <v>450.62670371373122</v>
      </c>
      <c r="H71" s="34">
        <f t="shared" si="15"/>
        <v>4106.675290683148</v>
      </c>
      <c r="J71" s="49">
        <f t="shared" si="18"/>
        <v>170.66666666666666</v>
      </c>
      <c r="K71" s="33">
        <f t="shared" si="4"/>
        <v>9727.9999999999982</v>
      </c>
      <c r="L71" s="33">
        <f t="shared" si="5"/>
        <v>5621.3247093168502</v>
      </c>
      <c r="M71" s="33">
        <f>-$C$3+SUM($E$21:E71)+L71</f>
        <v>-18941.69318436904</v>
      </c>
      <c r="N71" s="34">
        <f t="shared" si="6"/>
        <v>-371.40574871311844</v>
      </c>
      <c r="O71" s="33">
        <f t="shared" si="7"/>
        <v>-182.05992165265886</v>
      </c>
      <c r="P71" s="33">
        <f>AVERAGE($N$21:N71)</f>
        <v>-569.12381291537088</v>
      </c>
    </row>
    <row r="72" spans="2:16" x14ac:dyDescent="0.2">
      <c r="B72" s="19">
        <v>52</v>
      </c>
      <c r="C72" s="19" t="str">
        <f t="shared" si="16"/>
        <v>Year 5</v>
      </c>
      <c r="D72" s="33">
        <f t="shared" si="12"/>
        <v>4106.675290683148</v>
      </c>
      <c r="E72" s="37">
        <f t="shared" si="17"/>
        <v>-462.01995869972342</v>
      </c>
      <c r="F72" s="34">
        <f t="shared" si="13"/>
        <v>10.266688226707871</v>
      </c>
      <c r="G72" s="34">
        <f t="shared" si="14"/>
        <v>451.75327047301556</v>
      </c>
      <c r="H72" s="34">
        <f t="shared" si="15"/>
        <v>3654.9220202101324</v>
      </c>
      <c r="J72" s="49">
        <f t="shared" si="18"/>
        <v>170.66666666666666</v>
      </c>
      <c r="K72" s="33">
        <f t="shared" si="4"/>
        <v>9557.3333333333321</v>
      </c>
      <c r="L72" s="33">
        <f t="shared" si="5"/>
        <v>5902.4113131231998</v>
      </c>
      <c r="M72" s="33">
        <f>-$C$3+SUM($E$21:E72)+L72</f>
        <v>-19122.626539262412</v>
      </c>
      <c r="N72" s="34">
        <f t="shared" si="6"/>
        <v>-367.74281806273871</v>
      </c>
      <c r="O72" s="33">
        <f t="shared" si="7"/>
        <v>-180.93335489337454</v>
      </c>
      <c r="P72" s="33">
        <f>AVERAGE($N$21:N72)</f>
        <v>-565.25110147589726</v>
      </c>
    </row>
    <row r="73" spans="2:16" x14ac:dyDescent="0.2">
      <c r="B73" s="19">
        <v>53</v>
      </c>
      <c r="C73" s="19" t="str">
        <f t="shared" si="16"/>
        <v>Year 5</v>
      </c>
      <c r="D73" s="33">
        <f t="shared" si="12"/>
        <v>3654.9220202101324</v>
      </c>
      <c r="E73" s="37">
        <f t="shared" si="17"/>
        <v>-462.01995869972342</v>
      </c>
      <c r="F73" s="34">
        <f t="shared" si="13"/>
        <v>9.137305050525331</v>
      </c>
      <c r="G73" s="34">
        <f t="shared" si="14"/>
        <v>452.88265364919806</v>
      </c>
      <c r="H73" s="34">
        <f t="shared" si="15"/>
        <v>3202.0393665609345</v>
      </c>
      <c r="J73" s="49">
        <f t="shared" si="18"/>
        <v>170.66666666666666</v>
      </c>
      <c r="K73" s="33">
        <f t="shared" si="4"/>
        <v>9386.6666666666661</v>
      </c>
      <c r="L73" s="33">
        <f t="shared" si="5"/>
        <v>6184.6273001057316</v>
      </c>
      <c r="M73" s="33">
        <f>-$C$3+SUM($E$21:E73)+L73</f>
        <v>-19302.430510979604</v>
      </c>
      <c r="N73" s="34">
        <f t="shared" si="6"/>
        <v>-364.19680209395477</v>
      </c>
      <c r="O73" s="33">
        <f t="shared" si="7"/>
        <v>-179.80397171719198</v>
      </c>
      <c r="P73" s="33">
        <f>AVERAGE($N$21:N73)</f>
        <v>-561.45762412906811</v>
      </c>
    </row>
    <row r="74" spans="2:16" x14ac:dyDescent="0.2">
      <c r="B74" s="19">
        <v>54</v>
      </c>
      <c r="C74" s="19" t="str">
        <f t="shared" si="16"/>
        <v>Year 5</v>
      </c>
      <c r="D74" s="33">
        <f t="shared" si="12"/>
        <v>3202.0393665609345</v>
      </c>
      <c r="E74" s="37">
        <f t="shared" si="17"/>
        <v>-462.01995869972342</v>
      </c>
      <c r="F74" s="34">
        <f t="shared" si="13"/>
        <v>8.0050984164023369</v>
      </c>
      <c r="G74" s="34">
        <f t="shared" si="14"/>
        <v>454.01486028332107</v>
      </c>
      <c r="H74" s="34">
        <f t="shared" si="15"/>
        <v>2748.0245062776135</v>
      </c>
      <c r="J74" s="49">
        <f t="shared" si="18"/>
        <v>170.66666666666666</v>
      </c>
      <c r="K74" s="33">
        <f t="shared" si="4"/>
        <v>9216</v>
      </c>
      <c r="L74" s="33">
        <f t="shared" si="5"/>
        <v>6467.9754937223861</v>
      </c>
      <c r="M74" s="33">
        <f>-$C$3+SUM($E$21:E74)+L74</f>
        <v>-19481.102276062673</v>
      </c>
      <c r="N74" s="34">
        <f t="shared" si="6"/>
        <v>-360.76115326041986</v>
      </c>
      <c r="O74" s="33">
        <f t="shared" si="7"/>
        <v>-178.671765083069</v>
      </c>
      <c r="P74" s="33">
        <f>AVERAGE($N$21:N74)</f>
        <v>-557.7410228166857</v>
      </c>
    </row>
    <row r="75" spans="2:16" x14ac:dyDescent="0.2">
      <c r="B75" s="19">
        <v>55</v>
      </c>
      <c r="C75" s="19" t="str">
        <f t="shared" si="16"/>
        <v>Year 5</v>
      </c>
      <c r="D75" s="33">
        <f t="shared" si="12"/>
        <v>2748.0245062776135</v>
      </c>
      <c r="E75" s="37">
        <f t="shared" si="17"/>
        <v>-462.01995869972342</v>
      </c>
      <c r="F75" s="34">
        <f t="shared" si="13"/>
        <v>6.8700612656940336</v>
      </c>
      <c r="G75" s="34">
        <f t="shared" si="14"/>
        <v>455.14989743402941</v>
      </c>
      <c r="H75" s="34">
        <f t="shared" si="15"/>
        <v>2292.8746088435842</v>
      </c>
      <c r="J75" s="49">
        <f t="shared" si="18"/>
        <v>170.66666666666666</v>
      </c>
      <c r="K75" s="33">
        <f t="shared" si="4"/>
        <v>9045.3333333333339</v>
      </c>
      <c r="L75" s="33">
        <f t="shared" si="5"/>
        <v>6752.4587244897502</v>
      </c>
      <c r="M75" s="33">
        <f>-$C$3+SUM($E$21:E75)+L75</f>
        <v>-19658.639003995027</v>
      </c>
      <c r="N75" s="34">
        <f t="shared" si="6"/>
        <v>-357.42980007263685</v>
      </c>
      <c r="O75" s="33">
        <f t="shared" si="7"/>
        <v>-177.53672793236069</v>
      </c>
      <c r="P75" s="33">
        <f>AVERAGE($N$21:N75)</f>
        <v>-554.09900058497578</v>
      </c>
    </row>
    <row r="76" spans="2:16" x14ac:dyDescent="0.2">
      <c r="B76" s="19">
        <v>56</v>
      </c>
      <c r="C76" s="19" t="str">
        <f t="shared" si="16"/>
        <v>Year 5</v>
      </c>
      <c r="D76" s="33">
        <f t="shared" si="12"/>
        <v>2292.8746088435842</v>
      </c>
      <c r="E76" s="37">
        <f t="shared" si="17"/>
        <v>-462.01995869972342</v>
      </c>
      <c r="F76" s="34">
        <f t="shared" si="13"/>
        <v>5.7321865221089601</v>
      </c>
      <c r="G76" s="34">
        <f t="shared" si="14"/>
        <v>456.28777217761444</v>
      </c>
      <c r="H76" s="34">
        <f t="shared" si="15"/>
        <v>1836.5868366659697</v>
      </c>
      <c r="J76" s="49">
        <f t="shared" si="18"/>
        <v>170.66666666666666</v>
      </c>
      <c r="K76" s="33">
        <f t="shared" si="4"/>
        <v>8874.6666666666679</v>
      </c>
      <c r="L76" s="33">
        <f t="shared" si="5"/>
        <v>7038.0798300006982</v>
      </c>
      <c r="M76" s="33">
        <f>-$C$3+SUM($E$21:E76)+L76</f>
        <v>-19835.037857183805</v>
      </c>
      <c r="N76" s="34">
        <f t="shared" si="6"/>
        <v>-354.19710459256794</v>
      </c>
      <c r="O76" s="33">
        <f t="shared" si="7"/>
        <v>-176.3988531887756</v>
      </c>
      <c r="P76" s="33">
        <f>AVERAGE($N$21:N76)</f>
        <v>-550.52932387082558</v>
      </c>
    </row>
    <row r="77" spans="2:16" x14ac:dyDescent="0.2">
      <c r="B77" s="19">
        <v>57</v>
      </c>
      <c r="C77" s="19" t="str">
        <f t="shared" si="16"/>
        <v>Year 5</v>
      </c>
      <c r="D77" s="33">
        <f t="shared" si="12"/>
        <v>1836.5868366659697</v>
      </c>
      <c r="E77" s="37">
        <f t="shared" si="17"/>
        <v>-462.01995869972342</v>
      </c>
      <c r="F77" s="34">
        <f t="shared" si="13"/>
        <v>4.5914670916649243</v>
      </c>
      <c r="G77" s="34">
        <f t="shared" si="14"/>
        <v>457.42849160805849</v>
      </c>
      <c r="H77" s="34">
        <f t="shared" si="15"/>
        <v>1379.1583450579112</v>
      </c>
      <c r="J77" s="49">
        <f t="shared" si="18"/>
        <v>170.66666666666666</v>
      </c>
      <c r="K77" s="33">
        <f t="shared" si="4"/>
        <v>8704.0000000000018</v>
      </c>
      <c r="L77" s="33">
        <f t="shared" si="5"/>
        <v>7324.8416549420908</v>
      </c>
      <c r="M77" s="33">
        <f>-$C$3+SUM($E$21:E77)+L77</f>
        <v>-20010.295990942133</v>
      </c>
      <c r="N77" s="34">
        <f t="shared" si="6"/>
        <v>-351.05782440249357</v>
      </c>
      <c r="O77" s="33">
        <f t="shared" si="7"/>
        <v>-175.25813375833158</v>
      </c>
      <c r="P77" s="33">
        <f>AVERAGE($N$21:N77)</f>
        <v>-547.02982388015312</v>
      </c>
    </row>
    <row r="78" spans="2:16" x14ac:dyDescent="0.2">
      <c r="B78" s="19">
        <v>58</v>
      </c>
      <c r="C78" s="19" t="str">
        <f t="shared" si="16"/>
        <v>Year 5</v>
      </c>
      <c r="D78" s="33">
        <f t="shared" si="12"/>
        <v>1379.1583450579112</v>
      </c>
      <c r="E78" s="37">
        <f t="shared" si="17"/>
        <v>-462.01995869972342</v>
      </c>
      <c r="F78" s="34">
        <f t="shared" si="13"/>
        <v>3.4478958626447782</v>
      </c>
      <c r="G78" s="34">
        <f t="shared" si="14"/>
        <v>458.57206283707865</v>
      </c>
      <c r="H78" s="34">
        <f t="shared" si="15"/>
        <v>920.58628222083257</v>
      </c>
      <c r="J78" s="49">
        <f t="shared" si="18"/>
        <v>170.66666666666666</v>
      </c>
      <c r="K78" s="33">
        <f t="shared" si="4"/>
        <v>8533.3333333333358</v>
      </c>
      <c r="L78" s="33">
        <f t="shared" si="5"/>
        <v>7612.747051112503</v>
      </c>
      <c r="M78" s="33">
        <f>-$C$3+SUM($E$21:E78)+L78</f>
        <v>-20184.410553471444</v>
      </c>
      <c r="N78" s="34">
        <f t="shared" si="6"/>
        <v>-348.00707850812836</v>
      </c>
      <c r="O78" s="33">
        <f t="shared" si="7"/>
        <v>-174.11456252931143</v>
      </c>
      <c r="P78" s="33">
        <f>AVERAGE($N$21:N78)</f>
        <v>-543.59839723580785</v>
      </c>
    </row>
    <row r="79" spans="2:16" x14ac:dyDescent="0.2">
      <c r="B79" s="19">
        <v>59</v>
      </c>
      <c r="C79" s="19" t="str">
        <f t="shared" si="16"/>
        <v>Year 5</v>
      </c>
      <c r="D79" s="33">
        <f t="shared" si="12"/>
        <v>920.58628222083257</v>
      </c>
      <c r="E79" s="37">
        <f t="shared" si="17"/>
        <v>-462.01995869972342</v>
      </c>
      <c r="F79" s="34">
        <f t="shared" si="13"/>
        <v>2.3014657055520815</v>
      </c>
      <c r="G79" s="34">
        <f t="shared" si="14"/>
        <v>459.71849299417136</v>
      </c>
      <c r="H79" s="34">
        <f t="shared" si="15"/>
        <v>460.86778922666122</v>
      </c>
      <c r="J79" s="49">
        <f t="shared" si="18"/>
        <v>170.66666666666666</v>
      </c>
      <c r="K79" s="33">
        <f t="shared" si="4"/>
        <v>8362.6666666666697</v>
      </c>
      <c r="L79" s="33">
        <f t="shared" si="5"/>
        <v>7901.7988774400083</v>
      </c>
      <c r="M79" s="33">
        <f>-$C$3+SUM($E$21:E79)+L79</f>
        <v>-20357.378685843662</v>
      </c>
      <c r="N79" s="34">
        <f t="shared" si="6"/>
        <v>-345.04031670921461</v>
      </c>
      <c r="O79" s="33">
        <f t="shared" si="7"/>
        <v>-172.96813237221875</v>
      </c>
      <c r="P79" s="33">
        <f>AVERAGE($N$21:N79)</f>
        <v>-540.23300604044186</v>
      </c>
    </row>
    <row r="80" spans="2:16" x14ac:dyDescent="0.2">
      <c r="B80" s="19">
        <v>60</v>
      </c>
      <c r="C80" s="19" t="str">
        <f t="shared" si="16"/>
        <v>Year 5</v>
      </c>
      <c r="D80" s="33">
        <f t="shared" si="12"/>
        <v>460.86778922666122</v>
      </c>
      <c r="E80" s="37">
        <f t="shared" si="17"/>
        <v>-462.01995869972342</v>
      </c>
      <c r="F80" s="34">
        <f t="shared" si="13"/>
        <v>1.152169473066653</v>
      </c>
      <c r="G80" s="34">
        <f t="shared" si="14"/>
        <v>460.86778922665678</v>
      </c>
      <c r="H80" s="34">
        <f t="shared" si="15"/>
        <v>4.4337866711430252E-12</v>
      </c>
      <c r="J80" s="49">
        <f t="shared" si="18"/>
        <v>170.66666666666666</v>
      </c>
      <c r="K80" s="33">
        <f t="shared" si="4"/>
        <v>8192.0000000000036</v>
      </c>
      <c r="L80" s="33">
        <f t="shared" si="5"/>
        <v>8191.9999999999991</v>
      </c>
      <c r="M80" s="33">
        <f>-$C$3+SUM($E$21:E80)+L80</f>
        <v>-20529.197521983391</v>
      </c>
      <c r="N80" s="34">
        <f t="shared" si="6"/>
        <v>-342.15329203305652</v>
      </c>
      <c r="O80" s="33">
        <f t="shared" si="7"/>
        <v>-171.81883613973332</v>
      </c>
      <c r="P80" s="33">
        <f>AVERAGE($N$21:N80)</f>
        <v>-536.93167747365214</v>
      </c>
    </row>
  </sheetData>
  <phoneticPr fontId="6" type="noConversion"/>
  <conditionalFormatting sqref="K7:P11">
    <cfRule type="top10" dxfId="1" priority="1" percent="1" rank="10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909DB8C-4397-41C0-BC83-430ABA9C373F}">
          <x14:formula1>
            <xm:f>LookupSheet!$D$2:$D$11</xm:f>
          </x14:formula1>
          <xm:sqref>C3</xm:sqref>
        </x14:dataValidation>
        <x14:dataValidation type="list" allowBlank="1" showInputMessage="1" showErrorMessage="1" xr:uid="{DC9E2347-E15E-4008-AB0F-8D675D46BAD9}">
          <x14:formula1>
            <xm:f>LookupSheet!$F$2:$F$52</xm:f>
          </x14:formula1>
          <xm:sqref>C4</xm:sqref>
        </x14:dataValidation>
        <x14:dataValidation type="list" allowBlank="1" showInputMessage="1" showErrorMessage="1" xr:uid="{2BD332B9-17DF-4744-B8DF-CC0BFA82DBE0}">
          <x14:formula1>
            <xm:f>LookupSheet!$H$2:$H$22</xm:f>
          </x14:formula1>
          <xm:sqref>C6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F02-232C-46B6-BF83-F1C268473ED9}">
  <sheetPr>
    <tabColor theme="2" tint="-0.749992370372631"/>
  </sheetPr>
  <dimension ref="B1:P79"/>
  <sheetViews>
    <sheetView showGridLines="0" topLeftCell="A3" zoomScale="98" zoomScaleNormal="98" workbookViewId="0">
      <pane ySplit="15" topLeftCell="A18" activePane="bottomLeft" state="frozen"/>
      <selection activeCell="A3" sqref="A3"/>
      <selection pane="bottomLeft" activeCell="C20" sqref="C20:C54"/>
    </sheetView>
  </sheetViews>
  <sheetFormatPr defaultRowHeight="11.25" x14ac:dyDescent="0.2"/>
  <cols>
    <col min="1" max="1" width="2.42578125" style="17" customWidth="1"/>
    <col min="2" max="2" width="41.28515625" style="19" bestFit="1" customWidth="1"/>
    <col min="3" max="3" width="10.5703125" style="17" bestFit="1" customWidth="1"/>
    <col min="4" max="4" width="16.28515625" style="17" customWidth="1"/>
    <col min="5" max="5" width="10.7109375" style="17" bestFit="1" customWidth="1"/>
    <col min="6" max="7" width="7.5703125" style="17" bestFit="1" customWidth="1"/>
    <col min="8" max="8" width="9.7109375" style="17" bestFit="1" customWidth="1"/>
    <col min="9" max="9" width="7.42578125" style="17" customWidth="1"/>
    <col min="10" max="10" width="9.7109375" style="17" bestFit="1" customWidth="1"/>
    <col min="11" max="11" width="9.7109375" style="17" customWidth="1"/>
    <col min="12" max="12" width="9.5703125" style="17" bestFit="1" customWidth="1"/>
    <col min="13" max="14" width="13.7109375" style="17" bestFit="1" customWidth="1"/>
    <col min="15" max="15" width="23.7109375" style="17" bestFit="1" customWidth="1"/>
    <col min="16" max="16" width="21.7109375" style="17" bestFit="1" customWidth="1"/>
    <col min="17" max="16384" width="9.140625" style="17"/>
  </cols>
  <sheetData>
    <row r="1" spans="2:14" x14ac:dyDescent="0.2">
      <c r="B1" s="17"/>
    </row>
    <row r="2" spans="2:14" x14ac:dyDescent="0.2">
      <c r="B2" s="17"/>
    </row>
    <row r="3" spans="2:14" x14ac:dyDescent="0.2">
      <c r="B3" s="17"/>
    </row>
    <row r="4" spans="2:14" x14ac:dyDescent="0.2">
      <c r="B4" s="17"/>
      <c r="G4" s="79" t="s">
        <v>59</v>
      </c>
      <c r="H4" s="79"/>
      <c r="I4" s="79"/>
      <c r="J4" s="79"/>
      <c r="K4" s="79"/>
      <c r="L4" s="79"/>
    </row>
    <row r="5" spans="2:14" ht="15" x14ac:dyDescent="0.25">
      <c r="B5" s="4" t="s">
        <v>14</v>
      </c>
      <c r="C5" s="5"/>
      <c r="G5" s="78" t="s">
        <v>0</v>
      </c>
      <c r="H5" s="76"/>
      <c r="I5" s="76"/>
      <c r="J5" s="76"/>
      <c r="K5" s="76"/>
      <c r="L5" s="76"/>
    </row>
    <row r="6" spans="2:14" ht="15" x14ac:dyDescent="0.25">
      <c r="B6" s="1" t="s">
        <v>10</v>
      </c>
      <c r="C6" s="10">
        <v>1000</v>
      </c>
      <c r="F6" s="34">
        <f>O78</f>
        <v>-612.11025343918607</v>
      </c>
      <c r="G6" s="74">
        <v>0.03</v>
      </c>
      <c r="H6" s="74">
        <v>3.5000000000000003E-2</v>
      </c>
      <c r="I6" s="74">
        <v>0.04</v>
      </c>
      <c r="J6" s="74">
        <v>4.4999999999999998E-2</v>
      </c>
      <c r="K6" s="74">
        <v>0.05</v>
      </c>
      <c r="L6" s="74">
        <v>5.5E-2</v>
      </c>
    </row>
    <row r="7" spans="2:14" ht="15" x14ac:dyDescent="0.25">
      <c r="B7" s="2" t="s">
        <v>13</v>
      </c>
      <c r="C7" s="6">
        <v>6.8500000000000005E-2</v>
      </c>
      <c r="F7" s="75">
        <v>0.3</v>
      </c>
      <c r="G7" s="37">
        <f t="dataTable" ref="G7:L14" dt2D="1" dtr="1" r1="C9" r2="C11"/>
        <v>-815.76532739825234</v>
      </c>
      <c r="H7" s="37">
        <v>-822.58708271672674</v>
      </c>
      <c r="I7" s="37">
        <v>-829.42029127871456</v>
      </c>
      <c r="J7" s="37">
        <v>-836.26494424267889</v>
      </c>
      <c r="K7" s="37">
        <v>-843.12103255061493</v>
      </c>
      <c r="L7" s="37">
        <v>-849.98854692887187</v>
      </c>
    </row>
    <row r="8" spans="2:14" ht="15" x14ac:dyDescent="0.25">
      <c r="B8" s="2" t="s">
        <v>12</v>
      </c>
      <c r="C8" s="7">
        <v>25000</v>
      </c>
      <c r="F8" s="75">
        <v>0.35</v>
      </c>
      <c r="G8" s="37">
        <v>-764.85155890848569</v>
      </c>
      <c r="H8" s="37">
        <v>-771.91876521293443</v>
      </c>
      <c r="I8" s="37">
        <v>-778.99655709093304</v>
      </c>
      <c r="J8" s="37">
        <v>-786.08492637075881</v>
      </c>
      <c r="K8" s="37">
        <v>-793.18386468061874</v>
      </c>
      <c r="L8" s="37">
        <v>-800.2933634494118</v>
      </c>
    </row>
    <row r="9" spans="2:14" ht="15" x14ac:dyDescent="0.25">
      <c r="B9" s="2" t="s">
        <v>0</v>
      </c>
      <c r="C9" s="6">
        <v>0.03</v>
      </c>
      <c r="F9" s="75">
        <v>0.4</v>
      </c>
      <c r="G9" s="37">
        <v>-713.9377904187196</v>
      </c>
      <c r="H9" s="37">
        <v>-721.25044770914178</v>
      </c>
      <c r="I9" s="37">
        <v>-728.57282290315129</v>
      </c>
      <c r="J9" s="37">
        <v>-735.90490849883838</v>
      </c>
      <c r="K9" s="37">
        <v>-743.24669681062312</v>
      </c>
      <c r="L9" s="37">
        <v>-750.59817996995196</v>
      </c>
    </row>
    <row r="10" spans="2:14" ht="15" x14ac:dyDescent="0.25">
      <c r="B10" s="2" t="s">
        <v>11</v>
      </c>
      <c r="C10" s="11">
        <v>24</v>
      </c>
      <c r="E10" s="21" t="str">
        <f>B11</f>
        <v>Residual %</v>
      </c>
      <c r="F10" s="75">
        <v>0.45</v>
      </c>
      <c r="G10" s="37">
        <v>-663.02402192895249</v>
      </c>
      <c r="H10" s="37">
        <v>-670.58213020534902</v>
      </c>
      <c r="I10" s="37">
        <v>-678.14908871537</v>
      </c>
      <c r="J10" s="37">
        <v>-685.7248906269183</v>
      </c>
      <c r="K10" s="37">
        <v>-693.30952894062659</v>
      </c>
      <c r="L10" s="37">
        <v>-700.90299649049223</v>
      </c>
    </row>
    <row r="11" spans="2:14" ht="15" x14ac:dyDescent="0.25">
      <c r="B11" s="12" t="s">
        <v>27</v>
      </c>
      <c r="C11" s="20">
        <v>0.5</v>
      </c>
      <c r="F11" s="75">
        <v>0.5</v>
      </c>
      <c r="G11" s="37">
        <v>-612.11025343918607</v>
      </c>
      <c r="H11" s="37">
        <v>-619.91381270155659</v>
      </c>
      <c r="I11" s="37">
        <v>-627.72535452758848</v>
      </c>
      <c r="J11" s="37">
        <v>-635.54487275499844</v>
      </c>
      <c r="K11" s="37">
        <v>-643.37236107063075</v>
      </c>
      <c r="L11" s="37">
        <v>-651.20781301103182</v>
      </c>
    </row>
    <row r="12" spans="2:14" x14ac:dyDescent="0.2">
      <c r="B12" s="17"/>
      <c r="F12" s="75">
        <v>0.55000000000000004</v>
      </c>
      <c r="G12" s="37">
        <v>-561.19648494941953</v>
      </c>
      <c r="H12" s="37">
        <v>-569.2454951977644</v>
      </c>
      <c r="I12" s="37">
        <v>-577.30162033980707</v>
      </c>
      <c r="J12" s="37">
        <v>-585.36485488307824</v>
      </c>
      <c r="K12" s="37">
        <v>-593.43519320063444</v>
      </c>
      <c r="L12" s="37">
        <v>-601.51262953157186</v>
      </c>
    </row>
    <row r="13" spans="2:14" x14ac:dyDescent="0.2">
      <c r="B13" s="17"/>
      <c r="F13" s="75">
        <v>0.6</v>
      </c>
      <c r="G13" s="37">
        <v>-510.28271645965293</v>
      </c>
      <c r="H13" s="37">
        <v>-518.57717769397232</v>
      </c>
      <c r="I13" s="37">
        <v>-526.87788615202601</v>
      </c>
      <c r="J13" s="37">
        <v>-535.18483701115781</v>
      </c>
      <c r="K13" s="37">
        <v>-543.49802533063837</v>
      </c>
      <c r="L13" s="37">
        <v>-551.81744605211202</v>
      </c>
    </row>
    <row r="14" spans="2:14" x14ac:dyDescent="0.2">
      <c r="B14" s="17"/>
      <c r="F14" s="75">
        <v>0.65</v>
      </c>
      <c r="G14" s="37">
        <v>-459.36894796988616</v>
      </c>
      <c r="H14" s="37">
        <v>-467.90886019017967</v>
      </c>
      <c r="I14" s="37">
        <v>-476.45415196424426</v>
      </c>
      <c r="J14" s="37">
        <v>-485.00481913923784</v>
      </c>
      <c r="K14" s="37">
        <v>-493.56085746064241</v>
      </c>
      <c r="L14" s="37">
        <v>-502.12226257265201</v>
      </c>
    </row>
    <row r="15" spans="2:14" x14ac:dyDescent="0.2">
      <c r="B15" s="17"/>
      <c r="F15" s="77"/>
      <c r="G15" s="37"/>
      <c r="H15" s="37"/>
      <c r="I15" s="37"/>
      <c r="J15" s="37"/>
      <c r="K15" s="37"/>
      <c r="L15" s="37"/>
    </row>
    <row r="16" spans="2:14" x14ac:dyDescent="0.2">
      <c r="B16" s="17"/>
      <c r="M16" s="19" t="s">
        <v>48</v>
      </c>
      <c r="N16" s="19" t="s">
        <v>49</v>
      </c>
    </row>
    <row r="17" spans="2:16" x14ac:dyDescent="0.2">
      <c r="B17" s="22" t="s">
        <v>25</v>
      </c>
      <c r="C17" s="22" t="s">
        <v>26</v>
      </c>
      <c r="D17" s="22" t="s">
        <v>29</v>
      </c>
      <c r="E17" s="22" t="s">
        <v>30</v>
      </c>
      <c r="F17" s="22" t="s">
        <v>41</v>
      </c>
      <c r="G17" s="22" t="s">
        <v>32</v>
      </c>
      <c r="H17" s="22" t="s">
        <v>33</v>
      </c>
      <c r="I17" s="22" t="s">
        <v>38</v>
      </c>
      <c r="J17" s="22" t="s">
        <v>46</v>
      </c>
      <c r="K17" s="22" t="s">
        <v>47</v>
      </c>
      <c r="L17" s="22" t="s">
        <v>37</v>
      </c>
      <c r="M17" s="22" t="s">
        <v>45</v>
      </c>
      <c r="N17" s="22" t="s">
        <v>45</v>
      </c>
      <c r="O17" s="22" t="s">
        <v>53</v>
      </c>
      <c r="P17" s="22" t="s">
        <v>54</v>
      </c>
    </row>
    <row r="18" spans="2:16" x14ac:dyDescent="0.2">
      <c r="B18" s="19">
        <v>0</v>
      </c>
      <c r="O18" s="19"/>
      <c r="P18" s="19"/>
    </row>
    <row r="19" spans="2:16" x14ac:dyDescent="0.2">
      <c r="B19" s="19">
        <v>1</v>
      </c>
      <c r="C19" s="19" t="str">
        <f t="shared" ref="C19:C50" si="0">INDEX(CarTable,MATCH($B19,Row,0),MATCH($C$17,Column,0))</f>
        <v>Year 1</v>
      </c>
      <c r="D19" s="33">
        <f>C8-C6</f>
        <v>24000</v>
      </c>
      <c r="E19" s="18">
        <f t="shared" ref="E19:E42" si="1">PMT($C$9/12,$C$10,$D$19,-($C$8*$C$11),0)</f>
        <v>-525.5339377648952</v>
      </c>
      <c r="F19" s="33">
        <f t="shared" ref="F19:F43" si="2">$C$9/12*D19</f>
        <v>60</v>
      </c>
      <c r="G19" s="33">
        <f t="shared" ref="G19:G43" si="3">-E19-F19</f>
        <v>465.5339377648952</v>
      </c>
      <c r="H19" s="33">
        <f t="shared" ref="H19:H43" si="4">D19-G19</f>
        <v>23534.466062235104</v>
      </c>
      <c r="J19" s="18">
        <f t="shared" ref="J19:J43" si="5">E19*$C$7</f>
        <v>-35.999074736895324</v>
      </c>
      <c r="K19" s="18">
        <f t="shared" ref="K19:K43" si="6">J19+E19</f>
        <v>-561.53301250179049</v>
      </c>
      <c r="L19" s="18">
        <f>-$C$6+SUM($K$19:K19)</f>
        <v>-1561.5330125017904</v>
      </c>
      <c r="M19" s="18">
        <f>L19/12</f>
        <v>-130.12775104181586</v>
      </c>
      <c r="N19" s="18">
        <f>BuyACar!N21</f>
        <v>-2193.4479166666688</v>
      </c>
      <c r="O19" s="37">
        <f>AVERAGE(M$19:M19)</f>
        <v>-130.12775104181586</v>
      </c>
      <c r="P19" s="37">
        <f>AVERAGE(N$19:N19)</f>
        <v>-2193.4479166666688</v>
      </c>
    </row>
    <row r="20" spans="2:16" x14ac:dyDescent="0.2">
      <c r="B20" s="19">
        <v>2</v>
      </c>
      <c r="C20" s="19" t="str">
        <f t="shared" si="0"/>
        <v>Year 1</v>
      </c>
      <c r="D20" s="33">
        <f t="shared" ref="D20:D42" si="7">H19</f>
        <v>23534.466062235104</v>
      </c>
      <c r="E20" s="18">
        <f t="shared" si="1"/>
        <v>-525.5339377648952</v>
      </c>
      <c r="F20" s="33">
        <f t="shared" si="2"/>
        <v>58.836165155587764</v>
      </c>
      <c r="G20" s="33">
        <f t="shared" si="3"/>
        <v>466.69777260930744</v>
      </c>
      <c r="H20" s="33">
        <f t="shared" si="4"/>
        <v>23067.768289625797</v>
      </c>
      <c r="J20" s="18">
        <f t="shared" si="5"/>
        <v>-35.999074736895324</v>
      </c>
      <c r="K20" s="18">
        <f t="shared" si="6"/>
        <v>-561.53301250179049</v>
      </c>
      <c r="L20" s="18">
        <f>-$C$6+SUM($K$19:K20)</f>
        <v>-2123.0660250035808</v>
      </c>
      <c r="M20" s="18">
        <f t="shared" ref="M20:M78" si="8">L20/12</f>
        <v>-176.9221687502984</v>
      </c>
      <c r="N20" s="18">
        <f>BuyACar!N22</f>
        <v>-1336.7007432807943</v>
      </c>
      <c r="O20" s="37">
        <f>AVERAGE(M$19:M20)</f>
        <v>-153.52495989605711</v>
      </c>
      <c r="P20" s="37">
        <f>AVERAGE(N$19:N20)</f>
        <v>-1765.0743299737314</v>
      </c>
    </row>
    <row r="21" spans="2:16" x14ac:dyDescent="0.2">
      <c r="B21" s="19">
        <v>3</v>
      </c>
      <c r="C21" s="19" t="str">
        <f t="shared" si="0"/>
        <v>Year 1</v>
      </c>
      <c r="D21" s="33">
        <f t="shared" si="7"/>
        <v>23067.768289625797</v>
      </c>
      <c r="E21" s="18">
        <f t="shared" si="1"/>
        <v>-525.5339377648952</v>
      </c>
      <c r="F21" s="33">
        <f t="shared" si="2"/>
        <v>57.669420724064494</v>
      </c>
      <c r="G21" s="33">
        <f t="shared" si="3"/>
        <v>467.86451704083072</v>
      </c>
      <c r="H21" s="33">
        <f t="shared" si="4"/>
        <v>22599.903772584967</v>
      </c>
      <c r="J21" s="18">
        <f t="shared" si="5"/>
        <v>-35.999074736895324</v>
      </c>
      <c r="K21" s="18">
        <f t="shared" si="6"/>
        <v>-561.53301250179049</v>
      </c>
      <c r="L21" s="18">
        <f>-$C$6+SUM($K$19:K21)</f>
        <v>-2684.5990375053716</v>
      </c>
      <c r="M21" s="18">
        <f t="shared" si="8"/>
        <v>-223.71658645878097</v>
      </c>
      <c r="N21" s="18">
        <f>BuyACar!N23</f>
        <v>-1050.7860746059425</v>
      </c>
      <c r="O21" s="37">
        <f>AVERAGE(M$19:M21)</f>
        <v>-176.9221687502984</v>
      </c>
      <c r="P21" s="37">
        <f>AVERAGE(N$19:N21)</f>
        <v>-1526.9782448511351</v>
      </c>
    </row>
    <row r="22" spans="2:16" x14ac:dyDescent="0.2">
      <c r="B22" s="19">
        <v>4</v>
      </c>
      <c r="C22" s="19" t="str">
        <f t="shared" si="0"/>
        <v>Year 1</v>
      </c>
      <c r="D22" s="33">
        <f t="shared" si="7"/>
        <v>22599.903772584967</v>
      </c>
      <c r="E22" s="18">
        <f t="shared" si="1"/>
        <v>-525.5339377648952</v>
      </c>
      <c r="F22" s="33">
        <f t="shared" si="2"/>
        <v>56.499759431462415</v>
      </c>
      <c r="G22" s="33">
        <f t="shared" si="3"/>
        <v>469.03417833343281</v>
      </c>
      <c r="H22" s="33">
        <f t="shared" si="4"/>
        <v>22130.869594251533</v>
      </c>
      <c r="J22" s="18">
        <f t="shared" si="5"/>
        <v>-35.999074736895324</v>
      </c>
      <c r="K22" s="18">
        <f t="shared" si="6"/>
        <v>-561.53301250179049</v>
      </c>
      <c r="L22" s="18">
        <f>-$C$6+SUM($K$19:K22)</f>
        <v>-3246.132050007162</v>
      </c>
      <c r="M22" s="18">
        <f t="shared" si="8"/>
        <v>-270.51100416726348</v>
      </c>
      <c r="N22" s="18">
        <f>BuyACar!N24</f>
        <v>-907.57890908844843</v>
      </c>
      <c r="O22" s="37">
        <f>AVERAGE(M$19:M22)</f>
        <v>-200.31937760453968</v>
      </c>
      <c r="P22" s="37">
        <f>AVERAGE(N$19:N22)</f>
        <v>-1372.1284109104633</v>
      </c>
    </row>
    <row r="23" spans="2:16" x14ac:dyDescent="0.2">
      <c r="B23" s="19">
        <v>5</v>
      </c>
      <c r="C23" s="19" t="str">
        <f t="shared" si="0"/>
        <v>Year 1</v>
      </c>
      <c r="D23" s="33">
        <f t="shared" si="7"/>
        <v>22130.869594251533</v>
      </c>
      <c r="E23" s="18">
        <f t="shared" si="1"/>
        <v>-525.5339377648952</v>
      </c>
      <c r="F23" s="33">
        <f t="shared" si="2"/>
        <v>55.327173985628832</v>
      </c>
      <c r="G23" s="33">
        <f t="shared" si="3"/>
        <v>470.20676377926634</v>
      </c>
      <c r="H23" s="33">
        <f t="shared" si="4"/>
        <v>21660.662830472265</v>
      </c>
      <c r="J23" s="18">
        <f t="shared" si="5"/>
        <v>-35.999074736895324</v>
      </c>
      <c r="K23" s="18">
        <f t="shared" si="6"/>
        <v>-561.53301250179049</v>
      </c>
      <c r="L23" s="18">
        <f>-$C$6+SUM($K$19:K23)</f>
        <v>-3807.6650625089524</v>
      </c>
      <c r="M23" s="18">
        <f t="shared" si="8"/>
        <v>-317.30542187574605</v>
      </c>
      <c r="N23" s="18">
        <f>BuyACar!N25</f>
        <v>-821.45424517153629</v>
      </c>
      <c r="O23" s="37">
        <f>AVERAGE(M$19:M23)</f>
        <v>-223.71658645878097</v>
      </c>
      <c r="P23" s="37">
        <f>AVERAGE(N$19:N23)</f>
        <v>-1261.9935777626779</v>
      </c>
    </row>
    <row r="24" spans="2:16" x14ac:dyDescent="0.2">
      <c r="B24" s="19">
        <v>6</v>
      </c>
      <c r="C24" s="19" t="str">
        <f t="shared" si="0"/>
        <v>Year 1</v>
      </c>
      <c r="D24" s="33">
        <f t="shared" si="7"/>
        <v>21660.662830472265</v>
      </c>
      <c r="E24" s="18">
        <f t="shared" si="1"/>
        <v>-525.5339377648952</v>
      </c>
      <c r="F24" s="33">
        <f t="shared" si="2"/>
        <v>54.151657076180662</v>
      </c>
      <c r="G24" s="33">
        <f t="shared" si="3"/>
        <v>471.38228068871456</v>
      </c>
      <c r="H24" s="33">
        <f t="shared" si="4"/>
        <v>21189.280549783551</v>
      </c>
      <c r="J24" s="18">
        <f t="shared" si="5"/>
        <v>-35.999074736895324</v>
      </c>
      <c r="K24" s="18">
        <f t="shared" si="6"/>
        <v>-561.53301250179049</v>
      </c>
      <c r="L24" s="18">
        <f>-$C$6+SUM($K$19:K24)</f>
        <v>-4369.1980750107432</v>
      </c>
      <c r="M24" s="18">
        <f t="shared" si="8"/>
        <v>-364.09983958422862</v>
      </c>
      <c r="N24" s="18">
        <f>BuyACar!N26</f>
        <v>-763.87041462865193</v>
      </c>
      <c r="O24" s="37">
        <f>AVERAGE(M$19:M24)</f>
        <v>-247.11379531302225</v>
      </c>
      <c r="P24" s="37">
        <f>AVERAGE(N$19:N24)</f>
        <v>-1178.9730505736736</v>
      </c>
    </row>
    <row r="25" spans="2:16" x14ac:dyDescent="0.2">
      <c r="B25" s="19">
        <v>7</v>
      </c>
      <c r="C25" s="19" t="str">
        <f t="shared" si="0"/>
        <v>Year 1</v>
      </c>
      <c r="D25" s="33">
        <f t="shared" si="7"/>
        <v>21189.280549783551</v>
      </c>
      <c r="E25" s="18">
        <f t="shared" si="1"/>
        <v>-525.5339377648952</v>
      </c>
      <c r="F25" s="33">
        <f t="shared" si="2"/>
        <v>52.973201374458881</v>
      </c>
      <c r="G25" s="33">
        <f t="shared" si="3"/>
        <v>472.56073639043632</v>
      </c>
      <c r="H25" s="33">
        <f t="shared" si="4"/>
        <v>20716.719813393116</v>
      </c>
      <c r="J25" s="18">
        <f t="shared" si="5"/>
        <v>-35.999074736895324</v>
      </c>
      <c r="K25" s="18">
        <f t="shared" si="6"/>
        <v>-561.53301250179049</v>
      </c>
      <c r="L25" s="18">
        <f>-$C$6+SUM($K$19:K25)</f>
        <v>-4930.7310875125331</v>
      </c>
      <c r="M25" s="18">
        <f t="shared" si="8"/>
        <v>-410.89425729271107</v>
      </c>
      <c r="N25" s="18">
        <f>BuyACar!N27</f>
        <v>-722.59527303964467</v>
      </c>
      <c r="O25" s="37">
        <f>AVERAGE(M$19:M25)</f>
        <v>-270.51100416726348</v>
      </c>
      <c r="P25" s="37">
        <f>AVERAGE(N$19:N25)</f>
        <v>-1113.7762252116695</v>
      </c>
    </row>
    <row r="26" spans="2:16" x14ac:dyDescent="0.2">
      <c r="B26" s="19">
        <v>8</v>
      </c>
      <c r="C26" s="19" t="str">
        <f t="shared" si="0"/>
        <v>Year 1</v>
      </c>
      <c r="D26" s="33">
        <f t="shared" si="7"/>
        <v>20716.719813393116</v>
      </c>
      <c r="E26" s="18">
        <f t="shared" si="1"/>
        <v>-525.5339377648952</v>
      </c>
      <c r="F26" s="33">
        <f t="shared" si="2"/>
        <v>51.791799533482788</v>
      </c>
      <c r="G26" s="33">
        <f t="shared" si="3"/>
        <v>473.74213823141241</v>
      </c>
      <c r="H26" s="33">
        <f t="shared" si="4"/>
        <v>20242.977675161703</v>
      </c>
      <c r="J26" s="18">
        <f t="shared" si="5"/>
        <v>-35.999074736895324</v>
      </c>
      <c r="K26" s="18">
        <f t="shared" si="6"/>
        <v>-561.53301250179049</v>
      </c>
      <c r="L26" s="18">
        <f>-$C$6+SUM($K$19:K26)</f>
        <v>-5492.264100014324</v>
      </c>
      <c r="M26" s="18">
        <f t="shared" si="8"/>
        <v>-457.68867500119364</v>
      </c>
      <c r="N26" s="18">
        <f>BuyACar!N28</f>
        <v>-691.51274740980773</v>
      </c>
      <c r="O26" s="37">
        <f>AVERAGE(M$19:M26)</f>
        <v>-293.90821302150476</v>
      </c>
      <c r="P26" s="37">
        <f>AVERAGE(N$19:N26)</f>
        <v>-1060.9932904864368</v>
      </c>
    </row>
    <row r="27" spans="2:16" x14ac:dyDescent="0.2">
      <c r="B27" s="19">
        <v>9</v>
      </c>
      <c r="C27" s="19" t="str">
        <f t="shared" si="0"/>
        <v>Year 1</v>
      </c>
      <c r="D27" s="33">
        <f t="shared" si="7"/>
        <v>20242.977675161703</v>
      </c>
      <c r="E27" s="18">
        <f t="shared" si="1"/>
        <v>-525.5339377648952</v>
      </c>
      <c r="F27" s="33">
        <f t="shared" si="2"/>
        <v>50.607444187904257</v>
      </c>
      <c r="G27" s="33">
        <f t="shared" si="3"/>
        <v>474.92649357699094</v>
      </c>
      <c r="H27" s="33">
        <f t="shared" si="4"/>
        <v>19768.051181584713</v>
      </c>
      <c r="J27" s="18">
        <f t="shared" si="5"/>
        <v>-35.999074736895324</v>
      </c>
      <c r="K27" s="18">
        <f t="shared" si="6"/>
        <v>-561.53301250179049</v>
      </c>
      <c r="L27" s="18">
        <f>-$C$6+SUM($K$19:K27)</f>
        <v>-6053.7971125161148</v>
      </c>
      <c r="M27" s="18">
        <f t="shared" si="8"/>
        <v>-504.48309270967621</v>
      </c>
      <c r="N27" s="18">
        <f>BuyACar!N29</f>
        <v>-667.22501870955546</v>
      </c>
      <c r="O27" s="37">
        <f>AVERAGE(M$19:M27)</f>
        <v>-317.30542187574605</v>
      </c>
      <c r="P27" s="37">
        <f>AVERAGE(N$19:N27)</f>
        <v>-1017.2412602890056</v>
      </c>
    </row>
    <row r="28" spans="2:16" x14ac:dyDescent="0.2">
      <c r="B28" s="19">
        <v>10</v>
      </c>
      <c r="C28" s="19" t="str">
        <f t="shared" si="0"/>
        <v>Year 1</v>
      </c>
      <c r="D28" s="33">
        <f t="shared" si="7"/>
        <v>19768.051181584713</v>
      </c>
      <c r="E28" s="18">
        <f t="shared" si="1"/>
        <v>-525.5339377648952</v>
      </c>
      <c r="F28" s="33">
        <f t="shared" si="2"/>
        <v>49.420127953961781</v>
      </c>
      <c r="G28" s="33">
        <f t="shared" si="3"/>
        <v>476.11380981093339</v>
      </c>
      <c r="H28" s="33">
        <f t="shared" si="4"/>
        <v>19291.93737177378</v>
      </c>
      <c r="J28" s="18">
        <f t="shared" si="5"/>
        <v>-35.999074736895324</v>
      </c>
      <c r="K28" s="18">
        <f t="shared" si="6"/>
        <v>-561.53301250179049</v>
      </c>
      <c r="L28" s="18">
        <f>-$C$6+SUM($K$19:K28)</f>
        <v>-6615.3301250179056</v>
      </c>
      <c r="M28" s="18">
        <f t="shared" si="8"/>
        <v>-551.27751041815884</v>
      </c>
      <c r="N28" s="18">
        <f>BuyACar!N30</f>
        <v>-647.69339489028891</v>
      </c>
      <c r="O28" s="37">
        <f>AVERAGE(M$19:M28)</f>
        <v>-340.70263072998733</v>
      </c>
      <c r="P28" s="37">
        <f>AVERAGE(N$19:N28)</f>
        <v>-980.28647374913396</v>
      </c>
    </row>
    <row r="29" spans="2:16" x14ac:dyDescent="0.2">
      <c r="B29" s="19">
        <v>11</v>
      </c>
      <c r="C29" s="19" t="str">
        <f t="shared" si="0"/>
        <v>Year 1</v>
      </c>
      <c r="D29" s="33">
        <f t="shared" si="7"/>
        <v>19291.93737177378</v>
      </c>
      <c r="E29" s="18">
        <f t="shared" si="1"/>
        <v>-525.5339377648952</v>
      </c>
      <c r="F29" s="33">
        <f t="shared" si="2"/>
        <v>48.229843429434453</v>
      </c>
      <c r="G29" s="33">
        <f t="shared" si="3"/>
        <v>477.30409433546072</v>
      </c>
      <c r="H29" s="33">
        <f t="shared" si="4"/>
        <v>18814.633277438319</v>
      </c>
      <c r="J29" s="18">
        <f t="shared" si="5"/>
        <v>-35.999074736895324</v>
      </c>
      <c r="K29" s="18">
        <f t="shared" si="6"/>
        <v>-561.53301250179049</v>
      </c>
      <c r="L29" s="18">
        <f>-$C$6+SUM($K$19:K29)</f>
        <v>-7176.8631375196965</v>
      </c>
      <c r="M29" s="18">
        <f t="shared" si="8"/>
        <v>-598.07192812664141</v>
      </c>
      <c r="N29" s="18">
        <f>BuyACar!N31</f>
        <v>-631.62052589160487</v>
      </c>
      <c r="O29" s="37">
        <f>AVERAGE(M$19:M29)</f>
        <v>-364.09983958422862</v>
      </c>
      <c r="P29" s="37">
        <f>AVERAGE(N$19:N29)</f>
        <v>-948.5895693984495</v>
      </c>
    </row>
    <row r="30" spans="2:16" x14ac:dyDescent="0.2">
      <c r="B30" s="56">
        <v>12</v>
      </c>
      <c r="C30" s="56" t="str">
        <f t="shared" si="0"/>
        <v>Year 1</v>
      </c>
      <c r="D30" s="57">
        <f t="shared" si="7"/>
        <v>18814.633277438319</v>
      </c>
      <c r="E30" s="58">
        <f t="shared" si="1"/>
        <v>-525.5339377648952</v>
      </c>
      <c r="F30" s="57">
        <f t="shared" si="2"/>
        <v>47.036583193595796</v>
      </c>
      <c r="G30" s="57">
        <f t="shared" si="3"/>
        <v>478.49735457129941</v>
      </c>
      <c r="H30" s="57">
        <f t="shared" si="4"/>
        <v>18336.135922867019</v>
      </c>
      <c r="I30" s="59"/>
      <c r="J30" s="58">
        <f t="shared" si="5"/>
        <v>-35.999074736895324</v>
      </c>
      <c r="K30" s="58">
        <f t="shared" si="6"/>
        <v>-561.53301250179049</v>
      </c>
      <c r="L30" s="58">
        <f>-$C$6+SUM($K$19:K30)</f>
        <v>-7738.3961500214873</v>
      </c>
      <c r="M30" s="58">
        <f t="shared" si="8"/>
        <v>-644.86634583512398</v>
      </c>
      <c r="N30" s="58">
        <f>BuyACar!N32</f>
        <v>-618.14151114489698</v>
      </c>
      <c r="O30" s="37">
        <f>AVERAGE(M$19:M30)</f>
        <v>-387.4970484384699</v>
      </c>
      <c r="P30" s="37">
        <f>AVERAGE(N$19:N30)</f>
        <v>-921.05223121065353</v>
      </c>
    </row>
    <row r="31" spans="2:16" x14ac:dyDescent="0.2">
      <c r="B31" s="19">
        <v>13</v>
      </c>
      <c r="C31" s="19" t="str">
        <f t="shared" si="0"/>
        <v>Year 2</v>
      </c>
      <c r="D31" s="33">
        <f t="shared" si="7"/>
        <v>18336.135922867019</v>
      </c>
      <c r="E31" s="18">
        <f t="shared" si="1"/>
        <v>-525.5339377648952</v>
      </c>
      <c r="F31" s="33">
        <f t="shared" si="2"/>
        <v>45.840339807167545</v>
      </c>
      <c r="G31" s="33">
        <f t="shared" si="3"/>
        <v>479.69359795772766</v>
      </c>
      <c r="H31" s="33">
        <f t="shared" si="4"/>
        <v>17856.442324909291</v>
      </c>
      <c r="J31" s="18">
        <f t="shared" si="5"/>
        <v>-35.999074736895324</v>
      </c>
      <c r="K31" s="18">
        <f t="shared" si="6"/>
        <v>-561.53301250179049</v>
      </c>
      <c r="L31" s="18">
        <f>-$C$6+SUM($K$19:K31)</f>
        <v>-8299.9291625232781</v>
      </c>
      <c r="M31" s="18">
        <f t="shared" si="8"/>
        <v>-691.66076354360655</v>
      </c>
      <c r="N31" s="18">
        <f>BuyACar!N33</f>
        <v>-600.24731643426537</v>
      </c>
      <c r="O31" s="37">
        <f>AVERAGE(M$19:M31)</f>
        <v>-410.89425729271119</v>
      </c>
      <c r="P31" s="37">
        <f>AVERAGE(N$19:N31)</f>
        <v>-896.37493007400815</v>
      </c>
    </row>
    <row r="32" spans="2:16" x14ac:dyDescent="0.2">
      <c r="B32" s="19">
        <v>14</v>
      </c>
      <c r="C32" s="19" t="str">
        <f t="shared" si="0"/>
        <v>Year 2</v>
      </c>
      <c r="D32" s="33">
        <f t="shared" si="7"/>
        <v>17856.442324909291</v>
      </c>
      <c r="E32" s="18">
        <f t="shared" si="1"/>
        <v>-525.5339377648952</v>
      </c>
      <c r="F32" s="33">
        <f t="shared" si="2"/>
        <v>44.641105812273224</v>
      </c>
      <c r="G32" s="33">
        <f t="shared" si="3"/>
        <v>480.89283195262198</v>
      </c>
      <c r="H32" s="33">
        <f t="shared" si="4"/>
        <v>17375.54949295667</v>
      </c>
      <c r="J32" s="18">
        <f t="shared" si="5"/>
        <v>-35.999074736895324</v>
      </c>
      <c r="K32" s="18">
        <f t="shared" si="6"/>
        <v>-561.53301250179049</v>
      </c>
      <c r="L32" s="18">
        <f>-$C$6+SUM($K$19:K32)</f>
        <v>-8861.4621750250699</v>
      </c>
      <c r="M32" s="18">
        <f t="shared" si="8"/>
        <v>-738.45518125208912</v>
      </c>
      <c r="N32" s="18">
        <f>BuyACar!N34</f>
        <v>-584.8362501979874</v>
      </c>
      <c r="O32" s="37">
        <f>AVERAGE(M$19:M32)</f>
        <v>-434.29146614695253</v>
      </c>
      <c r="P32" s="37">
        <f>AVERAGE(N$19:N32)</f>
        <v>-874.122167225721</v>
      </c>
    </row>
    <row r="33" spans="2:16" x14ac:dyDescent="0.2">
      <c r="B33" s="19">
        <v>15</v>
      </c>
      <c r="C33" s="19" t="str">
        <f t="shared" si="0"/>
        <v>Year 2</v>
      </c>
      <c r="D33" s="33">
        <f t="shared" si="7"/>
        <v>17375.54949295667</v>
      </c>
      <c r="E33" s="18">
        <f t="shared" si="1"/>
        <v>-525.5339377648952</v>
      </c>
      <c r="F33" s="33">
        <f t="shared" si="2"/>
        <v>43.438873732391677</v>
      </c>
      <c r="G33" s="33">
        <f t="shared" si="3"/>
        <v>482.0950640325035</v>
      </c>
      <c r="H33" s="33">
        <f t="shared" si="4"/>
        <v>16893.454428924168</v>
      </c>
      <c r="J33" s="18">
        <f t="shared" si="5"/>
        <v>-35.999074736895324</v>
      </c>
      <c r="K33" s="18">
        <f t="shared" si="6"/>
        <v>-561.53301250179049</v>
      </c>
      <c r="L33" s="18">
        <f>-$C$6+SUM($K$19:K33)</f>
        <v>-9422.9951875268598</v>
      </c>
      <c r="M33" s="18">
        <f t="shared" si="8"/>
        <v>-785.24959896057169</v>
      </c>
      <c r="N33" s="18">
        <f>BuyACar!N35</f>
        <v>-571.41151597606176</v>
      </c>
      <c r="O33" s="37">
        <f>AVERAGE(M$19:M33)</f>
        <v>-457.68867500119376</v>
      </c>
      <c r="P33" s="37">
        <f>AVERAGE(N$19:N33)</f>
        <v>-853.94145714241051</v>
      </c>
    </row>
    <row r="34" spans="2:16" x14ac:dyDescent="0.2">
      <c r="B34" s="19">
        <v>16</v>
      </c>
      <c r="C34" s="19" t="str">
        <f t="shared" si="0"/>
        <v>Year 2</v>
      </c>
      <c r="D34" s="33">
        <f t="shared" si="7"/>
        <v>16893.454428924168</v>
      </c>
      <c r="E34" s="18">
        <f t="shared" si="1"/>
        <v>-525.5339377648952</v>
      </c>
      <c r="F34" s="33">
        <f t="shared" si="2"/>
        <v>42.233636072310418</v>
      </c>
      <c r="G34" s="33">
        <f t="shared" si="3"/>
        <v>483.30030169258475</v>
      </c>
      <c r="H34" s="33">
        <f t="shared" si="4"/>
        <v>16410.154127231584</v>
      </c>
      <c r="J34" s="18">
        <f t="shared" si="5"/>
        <v>-35.999074736895324</v>
      </c>
      <c r="K34" s="18">
        <f t="shared" si="6"/>
        <v>-561.53301250179049</v>
      </c>
      <c r="L34" s="18">
        <f>-$C$6+SUM($K$19:K34)</f>
        <v>-9984.5282000286497</v>
      </c>
      <c r="M34" s="18">
        <f t="shared" si="8"/>
        <v>-832.04401666905414</v>
      </c>
      <c r="N34" s="18">
        <f>BuyACar!N36</f>
        <v>-559.60051602325757</v>
      </c>
      <c r="O34" s="37">
        <f>AVERAGE(M$19:M34)</f>
        <v>-481.08588385543504</v>
      </c>
      <c r="P34" s="37">
        <f>AVERAGE(N$19:N34)</f>
        <v>-835.54514832246343</v>
      </c>
    </row>
    <row r="35" spans="2:16" x14ac:dyDescent="0.2">
      <c r="B35" s="19">
        <v>17</v>
      </c>
      <c r="C35" s="19" t="str">
        <f t="shared" si="0"/>
        <v>Year 2</v>
      </c>
      <c r="D35" s="33">
        <f t="shared" si="7"/>
        <v>16410.154127231584</v>
      </c>
      <c r="E35" s="18">
        <f t="shared" si="1"/>
        <v>-525.5339377648952</v>
      </c>
      <c r="F35" s="33">
        <f t="shared" si="2"/>
        <v>41.02538531807896</v>
      </c>
      <c r="G35" s="33">
        <f t="shared" si="3"/>
        <v>484.50855244681622</v>
      </c>
      <c r="H35" s="33">
        <f t="shared" si="4"/>
        <v>15925.645574784769</v>
      </c>
      <c r="J35" s="18">
        <f t="shared" si="5"/>
        <v>-35.999074736895324</v>
      </c>
      <c r="K35" s="18">
        <f t="shared" si="6"/>
        <v>-561.53301250179049</v>
      </c>
      <c r="L35" s="18">
        <f>-$C$6+SUM($K$19:K35)</f>
        <v>-10546.06121253044</v>
      </c>
      <c r="M35" s="18">
        <f t="shared" si="8"/>
        <v>-878.8384343775366</v>
      </c>
      <c r="N35" s="18">
        <f>BuyACar!N37</f>
        <v>-549.11832227441539</v>
      </c>
      <c r="O35" s="37">
        <f>AVERAGE(M$19:M35)</f>
        <v>-504.48309270967633</v>
      </c>
      <c r="P35" s="37">
        <f>AVERAGE(N$19:N35)</f>
        <v>-818.69651149610763</v>
      </c>
    </row>
    <row r="36" spans="2:16" x14ac:dyDescent="0.2">
      <c r="B36" s="19">
        <v>18</v>
      </c>
      <c r="C36" s="19" t="str">
        <f t="shared" si="0"/>
        <v>Year 2</v>
      </c>
      <c r="D36" s="33">
        <f t="shared" si="7"/>
        <v>15925.645574784769</v>
      </c>
      <c r="E36" s="18">
        <f t="shared" si="1"/>
        <v>-525.5339377648952</v>
      </c>
      <c r="F36" s="33">
        <f t="shared" si="2"/>
        <v>39.814113936961924</v>
      </c>
      <c r="G36" s="33">
        <f t="shared" si="3"/>
        <v>485.71982382793328</v>
      </c>
      <c r="H36" s="33">
        <f t="shared" si="4"/>
        <v>15439.925750956836</v>
      </c>
      <c r="J36" s="18">
        <f t="shared" si="5"/>
        <v>-35.999074736895324</v>
      </c>
      <c r="K36" s="18">
        <f t="shared" si="6"/>
        <v>-561.53301250179049</v>
      </c>
      <c r="L36" s="18">
        <f>-$C$6+SUM($K$19:K36)</f>
        <v>-11107.59422503223</v>
      </c>
      <c r="M36" s="18">
        <f t="shared" si="8"/>
        <v>-925.63285208601917</v>
      </c>
      <c r="N36" s="18">
        <f>BuyACar!N38</f>
        <v>-539.74332365464738</v>
      </c>
      <c r="O36" s="37">
        <f>AVERAGE(M$19:M36)</f>
        <v>-527.88030156391756</v>
      </c>
      <c r="P36" s="37">
        <f>AVERAGE(N$19:N36)</f>
        <v>-803.1991121715821</v>
      </c>
    </row>
    <row r="37" spans="2:16" x14ac:dyDescent="0.2">
      <c r="B37" s="19">
        <v>19</v>
      </c>
      <c r="C37" s="19" t="str">
        <f t="shared" si="0"/>
        <v>Year 2</v>
      </c>
      <c r="D37" s="33">
        <f t="shared" si="7"/>
        <v>15439.925750956836</v>
      </c>
      <c r="E37" s="18">
        <f t="shared" si="1"/>
        <v>-525.5339377648952</v>
      </c>
      <c r="F37" s="33">
        <f t="shared" si="2"/>
        <v>38.599814377392093</v>
      </c>
      <c r="G37" s="33">
        <f t="shared" si="3"/>
        <v>486.93412338750312</v>
      </c>
      <c r="H37" s="33">
        <f t="shared" si="4"/>
        <v>14952.991627569332</v>
      </c>
      <c r="J37" s="18">
        <f t="shared" si="5"/>
        <v>-35.999074736895324</v>
      </c>
      <c r="K37" s="18">
        <f t="shared" si="6"/>
        <v>-561.53301250179049</v>
      </c>
      <c r="L37" s="18">
        <f>-$C$6+SUM($K$19:K37)</f>
        <v>-11669.12723753402</v>
      </c>
      <c r="M37" s="18">
        <f t="shared" si="8"/>
        <v>-972.42726979450163</v>
      </c>
      <c r="N37" s="18">
        <f>BuyACar!N39</f>
        <v>-531.30056371262935</v>
      </c>
      <c r="O37" s="37">
        <f>AVERAGE(M$19:M37)</f>
        <v>-551.27751041815884</v>
      </c>
      <c r="P37" s="37">
        <f>AVERAGE(N$19:N37)</f>
        <v>-788.88866225268987</v>
      </c>
    </row>
    <row r="38" spans="2:16" x14ac:dyDescent="0.2">
      <c r="B38" s="19">
        <v>20</v>
      </c>
      <c r="C38" s="19" t="str">
        <f t="shared" si="0"/>
        <v>Year 2</v>
      </c>
      <c r="D38" s="33">
        <f t="shared" si="7"/>
        <v>14952.991627569332</v>
      </c>
      <c r="E38" s="18">
        <f t="shared" si="1"/>
        <v>-525.5339377648952</v>
      </c>
      <c r="F38" s="33">
        <f t="shared" si="2"/>
        <v>37.382479068923331</v>
      </c>
      <c r="G38" s="33">
        <f t="shared" si="3"/>
        <v>488.15145869597188</v>
      </c>
      <c r="H38" s="33">
        <f t="shared" si="4"/>
        <v>14464.840168873361</v>
      </c>
      <c r="J38" s="18">
        <f t="shared" si="5"/>
        <v>-35.999074736895324</v>
      </c>
      <c r="K38" s="18">
        <f t="shared" si="6"/>
        <v>-561.53301250179049</v>
      </c>
      <c r="L38" s="18">
        <f>-$C$6+SUM($K$19:K38)</f>
        <v>-12230.660250035809</v>
      </c>
      <c r="M38" s="18">
        <f t="shared" si="8"/>
        <v>-1019.2216875029841</v>
      </c>
      <c r="N38" s="18">
        <f>BuyACar!N40</f>
        <v>-523.65007696390353</v>
      </c>
      <c r="O38" s="37">
        <f>AVERAGE(M$19:M38)</f>
        <v>-574.67471927240013</v>
      </c>
      <c r="P38" s="37">
        <f>AVERAGE(N$19:N38)</f>
        <v>-775.62673298825052</v>
      </c>
    </row>
    <row r="39" spans="2:16" x14ac:dyDescent="0.2">
      <c r="B39" s="19">
        <v>21</v>
      </c>
      <c r="C39" s="19" t="str">
        <f t="shared" si="0"/>
        <v>Year 2</v>
      </c>
      <c r="D39" s="33">
        <f t="shared" si="7"/>
        <v>14464.840168873361</v>
      </c>
      <c r="E39" s="18">
        <f t="shared" si="1"/>
        <v>-525.5339377648952</v>
      </c>
      <c r="F39" s="33">
        <f t="shared" si="2"/>
        <v>36.162100422183407</v>
      </c>
      <c r="G39" s="33">
        <f t="shared" si="3"/>
        <v>489.37183734271179</v>
      </c>
      <c r="H39" s="33">
        <f t="shared" si="4"/>
        <v>13975.46833153065</v>
      </c>
      <c r="J39" s="18">
        <f t="shared" si="5"/>
        <v>-35.999074736895324</v>
      </c>
      <c r="K39" s="18">
        <f t="shared" si="6"/>
        <v>-561.53301250179049</v>
      </c>
      <c r="L39" s="18">
        <f>-$C$6+SUM($K$19:K39)</f>
        <v>-12792.193262537599</v>
      </c>
      <c r="M39" s="18">
        <f t="shared" si="8"/>
        <v>-1066.0161052114665</v>
      </c>
      <c r="N39" s="18">
        <f>BuyACar!N41</f>
        <v>-516.67855770752112</v>
      </c>
      <c r="O39" s="37">
        <f>AVERAGE(M$19:M39)</f>
        <v>-598.07192812664141</v>
      </c>
      <c r="P39" s="37">
        <f>AVERAGE(N$19:N39)</f>
        <v>-763.29586749869202</v>
      </c>
    </row>
    <row r="40" spans="2:16" x14ac:dyDescent="0.2">
      <c r="B40" s="19">
        <v>22</v>
      </c>
      <c r="C40" s="19" t="str">
        <f t="shared" si="0"/>
        <v>Year 2</v>
      </c>
      <c r="D40" s="33">
        <f t="shared" si="7"/>
        <v>13975.46833153065</v>
      </c>
      <c r="E40" s="18">
        <f t="shared" si="1"/>
        <v>-525.5339377648952</v>
      </c>
      <c r="F40" s="33">
        <f t="shared" si="2"/>
        <v>34.938670828826623</v>
      </c>
      <c r="G40" s="33">
        <f t="shared" si="3"/>
        <v>490.59526693606858</v>
      </c>
      <c r="H40" s="33">
        <f t="shared" si="4"/>
        <v>13484.873064594582</v>
      </c>
      <c r="J40" s="18">
        <f t="shared" si="5"/>
        <v>-35.999074736895324</v>
      </c>
      <c r="K40" s="18">
        <f t="shared" si="6"/>
        <v>-561.53301250179049</v>
      </c>
      <c r="L40" s="18">
        <f>-$C$6+SUM($K$19:K40)</f>
        <v>-13353.726275039389</v>
      </c>
      <c r="M40" s="18">
        <f t="shared" si="8"/>
        <v>-1112.8105229199491</v>
      </c>
      <c r="N40" s="18">
        <f>BuyACar!N42</f>
        <v>-510.29330098359935</v>
      </c>
      <c r="O40" s="37">
        <f>AVERAGE(M$19:M40)</f>
        <v>-621.46913698088258</v>
      </c>
      <c r="P40" s="37">
        <f>AVERAGE(N$19:N40)</f>
        <v>-751.79575083891507</v>
      </c>
    </row>
    <row r="41" spans="2:16" x14ac:dyDescent="0.2">
      <c r="B41" s="19">
        <v>23</v>
      </c>
      <c r="C41" s="19" t="str">
        <f t="shared" si="0"/>
        <v>Year 2</v>
      </c>
      <c r="D41" s="33">
        <f t="shared" si="7"/>
        <v>13484.873064594582</v>
      </c>
      <c r="E41" s="18">
        <f t="shared" si="1"/>
        <v>-525.5339377648952</v>
      </c>
      <c r="F41" s="33">
        <f t="shared" si="2"/>
        <v>33.712182661486452</v>
      </c>
      <c r="G41" s="33">
        <f t="shared" si="3"/>
        <v>491.82175510340875</v>
      </c>
      <c r="H41" s="33">
        <f t="shared" si="4"/>
        <v>12993.051309491173</v>
      </c>
      <c r="J41" s="18">
        <f t="shared" si="5"/>
        <v>-35.999074736895324</v>
      </c>
      <c r="K41" s="18">
        <f t="shared" si="6"/>
        <v>-561.53301250179049</v>
      </c>
      <c r="L41" s="18">
        <f>-$C$6+SUM($K$19:K41)</f>
        <v>-13915.259287541179</v>
      </c>
      <c r="M41" s="18">
        <f t="shared" si="8"/>
        <v>-1159.6049406284317</v>
      </c>
      <c r="N41" s="18">
        <f>BuyACar!N43</f>
        <v>-504.41772415064349</v>
      </c>
      <c r="O41" s="37">
        <f>AVERAGE(M$19:M41)</f>
        <v>-644.86634583512387</v>
      </c>
      <c r="P41" s="37">
        <f>AVERAGE(N$19:N41)</f>
        <v>-741.04018446116413</v>
      </c>
    </row>
    <row r="42" spans="2:16" x14ac:dyDescent="0.2">
      <c r="B42" s="60">
        <v>24</v>
      </c>
      <c r="C42" s="60" t="str">
        <f t="shared" si="0"/>
        <v>Year 2</v>
      </c>
      <c r="D42" s="61">
        <f t="shared" si="7"/>
        <v>12993.051309491173</v>
      </c>
      <c r="E42" s="62">
        <f t="shared" si="1"/>
        <v>-525.5339377648952</v>
      </c>
      <c r="F42" s="61">
        <f t="shared" si="2"/>
        <v>32.482628273727933</v>
      </c>
      <c r="G42" s="61">
        <f t="shared" si="3"/>
        <v>493.05130949116727</v>
      </c>
      <c r="H42" s="61">
        <f t="shared" si="4"/>
        <v>12500.000000000005</v>
      </c>
      <c r="I42" s="63"/>
      <c r="J42" s="62">
        <f t="shared" si="5"/>
        <v>-35.999074736895324</v>
      </c>
      <c r="K42" s="62">
        <f t="shared" si="6"/>
        <v>-561.53301250179049</v>
      </c>
      <c r="L42" s="62">
        <f>-$C$6+SUM($K$19:K42)</f>
        <v>-14476.792300042969</v>
      </c>
      <c r="M42" s="62">
        <f t="shared" si="8"/>
        <v>-1206.399358336914</v>
      </c>
      <c r="N42" s="62">
        <f>BuyACar!N44</f>
        <v>-498.98800806853734</v>
      </c>
      <c r="O42" s="37">
        <f>AVERAGE(M$19:M42)</f>
        <v>-668.26355468936515</v>
      </c>
      <c r="P42" s="37">
        <f>AVERAGE(N$19:N42)</f>
        <v>-730.95467711147137</v>
      </c>
    </row>
    <row r="43" spans="2:16" x14ac:dyDescent="0.2">
      <c r="B43" s="19">
        <v>1</v>
      </c>
      <c r="C43" s="19" t="str">
        <f t="shared" si="0"/>
        <v>Year 1</v>
      </c>
      <c r="D43" s="33">
        <f>C8-C6</f>
        <v>24000</v>
      </c>
      <c r="E43" s="18">
        <f t="shared" ref="E43:E66" si="9">PMT($C$9/12,$C$10,$D$43,-($C$8*$C$11),0)</f>
        <v>-525.5339377648952</v>
      </c>
      <c r="F43" s="33">
        <f t="shared" si="2"/>
        <v>60</v>
      </c>
      <c r="G43" s="33">
        <f t="shared" si="3"/>
        <v>465.5339377648952</v>
      </c>
      <c r="H43" s="33">
        <f t="shared" si="4"/>
        <v>23534.466062235104</v>
      </c>
      <c r="J43" s="18">
        <f t="shared" si="5"/>
        <v>-35.999074736895324</v>
      </c>
      <c r="K43" s="18">
        <f t="shared" si="6"/>
        <v>-561.53301250179049</v>
      </c>
      <c r="L43" s="18">
        <f>-$C$6+SUM($K$43:K43)</f>
        <v>-1561.5330125017904</v>
      </c>
      <c r="M43" s="18">
        <f t="shared" si="8"/>
        <v>-130.12775104181586</v>
      </c>
      <c r="N43" s="18">
        <f>BuyACar!N45</f>
        <v>-491.28387773094772</v>
      </c>
      <c r="O43" s="37">
        <f>AVERAGE(M$19:M43)</f>
        <v>-646.73812254346319</v>
      </c>
      <c r="P43" s="37">
        <f>AVERAGE(N$19:N43)</f>
        <v>-721.36784513625037</v>
      </c>
    </row>
    <row r="44" spans="2:16" x14ac:dyDescent="0.2">
      <c r="B44" s="19">
        <v>2</v>
      </c>
      <c r="C44" s="19" t="str">
        <f t="shared" si="0"/>
        <v>Year 1</v>
      </c>
      <c r="D44" s="33">
        <f>H43</f>
        <v>23534.466062235104</v>
      </c>
      <c r="E44" s="18">
        <f t="shared" si="9"/>
        <v>-525.5339377648952</v>
      </c>
      <c r="F44" s="33">
        <f t="shared" ref="F44" si="10">$C$9/12*D44</f>
        <v>58.836165155587764</v>
      </c>
      <c r="G44" s="33">
        <f t="shared" ref="G44" si="11">-E44-F44</f>
        <v>466.69777260930744</v>
      </c>
      <c r="H44" s="33">
        <f t="shared" ref="H44" si="12">D44-G44</f>
        <v>23067.768289625797</v>
      </c>
      <c r="J44" s="18">
        <f t="shared" ref="J44:J67" si="13">E44*$C$7</f>
        <v>-35.999074736895324</v>
      </c>
      <c r="K44" s="18">
        <f t="shared" ref="K44:K67" si="14">J44+E44</f>
        <v>-561.53301250179049</v>
      </c>
      <c r="L44" s="18">
        <f>-$C$6+SUM($K$43:K44)</f>
        <v>-2123.0660250035808</v>
      </c>
      <c r="M44" s="18">
        <f t="shared" si="8"/>
        <v>-176.9221687502984</v>
      </c>
      <c r="N44" s="18">
        <f>BuyACar!N46</f>
        <v>-484.13176685435167</v>
      </c>
      <c r="O44" s="37">
        <f>AVERAGE(M$19:M44)</f>
        <v>-628.66827816680302</v>
      </c>
      <c r="P44" s="37">
        <f>AVERAGE(N$19:N44)</f>
        <v>-712.24338058694661</v>
      </c>
    </row>
    <row r="45" spans="2:16" x14ac:dyDescent="0.2">
      <c r="B45" s="19">
        <v>3</v>
      </c>
      <c r="C45" s="19" t="str">
        <f t="shared" si="0"/>
        <v>Year 1</v>
      </c>
      <c r="D45" s="33">
        <f t="shared" ref="D45:D66" si="15">H44</f>
        <v>23067.768289625797</v>
      </c>
      <c r="E45" s="18">
        <f t="shared" si="9"/>
        <v>-525.5339377648952</v>
      </c>
      <c r="F45" s="33">
        <f t="shared" ref="F45:F67" si="16">$C$9/12*D45</f>
        <v>57.669420724064494</v>
      </c>
      <c r="G45" s="33">
        <f t="shared" ref="G45:G66" si="17">-E45-F45</f>
        <v>467.86451704083072</v>
      </c>
      <c r="H45" s="33">
        <f t="shared" ref="H45:H67" si="18">D45-G45</f>
        <v>22599.903772584967</v>
      </c>
      <c r="J45" s="18">
        <f t="shared" si="13"/>
        <v>-35.999074736895324</v>
      </c>
      <c r="K45" s="18">
        <f t="shared" si="14"/>
        <v>-561.53301250179049</v>
      </c>
      <c r="L45" s="18">
        <f>-$C$6+SUM($K$43:K45)</f>
        <v>-2684.5990375053716</v>
      </c>
      <c r="M45" s="18">
        <f t="shared" si="8"/>
        <v>-223.71658645878097</v>
      </c>
      <c r="N45" s="18">
        <f>BuyACar!N47</f>
        <v>-477.4702421880196</v>
      </c>
      <c r="O45" s="37">
        <f>AVERAGE(M$19:M45)</f>
        <v>-613.67006736280223</v>
      </c>
      <c r="P45" s="37">
        <f>AVERAGE(N$19:N45)</f>
        <v>-703.5480791647642</v>
      </c>
    </row>
    <row r="46" spans="2:16" x14ac:dyDescent="0.2">
      <c r="B46" s="19">
        <v>4</v>
      </c>
      <c r="C46" s="19" t="str">
        <f t="shared" si="0"/>
        <v>Year 1</v>
      </c>
      <c r="D46" s="33">
        <f t="shared" si="15"/>
        <v>22599.903772584967</v>
      </c>
      <c r="E46" s="18">
        <f t="shared" si="9"/>
        <v>-525.5339377648952</v>
      </c>
      <c r="F46" s="33">
        <f t="shared" si="16"/>
        <v>56.499759431462415</v>
      </c>
      <c r="G46" s="33">
        <f t="shared" si="17"/>
        <v>469.03417833343281</v>
      </c>
      <c r="H46" s="33">
        <f t="shared" si="18"/>
        <v>22130.869594251533</v>
      </c>
      <c r="J46" s="18">
        <f t="shared" si="13"/>
        <v>-35.999074736895324</v>
      </c>
      <c r="K46" s="18">
        <f t="shared" si="14"/>
        <v>-561.53301250179049</v>
      </c>
      <c r="L46" s="18">
        <f>-$C$6+SUM($K$43:K46)</f>
        <v>-3246.132050007162</v>
      </c>
      <c r="M46" s="18">
        <f t="shared" si="8"/>
        <v>-270.51100416726348</v>
      </c>
      <c r="N46" s="18">
        <f>BuyACar!N48</f>
        <v>-471.24664642423767</v>
      </c>
      <c r="O46" s="37">
        <f>AVERAGE(M$19:M46)</f>
        <v>-601.41438653439013</v>
      </c>
      <c r="P46" s="37">
        <f>AVERAGE(N$19:N46)</f>
        <v>-695.25159942403116</v>
      </c>
    </row>
    <row r="47" spans="2:16" x14ac:dyDescent="0.2">
      <c r="B47" s="19">
        <v>5</v>
      </c>
      <c r="C47" s="19" t="str">
        <f t="shared" si="0"/>
        <v>Year 1</v>
      </c>
      <c r="D47" s="33">
        <f t="shared" si="15"/>
        <v>22130.869594251533</v>
      </c>
      <c r="E47" s="18">
        <f t="shared" si="9"/>
        <v>-525.5339377648952</v>
      </c>
      <c r="F47" s="33">
        <f t="shared" si="16"/>
        <v>55.327173985628832</v>
      </c>
      <c r="G47" s="33">
        <f t="shared" si="17"/>
        <v>470.20676377926634</v>
      </c>
      <c r="H47" s="33">
        <f t="shared" si="18"/>
        <v>21660.662830472265</v>
      </c>
      <c r="J47" s="18">
        <f t="shared" si="13"/>
        <v>-35.999074736895324</v>
      </c>
      <c r="K47" s="18">
        <f t="shared" si="14"/>
        <v>-561.53301250179049</v>
      </c>
      <c r="L47" s="18">
        <f>-$C$6+SUM($K$43:K47)</f>
        <v>-3807.6650625089524</v>
      </c>
      <c r="M47" s="18">
        <f t="shared" si="8"/>
        <v>-317.30542187574605</v>
      </c>
      <c r="N47" s="18">
        <f>BuyACar!N49</f>
        <v>-465.4155851041163</v>
      </c>
      <c r="O47" s="37">
        <f>AVERAGE(M$19:M47)</f>
        <v>-591.61752568409202</v>
      </c>
      <c r="P47" s="37">
        <f>AVERAGE(N$19:N47)</f>
        <v>-687.32621961989616</v>
      </c>
    </row>
    <row r="48" spans="2:16" x14ac:dyDescent="0.2">
      <c r="B48" s="19">
        <v>6</v>
      </c>
      <c r="C48" s="19" t="str">
        <f t="shared" si="0"/>
        <v>Year 1</v>
      </c>
      <c r="D48" s="33">
        <f t="shared" si="15"/>
        <v>21660.662830472265</v>
      </c>
      <c r="E48" s="18">
        <f t="shared" si="9"/>
        <v>-525.5339377648952</v>
      </c>
      <c r="F48" s="33">
        <f t="shared" si="16"/>
        <v>54.151657076180662</v>
      </c>
      <c r="G48" s="33">
        <f t="shared" si="17"/>
        <v>471.38228068871456</v>
      </c>
      <c r="H48" s="33">
        <f t="shared" si="18"/>
        <v>21189.280549783551</v>
      </c>
      <c r="J48" s="18">
        <f t="shared" si="13"/>
        <v>-35.999074736895324</v>
      </c>
      <c r="K48" s="18">
        <f t="shared" si="14"/>
        <v>-561.53301250179049</v>
      </c>
      <c r="L48" s="18">
        <f>-$C$6+SUM($K$43:K48)</f>
        <v>-4369.1980750107432</v>
      </c>
      <c r="M48" s="18">
        <f t="shared" si="8"/>
        <v>-364.09983958422862</v>
      </c>
      <c r="N48" s="18">
        <f>BuyACar!N50</f>
        <v>-459.93771614223414</v>
      </c>
      <c r="O48" s="37">
        <f>AVERAGE(M$19:M48)</f>
        <v>-584.03360281409664</v>
      </c>
      <c r="P48" s="37">
        <f>AVERAGE(N$19:N48)</f>
        <v>-679.74660283730748</v>
      </c>
    </row>
    <row r="49" spans="2:16" x14ac:dyDescent="0.2">
      <c r="B49" s="19">
        <v>7</v>
      </c>
      <c r="C49" s="19" t="str">
        <f t="shared" si="0"/>
        <v>Year 1</v>
      </c>
      <c r="D49" s="33">
        <f t="shared" si="15"/>
        <v>21189.280549783551</v>
      </c>
      <c r="E49" s="18">
        <f t="shared" si="9"/>
        <v>-525.5339377648952</v>
      </c>
      <c r="F49" s="33">
        <f t="shared" si="16"/>
        <v>52.973201374458881</v>
      </c>
      <c r="G49" s="33">
        <f t="shared" si="17"/>
        <v>472.56073639043632</v>
      </c>
      <c r="H49" s="33">
        <f t="shared" si="18"/>
        <v>20716.719813393116</v>
      </c>
      <c r="J49" s="18">
        <f t="shared" si="13"/>
        <v>-35.999074736895324</v>
      </c>
      <c r="K49" s="18">
        <f t="shared" si="14"/>
        <v>-561.53301250179049</v>
      </c>
      <c r="L49" s="18">
        <f>-$C$6+SUM($K$43:K49)</f>
        <v>-4930.7310875125331</v>
      </c>
      <c r="M49" s="18">
        <f t="shared" si="8"/>
        <v>-410.89425729271107</v>
      </c>
      <c r="N49" s="18">
        <f>BuyACar!N51</f>
        <v>-454.77877363683484</v>
      </c>
      <c r="O49" s="37">
        <f>AVERAGE(M$19:M49)</f>
        <v>-578.44846263598743</v>
      </c>
      <c r="P49" s="37">
        <f>AVERAGE(N$19:N49)</f>
        <v>-672.4895760889051</v>
      </c>
    </row>
    <row r="50" spans="2:16" x14ac:dyDescent="0.2">
      <c r="B50" s="19">
        <v>8</v>
      </c>
      <c r="C50" s="19" t="str">
        <f t="shared" si="0"/>
        <v>Year 1</v>
      </c>
      <c r="D50" s="33">
        <f t="shared" si="15"/>
        <v>20716.719813393116</v>
      </c>
      <c r="E50" s="18">
        <f t="shared" si="9"/>
        <v>-525.5339377648952</v>
      </c>
      <c r="F50" s="33">
        <f t="shared" si="16"/>
        <v>51.791799533482788</v>
      </c>
      <c r="G50" s="33">
        <f t="shared" si="17"/>
        <v>473.74213823141241</v>
      </c>
      <c r="H50" s="33">
        <f t="shared" si="18"/>
        <v>20242.977675161703</v>
      </c>
      <c r="J50" s="18">
        <f t="shared" si="13"/>
        <v>-35.999074736895324</v>
      </c>
      <c r="K50" s="18">
        <f t="shared" si="14"/>
        <v>-561.53301250179049</v>
      </c>
      <c r="L50" s="18">
        <f>-$C$6+SUM($K$43:K50)</f>
        <v>-5492.264100014324</v>
      </c>
      <c r="M50" s="18">
        <f t="shared" si="8"/>
        <v>-457.68867500119364</v>
      </c>
      <c r="N50" s="18">
        <f>BuyACar!N52</f>
        <v>-449.90877471560952</v>
      </c>
      <c r="O50" s="37">
        <f>AVERAGE(M$19:M50)</f>
        <v>-574.67471927240013</v>
      </c>
      <c r="P50" s="37">
        <f>AVERAGE(N$19:N50)</f>
        <v>-665.53392604598957</v>
      </c>
    </row>
    <row r="51" spans="2:16" x14ac:dyDescent="0.2">
      <c r="B51" s="19">
        <v>9</v>
      </c>
      <c r="C51" s="19" t="str">
        <f t="shared" ref="C51:C78" si="19">INDEX(CarTable,MATCH($B51,Row,0),MATCH($C$17,Column,0))</f>
        <v>Year 1</v>
      </c>
      <c r="D51" s="33">
        <f t="shared" si="15"/>
        <v>20242.977675161703</v>
      </c>
      <c r="E51" s="18">
        <f t="shared" si="9"/>
        <v>-525.5339377648952</v>
      </c>
      <c r="F51" s="33">
        <f t="shared" si="16"/>
        <v>50.607444187904257</v>
      </c>
      <c r="G51" s="33">
        <f t="shared" si="17"/>
        <v>474.92649357699094</v>
      </c>
      <c r="H51" s="33">
        <f t="shared" si="18"/>
        <v>19768.051181584713</v>
      </c>
      <c r="J51" s="18">
        <f t="shared" si="13"/>
        <v>-35.999074736895324</v>
      </c>
      <c r="K51" s="18">
        <f t="shared" si="14"/>
        <v>-561.53301250179049</v>
      </c>
      <c r="L51" s="18">
        <f>-$C$6+SUM($K$43:K51)</f>
        <v>-6053.7971125161148</v>
      </c>
      <c r="M51" s="18">
        <f t="shared" si="8"/>
        <v>-504.48309270967621</v>
      </c>
      <c r="N51" s="18">
        <f>BuyACar!N53</f>
        <v>-445.30137059133665</v>
      </c>
      <c r="O51" s="37">
        <f>AVERAGE(M$19:M51)</f>
        <v>-572.54770028565099</v>
      </c>
      <c r="P51" s="37">
        <f>AVERAGE(N$19:N51)</f>
        <v>-658.86021224433341</v>
      </c>
    </row>
    <row r="52" spans="2:16" x14ac:dyDescent="0.2">
      <c r="B52" s="19">
        <v>10</v>
      </c>
      <c r="C52" s="19" t="str">
        <f t="shared" si="19"/>
        <v>Year 1</v>
      </c>
      <c r="D52" s="33">
        <f t="shared" si="15"/>
        <v>19768.051181584713</v>
      </c>
      <c r="E52" s="18">
        <f t="shared" si="9"/>
        <v>-525.5339377648952</v>
      </c>
      <c r="F52" s="33">
        <f t="shared" si="16"/>
        <v>49.420127953961781</v>
      </c>
      <c r="G52" s="33">
        <f t="shared" si="17"/>
        <v>476.11380981093339</v>
      </c>
      <c r="H52" s="33">
        <f t="shared" si="18"/>
        <v>19291.93737177378</v>
      </c>
      <c r="J52" s="18">
        <f t="shared" si="13"/>
        <v>-35.999074736895324</v>
      </c>
      <c r="K52" s="18">
        <f t="shared" si="14"/>
        <v>-561.53301250179049</v>
      </c>
      <c r="L52" s="18">
        <f>-$C$6+SUM($K$43:K52)</f>
        <v>-6615.3301250179056</v>
      </c>
      <c r="M52" s="18">
        <f t="shared" si="8"/>
        <v>-551.27751041815884</v>
      </c>
      <c r="N52" s="18">
        <f>BuyACar!N54</f>
        <v>-440.93331213711275</v>
      </c>
      <c r="O52" s="37">
        <f>AVERAGE(M$19:M52)</f>
        <v>-571.92210646601882</v>
      </c>
      <c r="P52" s="37">
        <f>AVERAGE(N$19:N52)</f>
        <v>-652.45059753529756</v>
      </c>
    </row>
    <row r="53" spans="2:16" x14ac:dyDescent="0.2">
      <c r="B53" s="19">
        <v>11</v>
      </c>
      <c r="C53" s="19" t="str">
        <f t="shared" si="19"/>
        <v>Year 1</v>
      </c>
      <c r="D53" s="33">
        <f t="shared" si="15"/>
        <v>19291.93737177378</v>
      </c>
      <c r="E53" s="18">
        <f t="shared" si="9"/>
        <v>-525.5339377648952</v>
      </c>
      <c r="F53" s="33">
        <f t="shared" si="16"/>
        <v>48.229843429434453</v>
      </c>
      <c r="G53" s="33">
        <f t="shared" si="17"/>
        <v>477.30409433546072</v>
      </c>
      <c r="H53" s="33">
        <f t="shared" si="18"/>
        <v>18814.633277438319</v>
      </c>
      <c r="J53" s="18">
        <f t="shared" si="13"/>
        <v>-35.999074736895324</v>
      </c>
      <c r="K53" s="18">
        <f t="shared" si="14"/>
        <v>-561.53301250179049</v>
      </c>
      <c r="L53" s="18">
        <f>-$C$6+SUM($K$43:K53)</f>
        <v>-7176.8631375196965</v>
      </c>
      <c r="M53" s="18">
        <f t="shared" si="8"/>
        <v>-598.07192812664141</v>
      </c>
      <c r="N53" s="18">
        <f>BuyACar!N55</f>
        <v>-436.7840070772574</v>
      </c>
      <c r="O53" s="37">
        <f>AVERAGE(M$19:M53)</f>
        <v>-572.66924422775094</v>
      </c>
      <c r="P53" s="37">
        <f>AVERAGE(N$19:N53)</f>
        <v>-646.28869495078209</v>
      </c>
    </row>
    <row r="54" spans="2:16" x14ac:dyDescent="0.2">
      <c r="B54" s="56">
        <v>12</v>
      </c>
      <c r="C54" s="56" t="str">
        <f t="shared" si="19"/>
        <v>Year 1</v>
      </c>
      <c r="D54" s="57">
        <f t="shared" si="15"/>
        <v>18814.633277438319</v>
      </c>
      <c r="E54" s="58">
        <f t="shared" si="9"/>
        <v>-525.5339377648952</v>
      </c>
      <c r="F54" s="57">
        <f t="shared" si="16"/>
        <v>47.036583193595796</v>
      </c>
      <c r="G54" s="57">
        <f t="shared" si="17"/>
        <v>478.49735457129941</v>
      </c>
      <c r="H54" s="57">
        <f t="shared" si="18"/>
        <v>18336.135922867019</v>
      </c>
      <c r="I54" s="59"/>
      <c r="J54" s="58">
        <f t="shared" si="13"/>
        <v>-35.999074736895324</v>
      </c>
      <c r="K54" s="58">
        <f t="shared" si="14"/>
        <v>-561.53301250179049</v>
      </c>
      <c r="L54" s="58">
        <f>-$C$6+SUM($K$43:K54)</f>
        <v>-7738.3961500214873</v>
      </c>
      <c r="M54" s="58">
        <f t="shared" si="8"/>
        <v>-644.86634583512398</v>
      </c>
      <c r="N54" s="58">
        <f>BuyACar!N56</f>
        <v>-432.83515097973276</v>
      </c>
      <c r="O54" s="37">
        <f>AVERAGE(M$19:M54)</f>
        <v>-574.67471927240024</v>
      </c>
      <c r="P54" s="37">
        <f>AVERAGE(N$19:N54)</f>
        <v>-640.35942984047517</v>
      </c>
    </row>
    <row r="55" spans="2:16" x14ac:dyDescent="0.2">
      <c r="B55" s="19">
        <v>13</v>
      </c>
      <c r="C55" s="19" t="str">
        <f t="shared" si="19"/>
        <v>Year 2</v>
      </c>
      <c r="D55" s="33">
        <f t="shared" si="15"/>
        <v>18336.135922867019</v>
      </c>
      <c r="E55" s="18">
        <f t="shared" si="9"/>
        <v>-525.5339377648952</v>
      </c>
      <c r="F55" s="33">
        <f t="shared" si="16"/>
        <v>45.840339807167545</v>
      </c>
      <c r="G55" s="33">
        <f t="shared" si="17"/>
        <v>479.69359795772766</v>
      </c>
      <c r="H55" s="33">
        <f t="shared" si="18"/>
        <v>17856.442324909291</v>
      </c>
      <c r="J55" s="18">
        <f t="shared" si="13"/>
        <v>-35.999074736895324</v>
      </c>
      <c r="K55" s="18">
        <f t="shared" si="14"/>
        <v>-561.53301250179049</v>
      </c>
      <c r="L55" s="18">
        <f>-$C$6+SUM($K$43:K55)</f>
        <v>-8299.9291625232781</v>
      </c>
      <c r="M55" s="18">
        <f t="shared" si="8"/>
        <v>-691.66076354360655</v>
      </c>
      <c r="N55" s="18">
        <f>BuyACar!N57</f>
        <v>-427.6289766461868</v>
      </c>
      <c r="O55" s="37">
        <f>AVERAGE(M$19:M55)</f>
        <v>-577.83650425270309</v>
      </c>
      <c r="P55" s="37">
        <f>AVERAGE(N$19:N55)</f>
        <v>-634.60995813252134</v>
      </c>
    </row>
    <row r="56" spans="2:16" x14ac:dyDescent="0.2">
      <c r="B56" s="19">
        <v>14</v>
      </c>
      <c r="C56" s="19" t="str">
        <f t="shared" si="19"/>
        <v>Year 2</v>
      </c>
      <c r="D56" s="33">
        <f t="shared" si="15"/>
        <v>17856.442324909291</v>
      </c>
      <c r="E56" s="18">
        <f t="shared" si="9"/>
        <v>-525.5339377648952</v>
      </c>
      <c r="F56" s="33">
        <f t="shared" si="16"/>
        <v>44.641105812273224</v>
      </c>
      <c r="G56" s="33">
        <f t="shared" si="17"/>
        <v>480.89283195262198</v>
      </c>
      <c r="H56" s="33">
        <f t="shared" si="18"/>
        <v>17375.54949295667</v>
      </c>
      <c r="J56" s="18">
        <f t="shared" si="13"/>
        <v>-35.999074736895324</v>
      </c>
      <c r="K56" s="18">
        <f t="shared" si="14"/>
        <v>-561.53301250179049</v>
      </c>
      <c r="L56" s="18">
        <f>-$C$6+SUM($K$43:K56)</f>
        <v>-8861.4621750250699</v>
      </c>
      <c r="M56" s="18">
        <f t="shared" si="8"/>
        <v>-738.45518125208912</v>
      </c>
      <c r="N56" s="18">
        <f>BuyACar!N58</f>
        <v>-422.66818342286734</v>
      </c>
      <c r="O56" s="37">
        <f>AVERAGE(M$19:M56)</f>
        <v>-582.06331154216059</v>
      </c>
      <c r="P56" s="37">
        <f>AVERAGE(N$19:N56)</f>
        <v>-629.03254300858305</v>
      </c>
    </row>
    <row r="57" spans="2:16" x14ac:dyDescent="0.2">
      <c r="B57" s="19">
        <v>15</v>
      </c>
      <c r="C57" s="19" t="str">
        <f t="shared" si="19"/>
        <v>Year 2</v>
      </c>
      <c r="D57" s="33">
        <f t="shared" si="15"/>
        <v>17375.54949295667</v>
      </c>
      <c r="E57" s="18">
        <f t="shared" si="9"/>
        <v>-525.5339377648952</v>
      </c>
      <c r="F57" s="33">
        <f t="shared" si="16"/>
        <v>43.438873732391677</v>
      </c>
      <c r="G57" s="33">
        <f t="shared" si="17"/>
        <v>482.0950640325035</v>
      </c>
      <c r="H57" s="33">
        <f t="shared" si="18"/>
        <v>16893.454428924168</v>
      </c>
      <c r="J57" s="18">
        <f t="shared" si="13"/>
        <v>-35.999074736895324</v>
      </c>
      <c r="K57" s="18">
        <f t="shared" si="14"/>
        <v>-561.53301250179049</v>
      </c>
      <c r="L57" s="18">
        <f>-$C$6+SUM($K$43:K57)</f>
        <v>-9422.9951875268598</v>
      </c>
      <c r="M57" s="18">
        <f t="shared" si="8"/>
        <v>-785.24959896057169</v>
      </c>
      <c r="N57" s="18">
        <f>BuyACar!N59</f>
        <v>-417.93382610472628</v>
      </c>
      <c r="O57" s="37">
        <f>AVERAGE(M$19:M57)</f>
        <v>-587.27321634776081</v>
      </c>
      <c r="P57" s="37">
        <f>AVERAGE(N$19:N57)</f>
        <v>-623.61975539566367</v>
      </c>
    </row>
    <row r="58" spans="2:16" x14ac:dyDescent="0.2">
      <c r="B58" s="19">
        <v>16</v>
      </c>
      <c r="C58" s="19" t="str">
        <f t="shared" si="19"/>
        <v>Year 2</v>
      </c>
      <c r="D58" s="33">
        <f t="shared" si="15"/>
        <v>16893.454428924168</v>
      </c>
      <c r="E58" s="18">
        <f t="shared" si="9"/>
        <v>-525.5339377648952</v>
      </c>
      <c r="F58" s="33">
        <f t="shared" si="16"/>
        <v>42.233636072310418</v>
      </c>
      <c r="G58" s="33">
        <f t="shared" si="17"/>
        <v>483.30030169258475</v>
      </c>
      <c r="H58" s="33">
        <f t="shared" si="18"/>
        <v>16410.154127231584</v>
      </c>
      <c r="J58" s="18">
        <f t="shared" si="13"/>
        <v>-35.999074736895324</v>
      </c>
      <c r="K58" s="18">
        <f t="shared" si="14"/>
        <v>-561.53301250179049</v>
      </c>
      <c r="L58" s="18">
        <f>-$C$6+SUM($K$43:K58)</f>
        <v>-9984.5282000286497</v>
      </c>
      <c r="M58" s="18">
        <f t="shared" si="8"/>
        <v>-832.04401666905414</v>
      </c>
      <c r="N58" s="18">
        <f>BuyACar!N60</f>
        <v>-413.40885383724117</v>
      </c>
      <c r="O58" s="37">
        <f>AVERAGE(M$19:M58)</f>
        <v>-593.39248635579315</v>
      </c>
      <c r="P58" s="37">
        <f>AVERAGE(N$19:N58)</f>
        <v>-618.36448285670315</v>
      </c>
    </row>
    <row r="59" spans="2:16" x14ac:dyDescent="0.2">
      <c r="B59" s="19">
        <v>17</v>
      </c>
      <c r="C59" s="19" t="str">
        <f t="shared" si="19"/>
        <v>Year 2</v>
      </c>
      <c r="D59" s="33">
        <f t="shared" si="15"/>
        <v>16410.154127231584</v>
      </c>
      <c r="E59" s="18">
        <f t="shared" si="9"/>
        <v>-525.5339377648952</v>
      </c>
      <c r="F59" s="33">
        <f t="shared" si="16"/>
        <v>41.02538531807896</v>
      </c>
      <c r="G59" s="33">
        <f t="shared" si="17"/>
        <v>484.50855244681622</v>
      </c>
      <c r="H59" s="33">
        <f t="shared" si="18"/>
        <v>15925.645574784769</v>
      </c>
      <c r="J59" s="18">
        <f t="shared" si="13"/>
        <v>-35.999074736895324</v>
      </c>
      <c r="K59" s="18">
        <f t="shared" si="14"/>
        <v>-561.53301250179049</v>
      </c>
      <c r="L59" s="18">
        <f>-$C$6+SUM($K$43:K59)</f>
        <v>-10546.06121253044</v>
      </c>
      <c r="M59" s="18">
        <f t="shared" si="8"/>
        <v>-878.8384343775366</v>
      </c>
      <c r="N59" s="18">
        <f>BuyACar!N61</f>
        <v>-409.07787909764386</v>
      </c>
      <c r="O59" s="37">
        <f>AVERAGE(M$19:M59)</f>
        <v>-600.35458264900637</v>
      </c>
      <c r="P59" s="37">
        <f>AVERAGE(N$19:N59)</f>
        <v>-613.25993154550656</v>
      </c>
    </row>
    <row r="60" spans="2:16" x14ac:dyDescent="0.2">
      <c r="B60" s="19">
        <v>18</v>
      </c>
      <c r="C60" s="83" t="str">
        <f t="shared" si="19"/>
        <v>Year 2</v>
      </c>
      <c r="D60" s="84">
        <f t="shared" si="15"/>
        <v>15925.645574784769</v>
      </c>
      <c r="E60" s="85">
        <f t="shared" si="9"/>
        <v>-525.5339377648952</v>
      </c>
      <c r="F60" s="84">
        <f t="shared" si="16"/>
        <v>39.814113936961924</v>
      </c>
      <c r="G60" s="84">
        <f t="shared" si="17"/>
        <v>485.71982382793328</v>
      </c>
      <c r="H60" s="84">
        <f t="shared" si="18"/>
        <v>15439.925750956836</v>
      </c>
      <c r="I60" s="86"/>
      <c r="J60" s="85">
        <f t="shared" si="13"/>
        <v>-35.999074736895324</v>
      </c>
      <c r="K60" s="85">
        <f t="shared" si="14"/>
        <v>-561.53301250179049</v>
      </c>
      <c r="L60" s="85">
        <f>-$C$6+SUM($K$43:K60)</f>
        <v>-11107.59422503223</v>
      </c>
      <c r="M60" s="85">
        <f t="shared" si="8"/>
        <v>-925.63285208601917</v>
      </c>
      <c r="N60" s="85">
        <f>BuyACar!N62</f>
        <v>-404.9269796788297</v>
      </c>
      <c r="O60" s="87">
        <f>AVERAGE(M$19:M60)</f>
        <v>-608.09930334988769</v>
      </c>
      <c r="P60" s="87">
        <f>AVERAGE(N$19:N60)</f>
        <v>-608.29962316772856</v>
      </c>
    </row>
    <row r="61" spans="2:16" x14ac:dyDescent="0.2">
      <c r="B61" s="19">
        <v>19</v>
      </c>
      <c r="C61" s="19" t="str">
        <f t="shared" si="19"/>
        <v>Year 2</v>
      </c>
      <c r="D61" s="33">
        <f t="shared" si="15"/>
        <v>15439.925750956836</v>
      </c>
      <c r="E61" s="18">
        <f t="shared" si="9"/>
        <v>-525.5339377648952</v>
      </c>
      <c r="F61" s="33">
        <f t="shared" si="16"/>
        <v>38.599814377392093</v>
      </c>
      <c r="G61" s="33">
        <f t="shared" si="17"/>
        <v>486.93412338750312</v>
      </c>
      <c r="H61" s="33">
        <f t="shared" si="18"/>
        <v>14952.991627569332</v>
      </c>
      <c r="J61" s="18">
        <f t="shared" si="13"/>
        <v>-35.999074736895324</v>
      </c>
      <c r="K61" s="18">
        <f t="shared" si="14"/>
        <v>-561.53301250179049</v>
      </c>
      <c r="L61" s="18">
        <f>-$C$6+SUM($K$43:K61)</f>
        <v>-11669.12723753402</v>
      </c>
      <c r="M61" s="18">
        <f t="shared" si="8"/>
        <v>-972.42726979450163</v>
      </c>
      <c r="N61" s="18">
        <f>BuyACar!N63</f>
        <v>-400.9435283034183</v>
      </c>
      <c r="O61" s="37">
        <f>AVERAGE(M$19:M61)</f>
        <v>-616.57204675557637</v>
      </c>
      <c r="P61" s="37">
        <f>AVERAGE(N$19:N61)</f>
        <v>-603.47738840344221</v>
      </c>
    </row>
    <row r="62" spans="2:16" x14ac:dyDescent="0.2">
      <c r="B62" s="19">
        <v>20</v>
      </c>
      <c r="C62" s="19" t="str">
        <f t="shared" si="19"/>
        <v>Year 2</v>
      </c>
      <c r="D62" s="33">
        <f t="shared" si="15"/>
        <v>14952.991627569332</v>
      </c>
      <c r="E62" s="18">
        <f t="shared" si="9"/>
        <v>-525.5339377648952</v>
      </c>
      <c r="F62" s="33">
        <f t="shared" si="16"/>
        <v>37.382479068923331</v>
      </c>
      <c r="G62" s="33">
        <f t="shared" si="17"/>
        <v>488.15145869597188</v>
      </c>
      <c r="H62" s="33">
        <f t="shared" si="18"/>
        <v>14464.840168873361</v>
      </c>
      <c r="J62" s="18">
        <f t="shared" si="13"/>
        <v>-35.999074736895324</v>
      </c>
      <c r="K62" s="18">
        <f t="shared" si="14"/>
        <v>-561.53301250179049</v>
      </c>
      <c r="L62" s="18">
        <f>-$C$6+SUM($K$43:K62)</f>
        <v>-12230.660250035809</v>
      </c>
      <c r="M62" s="18">
        <f t="shared" si="8"/>
        <v>-1019.2216875029841</v>
      </c>
      <c r="N62" s="18">
        <f>BuyACar!N64</f>
        <v>-397.11604547225875</v>
      </c>
      <c r="O62" s="37">
        <f>AVERAGE(M$19:M62)</f>
        <v>-625.72317495438108</v>
      </c>
      <c r="P62" s="37">
        <f>AVERAGE(N$19:N62)</f>
        <v>-598.78735788227903</v>
      </c>
    </row>
    <row r="63" spans="2:16" x14ac:dyDescent="0.2">
      <c r="B63" s="19">
        <v>21</v>
      </c>
      <c r="C63" s="19" t="str">
        <f t="shared" si="19"/>
        <v>Year 2</v>
      </c>
      <c r="D63" s="33">
        <f t="shared" si="15"/>
        <v>14464.840168873361</v>
      </c>
      <c r="E63" s="18">
        <f t="shared" si="9"/>
        <v>-525.5339377648952</v>
      </c>
      <c r="F63" s="33">
        <f t="shared" si="16"/>
        <v>36.162100422183407</v>
      </c>
      <c r="G63" s="33">
        <f t="shared" si="17"/>
        <v>489.37183734271179</v>
      </c>
      <c r="H63" s="33">
        <f t="shared" si="18"/>
        <v>13975.46833153065</v>
      </c>
      <c r="J63" s="18">
        <f t="shared" si="13"/>
        <v>-35.999074736895324</v>
      </c>
      <c r="K63" s="18">
        <f t="shared" si="14"/>
        <v>-561.53301250179049</v>
      </c>
      <c r="L63" s="18">
        <f>-$C$6+SUM($K$43:K63)</f>
        <v>-12792.193262537599</v>
      </c>
      <c r="M63" s="18">
        <f t="shared" si="8"/>
        <v>-1066.0161052114665</v>
      </c>
      <c r="N63" s="18">
        <f>BuyACar!N65</f>
        <v>-393.43407193313402</v>
      </c>
      <c r="O63" s="37">
        <f>AVERAGE(M$19:M63)</f>
        <v>-635.50746229342747</v>
      </c>
      <c r="P63" s="37">
        <f>AVERAGE(N$19:N63)</f>
        <v>-594.2239515278535</v>
      </c>
    </row>
    <row r="64" spans="2:16" x14ac:dyDescent="0.2">
      <c r="B64" s="19">
        <v>22</v>
      </c>
      <c r="C64" s="19" t="str">
        <f t="shared" si="19"/>
        <v>Year 2</v>
      </c>
      <c r="D64" s="33">
        <f t="shared" si="15"/>
        <v>13975.46833153065</v>
      </c>
      <c r="E64" s="18">
        <f t="shared" si="9"/>
        <v>-525.5339377648952</v>
      </c>
      <c r="F64" s="33">
        <f t="shared" si="16"/>
        <v>34.938670828826623</v>
      </c>
      <c r="G64" s="33">
        <f t="shared" si="17"/>
        <v>490.59526693606858</v>
      </c>
      <c r="H64" s="33">
        <f t="shared" si="18"/>
        <v>13484.873064594582</v>
      </c>
      <c r="J64" s="18">
        <f t="shared" si="13"/>
        <v>-35.999074736895324</v>
      </c>
      <c r="K64" s="18">
        <f t="shared" si="14"/>
        <v>-561.53301250179049</v>
      </c>
      <c r="L64" s="18">
        <f>-$C$6+SUM($K$43:K64)</f>
        <v>-13353.726275039389</v>
      </c>
      <c r="M64" s="18">
        <f t="shared" si="8"/>
        <v>-1112.8105229199491</v>
      </c>
      <c r="N64" s="18">
        <f>BuyACar!N66</f>
        <v>-389.88805778398091</v>
      </c>
      <c r="O64" s="37">
        <f>AVERAGE(M$19:M64)</f>
        <v>-645.88361578530839</v>
      </c>
      <c r="P64" s="37">
        <f>AVERAGE(N$19:N64)</f>
        <v>-589.78186688124765</v>
      </c>
    </row>
    <row r="65" spans="2:16" x14ac:dyDescent="0.2">
      <c r="B65" s="19">
        <v>23</v>
      </c>
      <c r="C65" s="19" t="str">
        <f t="shared" si="19"/>
        <v>Year 2</v>
      </c>
      <c r="D65" s="33">
        <f t="shared" si="15"/>
        <v>13484.873064594582</v>
      </c>
      <c r="E65" s="18">
        <f t="shared" si="9"/>
        <v>-525.5339377648952</v>
      </c>
      <c r="F65" s="33">
        <f t="shared" si="16"/>
        <v>33.712182661486452</v>
      </c>
      <c r="G65" s="33">
        <f t="shared" si="17"/>
        <v>491.82175510340875</v>
      </c>
      <c r="H65" s="33">
        <f t="shared" si="18"/>
        <v>12993.051309491173</v>
      </c>
      <c r="J65" s="18">
        <f t="shared" si="13"/>
        <v>-35.999074736895324</v>
      </c>
      <c r="K65" s="18">
        <f t="shared" si="14"/>
        <v>-561.53301250179049</v>
      </c>
      <c r="L65" s="18">
        <f>-$C$6+SUM($K$43:K65)</f>
        <v>-13915.259287541179</v>
      </c>
      <c r="M65" s="18">
        <f t="shared" si="8"/>
        <v>-1159.6049406284317</v>
      </c>
      <c r="N65" s="18">
        <f>BuyACar!N67</f>
        <v>-386.46926573314494</v>
      </c>
      <c r="O65" s="37">
        <f>AVERAGE(M$19:M65)</f>
        <v>-656.81385673941736</v>
      </c>
      <c r="P65" s="37">
        <f>AVERAGE(N$19:N65)</f>
        <v>-585.4560668568198</v>
      </c>
    </row>
    <row r="66" spans="2:16" x14ac:dyDescent="0.2">
      <c r="B66" s="60">
        <v>24</v>
      </c>
      <c r="C66" s="60" t="str">
        <f t="shared" si="19"/>
        <v>Year 2</v>
      </c>
      <c r="D66" s="61">
        <f t="shared" si="15"/>
        <v>12993.051309491173</v>
      </c>
      <c r="E66" s="62">
        <f t="shared" si="9"/>
        <v>-525.5339377648952</v>
      </c>
      <c r="F66" s="61">
        <f t="shared" si="16"/>
        <v>32.482628273727933</v>
      </c>
      <c r="G66" s="61">
        <f t="shared" si="17"/>
        <v>493.05130949116727</v>
      </c>
      <c r="H66" s="61">
        <f t="shared" si="18"/>
        <v>12500.000000000005</v>
      </c>
      <c r="I66" s="63"/>
      <c r="J66" s="62">
        <f t="shared" si="13"/>
        <v>-35.999074736895324</v>
      </c>
      <c r="K66" s="62">
        <f t="shared" si="14"/>
        <v>-561.53301250179049</v>
      </c>
      <c r="L66" s="62">
        <f>-$C$6+SUM($K$43:K66)</f>
        <v>-14476.792300042969</v>
      </c>
      <c r="M66" s="62">
        <f t="shared" si="8"/>
        <v>-1206.399358336914</v>
      </c>
      <c r="N66" s="62">
        <f>BuyACar!N68</f>
        <v>-383.16968645210221</v>
      </c>
      <c r="O66" s="37">
        <f>AVERAGE(M$19:M66)</f>
        <v>-668.26355468936526</v>
      </c>
      <c r="P66" s="37">
        <f>AVERAGE(N$19:N66)</f>
        <v>-581.24176726505493</v>
      </c>
    </row>
    <row r="67" spans="2:16" x14ac:dyDescent="0.2">
      <c r="B67" s="19">
        <v>1</v>
      </c>
      <c r="C67" s="19" t="str">
        <f t="shared" si="19"/>
        <v>Year 1</v>
      </c>
      <c r="D67" s="33">
        <f>C8-C6</f>
        <v>24000</v>
      </c>
      <c r="E67" s="18">
        <f t="shared" ref="E67:E78" si="20">PMT($C$9/12,$C$10,$D$67,-($C$11*$C$8),0)</f>
        <v>-525.5339377648952</v>
      </c>
      <c r="F67" s="33">
        <f t="shared" si="16"/>
        <v>60</v>
      </c>
      <c r="G67" s="33">
        <f>-E67-F67</f>
        <v>465.5339377648952</v>
      </c>
      <c r="H67" s="33">
        <f t="shared" si="18"/>
        <v>23534.466062235104</v>
      </c>
      <c r="J67" s="18">
        <f t="shared" si="13"/>
        <v>-35.999074736895324</v>
      </c>
      <c r="K67" s="18">
        <f t="shared" si="14"/>
        <v>-561.53301250179049</v>
      </c>
      <c r="L67" s="18">
        <f>-$C$6+SUM($K$67:K67)</f>
        <v>-1561.5330125017904</v>
      </c>
      <c r="M67" s="18">
        <f t="shared" si="8"/>
        <v>-130.12775104181586</v>
      </c>
      <c r="N67" s="18">
        <f>BuyACar!N69</f>
        <v>-379.11121599383381</v>
      </c>
      <c r="O67" s="37">
        <f>AVERAGE(M$19:M67)</f>
        <v>-657.28119134961935</v>
      </c>
      <c r="P67" s="37">
        <f>AVERAGE(N$19:N67)</f>
        <v>-577.11665397380557</v>
      </c>
    </row>
    <row r="68" spans="2:16" x14ac:dyDescent="0.2">
      <c r="B68" s="19">
        <v>2</v>
      </c>
      <c r="C68" s="19" t="str">
        <f t="shared" si="19"/>
        <v>Year 1</v>
      </c>
      <c r="D68" s="33">
        <f>H67</f>
        <v>23534.466062235104</v>
      </c>
      <c r="E68" s="18">
        <f t="shared" si="20"/>
        <v>-525.5339377648952</v>
      </c>
      <c r="F68" s="33">
        <f t="shared" ref="F68" si="21">$C$9/12*D68</f>
        <v>58.836165155587764</v>
      </c>
      <c r="G68" s="33">
        <f t="shared" ref="G68" si="22">-E68-F68</f>
        <v>466.69777260930744</v>
      </c>
      <c r="H68" s="33">
        <f t="shared" ref="H68" si="23">D68-G68</f>
        <v>23067.768289625797</v>
      </c>
      <c r="J68" s="18">
        <f t="shared" ref="J68:J78" si="24">E68*$C$7</f>
        <v>-35.999074736895324</v>
      </c>
      <c r="K68" s="18">
        <f t="shared" ref="K68:K78" si="25">J68+E68</f>
        <v>-561.53301250179049</v>
      </c>
      <c r="L68" s="18">
        <f>-$C$6+SUM($K$67:K68)</f>
        <v>-2123.0660250035808</v>
      </c>
      <c r="M68" s="18">
        <f t="shared" si="8"/>
        <v>-176.9221687502984</v>
      </c>
      <c r="N68" s="18">
        <f>BuyACar!N70</f>
        <v>-375.19266525432766</v>
      </c>
      <c r="O68" s="37">
        <f>AVERAGE(M$19:M68)</f>
        <v>-647.67401089763291</v>
      </c>
      <c r="P68" s="37">
        <f>AVERAGE(N$19:N68)</f>
        <v>-573.07817419941591</v>
      </c>
    </row>
    <row r="69" spans="2:16" x14ac:dyDescent="0.2">
      <c r="B69" s="19">
        <v>3</v>
      </c>
      <c r="C69" s="19" t="str">
        <f t="shared" si="19"/>
        <v>Year 1</v>
      </c>
      <c r="D69" s="33">
        <f t="shared" ref="D69:D78" si="26">H68</f>
        <v>23067.768289625797</v>
      </c>
      <c r="E69" s="18">
        <f t="shared" si="20"/>
        <v>-525.5339377648952</v>
      </c>
      <c r="F69" s="33">
        <f t="shared" ref="F69:F78" si="27">$C$9/12*D69</f>
        <v>57.669420724064494</v>
      </c>
      <c r="G69" s="33">
        <f t="shared" ref="G69:G78" si="28">-E69-F69</f>
        <v>467.86451704083072</v>
      </c>
      <c r="H69" s="33">
        <f t="shared" ref="H69:H78" si="29">D69-G69</f>
        <v>22599.903772584967</v>
      </c>
      <c r="J69" s="18">
        <f t="shared" si="24"/>
        <v>-35.999074736895324</v>
      </c>
      <c r="K69" s="18">
        <f t="shared" si="25"/>
        <v>-561.53301250179049</v>
      </c>
      <c r="L69" s="18">
        <f>-$C$6+SUM($K$67:K69)</f>
        <v>-2684.5990375053716</v>
      </c>
      <c r="M69" s="18">
        <f t="shared" si="8"/>
        <v>-223.71658645878097</v>
      </c>
      <c r="N69" s="18">
        <f>BuyACar!N71</f>
        <v>-371.40574871311844</v>
      </c>
      <c r="O69" s="37">
        <f>AVERAGE(M$19:M69)</f>
        <v>-639.36112022236125</v>
      </c>
      <c r="P69" s="37">
        <f>AVERAGE(N$19:N69)</f>
        <v>-569.12381291537088</v>
      </c>
    </row>
    <row r="70" spans="2:16" x14ac:dyDescent="0.2">
      <c r="B70" s="19">
        <v>4</v>
      </c>
      <c r="C70" s="19" t="str">
        <f t="shared" si="19"/>
        <v>Year 1</v>
      </c>
      <c r="D70" s="33">
        <f t="shared" si="26"/>
        <v>22599.903772584967</v>
      </c>
      <c r="E70" s="18">
        <f t="shared" si="20"/>
        <v>-525.5339377648952</v>
      </c>
      <c r="F70" s="33">
        <f t="shared" si="27"/>
        <v>56.499759431462415</v>
      </c>
      <c r="G70" s="33">
        <f t="shared" si="28"/>
        <v>469.03417833343281</v>
      </c>
      <c r="H70" s="33">
        <f t="shared" si="29"/>
        <v>22130.869594251533</v>
      </c>
      <c r="J70" s="18">
        <f t="shared" si="24"/>
        <v>-35.999074736895324</v>
      </c>
      <c r="K70" s="18">
        <f t="shared" si="25"/>
        <v>-561.53301250179049</v>
      </c>
      <c r="L70" s="18">
        <f>-$C$6+SUM($K$67:K70)</f>
        <v>-3246.132050007162</v>
      </c>
      <c r="M70" s="18">
        <f t="shared" si="8"/>
        <v>-270.51100416726348</v>
      </c>
      <c r="N70" s="18">
        <f>BuyACar!N72</f>
        <v>-367.74281806273871</v>
      </c>
      <c r="O70" s="37">
        <f>AVERAGE(M$19:M70)</f>
        <v>-632.2678487597633</v>
      </c>
      <c r="P70" s="37">
        <f>AVERAGE(N$19:N70)</f>
        <v>-565.25110147589726</v>
      </c>
    </row>
    <row r="71" spans="2:16" x14ac:dyDescent="0.2">
      <c r="B71" s="19">
        <v>5</v>
      </c>
      <c r="C71" s="19" t="str">
        <f t="shared" si="19"/>
        <v>Year 1</v>
      </c>
      <c r="D71" s="33">
        <f t="shared" si="26"/>
        <v>22130.869594251533</v>
      </c>
      <c r="E71" s="18">
        <f t="shared" si="20"/>
        <v>-525.5339377648952</v>
      </c>
      <c r="F71" s="33">
        <f t="shared" si="27"/>
        <v>55.327173985628832</v>
      </c>
      <c r="G71" s="33">
        <f t="shared" si="28"/>
        <v>470.20676377926634</v>
      </c>
      <c r="H71" s="33">
        <f t="shared" si="29"/>
        <v>21660.662830472265</v>
      </c>
      <c r="J71" s="18">
        <f t="shared" si="24"/>
        <v>-35.999074736895324</v>
      </c>
      <c r="K71" s="18">
        <f t="shared" si="25"/>
        <v>-561.53301250179049</v>
      </c>
      <c r="L71" s="18">
        <f>-$C$6+SUM($K$67:K71)</f>
        <v>-3807.6650625089524</v>
      </c>
      <c r="M71" s="18">
        <f t="shared" si="8"/>
        <v>-317.30542187574605</v>
      </c>
      <c r="N71" s="18">
        <f>BuyACar!N73</f>
        <v>-364.19680209395477</v>
      </c>
      <c r="O71" s="37">
        <f>AVERAGE(M$19:M71)</f>
        <v>-626.32516146006481</v>
      </c>
      <c r="P71" s="37">
        <f>AVERAGE(N$19:N71)</f>
        <v>-561.45762412906811</v>
      </c>
    </row>
    <row r="72" spans="2:16" x14ac:dyDescent="0.2">
      <c r="B72" s="19">
        <v>6</v>
      </c>
      <c r="C72" s="19" t="str">
        <f t="shared" si="19"/>
        <v>Year 1</v>
      </c>
      <c r="D72" s="33">
        <f t="shared" si="26"/>
        <v>21660.662830472265</v>
      </c>
      <c r="E72" s="18">
        <f t="shared" si="20"/>
        <v>-525.5339377648952</v>
      </c>
      <c r="F72" s="33">
        <f t="shared" si="27"/>
        <v>54.151657076180662</v>
      </c>
      <c r="G72" s="33">
        <f t="shared" si="28"/>
        <v>471.38228068871456</v>
      </c>
      <c r="H72" s="33">
        <f t="shared" si="29"/>
        <v>21189.280549783551</v>
      </c>
      <c r="J72" s="18">
        <f t="shared" si="24"/>
        <v>-35.999074736895324</v>
      </c>
      <c r="K72" s="18">
        <f t="shared" si="25"/>
        <v>-561.53301250179049</v>
      </c>
      <c r="L72" s="18">
        <f>-$C$6+SUM($K$67:K72)</f>
        <v>-4369.1980750107432</v>
      </c>
      <c r="M72" s="18">
        <f t="shared" si="8"/>
        <v>-364.09983958422862</v>
      </c>
      <c r="N72" s="18">
        <f>BuyACar!N74</f>
        <v>-360.76115326041986</v>
      </c>
      <c r="O72" s="37">
        <f>AVERAGE(M$19:M72)</f>
        <v>-621.46913698088258</v>
      </c>
      <c r="P72" s="37">
        <f>AVERAGE(N$19:N72)</f>
        <v>-557.7410228166857</v>
      </c>
    </row>
    <row r="73" spans="2:16" x14ac:dyDescent="0.2">
      <c r="B73" s="19">
        <v>7</v>
      </c>
      <c r="C73" s="19" t="str">
        <f t="shared" si="19"/>
        <v>Year 1</v>
      </c>
      <c r="D73" s="33">
        <f t="shared" si="26"/>
        <v>21189.280549783551</v>
      </c>
      <c r="E73" s="18">
        <f t="shared" si="20"/>
        <v>-525.5339377648952</v>
      </c>
      <c r="F73" s="33">
        <f t="shared" si="27"/>
        <v>52.973201374458881</v>
      </c>
      <c r="G73" s="33">
        <f t="shared" si="28"/>
        <v>472.56073639043632</v>
      </c>
      <c r="H73" s="33">
        <f t="shared" si="29"/>
        <v>20716.719813393116</v>
      </c>
      <c r="J73" s="18">
        <f t="shared" si="24"/>
        <v>-35.999074736895324</v>
      </c>
      <c r="K73" s="18">
        <f t="shared" si="25"/>
        <v>-561.53301250179049</v>
      </c>
      <c r="L73" s="18">
        <f>-$C$6+SUM($K$67:K73)</f>
        <v>-4930.7310875125331</v>
      </c>
      <c r="M73" s="18">
        <f t="shared" si="8"/>
        <v>-410.89425729271107</v>
      </c>
      <c r="N73" s="18">
        <f>BuyACar!N75</f>
        <v>-357.42980007263685</v>
      </c>
      <c r="O73" s="37">
        <f>AVERAGE(M$19:M73)</f>
        <v>-617.64050280473407</v>
      </c>
      <c r="P73" s="37">
        <f>AVERAGE(N$19:N73)</f>
        <v>-554.09900058497578</v>
      </c>
    </row>
    <row r="74" spans="2:16" x14ac:dyDescent="0.2">
      <c r="B74" s="19">
        <v>8</v>
      </c>
      <c r="C74" s="19" t="str">
        <f t="shared" si="19"/>
        <v>Year 1</v>
      </c>
      <c r="D74" s="33">
        <f t="shared" si="26"/>
        <v>20716.719813393116</v>
      </c>
      <c r="E74" s="18">
        <f t="shared" si="20"/>
        <v>-525.5339377648952</v>
      </c>
      <c r="F74" s="33">
        <f t="shared" si="27"/>
        <v>51.791799533482788</v>
      </c>
      <c r="G74" s="33">
        <f t="shared" si="28"/>
        <v>473.74213823141241</v>
      </c>
      <c r="H74" s="33">
        <f t="shared" si="29"/>
        <v>20242.977675161703</v>
      </c>
      <c r="J74" s="18">
        <f t="shared" si="24"/>
        <v>-35.999074736895324</v>
      </c>
      <c r="K74" s="18">
        <f t="shared" si="25"/>
        <v>-561.53301250179049</v>
      </c>
      <c r="L74" s="18">
        <f>-$C$6+SUM($K$67:K74)</f>
        <v>-5492.264100014324</v>
      </c>
      <c r="M74" s="18">
        <f t="shared" si="8"/>
        <v>-457.68867500119364</v>
      </c>
      <c r="N74" s="18">
        <f>BuyACar!N76</f>
        <v>-354.19710459256794</v>
      </c>
      <c r="O74" s="37">
        <f>AVERAGE(M$19:M74)</f>
        <v>-614.78422016538502</v>
      </c>
      <c r="P74" s="37">
        <f>AVERAGE(N$19:N74)</f>
        <v>-550.52932387082558</v>
      </c>
    </row>
    <row r="75" spans="2:16" x14ac:dyDescent="0.2">
      <c r="B75" s="19">
        <v>9</v>
      </c>
      <c r="C75" s="19" t="str">
        <f t="shared" si="19"/>
        <v>Year 1</v>
      </c>
      <c r="D75" s="33">
        <f t="shared" si="26"/>
        <v>20242.977675161703</v>
      </c>
      <c r="E75" s="18">
        <f t="shared" si="20"/>
        <v>-525.5339377648952</v>
      </c>
      <c r="F75" s="33">
        <f t="shared" si="27"/>
        <v>50.607444187904257</v>
      </c>
      <c r="G75" s="33">
        <f t="shared" si="28"/>
        <v>474.92649357699094</v>
      </c>
      <c r="H75" s="33">
        <f t="shared" si="29"/>
        <v>19768.051181584713</v>
      </c>
      <c r="J75" s="18">
        <f t="shared" si="24"/>
        <v>-35.999074736895324</v>
      </c>
      <c r="K75" s="18">
        <f t="shared" si="25"/>
        <v>-561.53301250179049</v>
      </c>
      <c r="L75" s="18">
        <f>-$C$6+SUM($K$67:K75)</f>
        <v>-6053.7971125161148</v>
      </c>
      <c r="M75" s="18">
        <f t="shared" si="8"/>
        <v>-504.48309270967621</v>
      </c>
      <c r="N75" s="18">
        <f>BuyACar!N77</f>
        <v>-351.05782440249357</v>
      </c>
      <c r="O75" s="37">
        <f>AVERAGE(M$19:M75)</f>
        <v>-612.84911266616211</v>
      </c>
      <c r="P75" s="37">
        <f>AVERAGE(N$19:N75)</f>
        <v>-547.02982388015312</v>
      </c>
    </row>
    <row r="76" spans="2:16" x14ac:dyDescent="0.2">
      <c r="B76" s="19">
        <v>10</v>
      </c>
      <c r="C76" s="19" t="str">
        <f t="shared" si="19"/>
        <v>Year 1</v>
      </c>
      <c r="D76" s="33">
        <f t="shared" si="26"/>
        <v>19768.051181584713</v>
      </c>
      <c r="E76" s="18">
        <f t="shared" si="20"/>
        <v>-525.5339377648952</v>
      </c>
      <c r="F76" s="33">
        <f t="shared" si="27"/>
        <v>49.420127953961781</v>
      </c>
      <c r="G76" s="33">
        <f t="shared" si="28"/>
        <v>476.11380981093339</v>
      </c>
      <c r="H76" s="33">
        <f t="shared" si="29"/>
        <v>19291.93737177378</v>
      </c>
      <c r="J76" s="18">
        <f t="shared" si="24"/>
        <v>-35.999074736895324</v>
      </c>
      <c r="K76" s="18">
        <f t="shared" si="25"/>
        <v>-561.53301250179049</v>
      </c>
      <c r="L76" s="18">
        <f>-$C$6+SUM($K$67:K76)</f>
        <v>-6615.3301250179056</v>
      </c>
      <c r="M76" s="18">
        <f t="shared" si="8"/>
        <v>-551.27751041815884</v>
      </c>
      <c r="N76" s="18">
        <f>BuyACar!N78</f>
        <v>-348.00707850812836</v>
      </c>
      <c r="O76" s="37">
        <f>AVERAGE(M$19:M76)</f>
        <v>-611.78753331705855</v>
      </c>
      <c r="P76" s="37">
        <f>AVERAGE(N$19:N76)</f>
        <v>-543.59839723580785</v>
      </c>
    </row>
    <row r="77" spans="2:16" x14ac:dyDescent="0.2">
      <c r="B77" s="19">
        <v>11</v>
      </c>
      <c r="C77" s="19" t="str">
        <f t="shared" si="19"/>
        <v>Year 1</v>
      </c>
      <c r="D77" s="33">
        <f t="shared" si="26"/>
        <v>19291.93737177378</v>
      </c>
      <c r="E77" s="18">
        <f t="shared" si="20"/>
        <v>-525.5339377648952</v>
      </c>
      <c r="F77" s="33">
        <f t="shared" si="27"/>
        <v>48.229843429434453</v>
      </c>
      <c r="G77" s="33">
        <f t="shared" si="28"/>
        <v>477.30409433546072</v>
      </c>
      <c r="H77" s="33">
        <f t="shared" si="29"/>
        <v>18814.633277438319</v>
      </c>
      <c r="J77" s="18">
        <f t="shared" si="24"/>
        <v>-35.999074736895324</v>
      </c>
      <c r="K77" s="18">
        <f t="shared" si="25"/>
        <v>-561.53301250179049</v>
      </c>
      <c r="L77" s="18">
        <f>-$C$6+SUM($K$67:K77)</f>
        <v>-7176.8631375196965</v>
      </c>
      <c r="M77" s="18">
        <f t="shared" si="8"/>
        <v>-598.07192812664141</v>
      </c>
      <c r="N77" s="18">
        <f>BuyACar!N79</f>
        <v>-345.04031670921461</v>
      </c>
      <c r="O77" s="37">
        <f>AVERAGE(M$19:M77)</f>
        <v>-611.5550654324752</v>
      </c>
      <c r="P77" s="37">
        <f>AVERAGE(N$19:N77)</f>
        <v>-540.23300604044186</v>
      </c>
    </row>
    <row r="78" spans="2:16" x14ac:dyDescent="0.2">
      <c r="B78" s="60">
        <v>12</v>
      </c>
      <c r="C78" s="60" t="str">
        <f t="shared" si="19"/>
        <v>Year 1</v>
      </c>
      <c r="D78" s="61">
        <f t="shared" si="26"/>
        <v>18814.633277438319</v>
      </c>
      <c r="E78" s="62">
        <f t="shared" si="20"/>
        <v>-525.5339377648952</v>
      </c>
      <c r="F78" s="61">
        <f t="shared" si="27"/>
        <v>47.036583193595796</v>
      </c>
      <c r="G78" s="61">
        <f t="shared" si="28"/>
        <v>478.49735457129941</v>
      </c>
      <c r="H78" s="61">
        <f t="shared" si="29"/>
        <v>18336.135922867019</v>
      </c>
      <c r="I78" s="63"/>
      <c r="J78" s="62">
        <f t="shared" si="24"/>
        <v>-35.999074736895324</v>
      </c>
      <c r="K78" s="62">
        <f t="shared" si="25"/>
        <v>-561.53301250179049</v>
      </c>
      <c r="L78" s="62">
        <f>-$C$6+SUM($K$67:K78)</f>
        <v>-7738.3961500214873</v>
      </c>
      <c r="M78" s="62">
        <f t="shared" si="8"/>
        <v>-644.86634583512398</v>
      </c>
      <c r="N78" s="62">
        <f>BuyACar!N80</f>
        <v>-342.15329203305652</v>
      </c>
      <c r="O78" s="37">
        <f>AVERAGE(M$19:M78)</f>
        <v>-612.11025343918607</v>
      </c>
      <c r="P78" s="37">
        <f>AVERAGE(N$19:N78)</f>
        <v>-536.93167747365214</v>
      </c>
    </row>
    <row r="79" spans="2:16" x14ac:dyDescent="0.2">
      <c r="B79" s="17"/>
    </row>
  </sheetData>
  <autoFilter ref="O17:P78" xr:uid="{D805CF02-232C-46B6-BF83-F1C268473ED9}"/>
  <conditionalFormatting sqref="G7:L14">
    <cfRule type="top10" dxfId="0" priority="1" percent="1" rank="10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FACEB4-09F1-41B3-9C3A-090A3AAA3A42}">
          <x14:formula1>
            <xm:f>LookupSheet!$D$2:$D$11</xm:f>
          </x14:formula1>
          <xm:sqref>C6</xm:sqref>
        </x14:dataValidation>
        <x14:dataValidation type="list" allowBlank="1" showInputMessage="1" showErrorMessage="1" xr:uid="{40C70607-688A-4794-86A0-73EB7A204C9F}">
          <x14:formula1>
            <xm:f>LookupSheet!$F$2:$F$52</xm:f>
          </x14:formula1>
          <xm:sqref>C7</xm:sqref>
        </x14:dataValidation>
        <x14:dataValidation type="list" allowBlank="1" showInputMessage="1" showErrorMessage="1" xr:uid="{D370A4A3-D557-4874-9CB2-989FB8BC081E}">
          <x14:formula1>
            <xm:f>LookupSheet!$H$2:$H$224</xm:f>
          </x14:formula1>
          <xm:sqref>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Assignment</vt:lpstr>
      <vt:lpstr>LookupSheet</vt:lpstr>
      <vt:lpstr>Summary</vt:lpstr>
      <vt:lpstr>BuyACar</vt:lpstr>
      <vt:lpstr>LeaseACar</vt:lpstr>
      <vt:lpstr>CarTable</vt:lpstr>
      <vt:lpstr>Column</vt:lpstr>
      <vt:lpstr>DepreciationTableBuy</vt:lpstr>
      <vt:lpstr>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Allen</dc:creator>
  <cp:lastModifiedBy>Tony Trotter</cp:lastModifiedBy>
  <dcterms:created xsi:type="dcterms:W3CDTF">2020-04-24T19:15:34Z</dcterms:created>
  <dcterms:modified xsi:type="dcterms:W3CDTF">2023-05-05T04:22:44Z</dcterms:modified>
</cp:coreProperties>
</file>