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1_low_CPOR/"/>
    </mc:Choice>
  </mc:AlternateContent>
  <xr:revisionPtr revIDLastSave="0" documentId="8_{AECD5C69-4680-4371-B0E6-16CFE1B5794B}" xr6:coauthVersionLast="47" xr6:coauthVersionMax="47" xr10:uidLastSave="{00000000-0000-0000-0000-000000000000}"/>
  <bookViews>
    <workbookView xWindow="1215" yWindow="735" windowWidth="18915" windowHeight="9960" xr2:uid="{AE4BAC62-ED50-410B-8731-093A82A3F75D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26" i="1" l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<sst xmlns="http://schemas.openxmlformats.org/spreadsheetml/2006/main" count="15" uniqueCount="15">
  <si>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MODEL\SCENARIOS\2022\S11_low_CPOR\S11_low_CPOR.sr3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</si>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</sst>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2D723-B7FB-44DA-AD94-30DD84D74379}" name="Table1" displayName="Table1" ref="A3:N2126" totalsRowShown="0">
  <autoFilter ref="A3:N2126" xr:uid="{C692D723-B7FB-44DA-AD94-30DD84D74379}"/>
  <tableColumns count="14">
    <tableColumn id="1" xr3:uid="{50FAFE28-3C94-4347-AE46-20E5C588AA6D}" name="Time (day)"/>
    <tableColumn id="2" xr3:uid="{70B2F203-DC16-45AA-91F8-43AAA51DF3A0}" name="Date" dataDxfId="0"/>
    <tableColumn id="3" xr3:uid="{158BA033-128C-4E9A-B05E-7C23EE896250}" name="Hot well INJ-Well bottom hole temperature (C)"/>
    <tableColumn id="4" xr3:uid="{25AADE22-6792-4968-AB54-B8DDB3454AFC}" name="Hot well PROD-Well bottom hole temperature (C)"/>
    <tableColumn id="5" xr3:uid="{073C0271-7FE6-4EE1-920F-E67870750FDA}" name="Warm well INJ-Well bottom hole temperature (C)"/>
    <tableColumn id="6" xr3:uid="{DA48A4ED-6B27-4DAD-883A-75B71B77909F}" name="Warm well PROD-Well bottom hole temperature (C)"/>
    <tableColumn id="7" xr3:uid="{0AD0FCDB-83B7-4BEB-B1A6-4A9889F66947}" name="Hot well INJ-Well Bottom-hole Pressure (kPa)"/>
    <tableColumn id="8" xr3:uid="{66933BA1-A06C-4F49-969E-8815E0EE76A8}" name="Hot well PROD-Well Bottom-hole Pressure (kPa)"/>
    <tableColumn id="9" xr3:uid="{FA57B1D4-10E2-4624-9A68-F71D6728C410}" name="Warm well INJ-Well Bottom-hole Pressure (kPa)"/>
    <tableColumn id="10" xr3:uid="{21FDC8A2-8E2E-4EB4-903B-4F12D290A13C}" name="Warm well PROD-Well Bottom-hole Pressure (kPa)"/>
    <tableColumn id="11" xr3:uid="{12A3B34A-FA7D-4DB3-8CC9-174168B41BED}" name="Hot well INJ-Fluid Rate SC (m³/day)"/>
    <tableColumn id="12" xr3:uid="{EB28344C-AEB0-4999-977D-A22186040860}" name="Hot well PROD-Fluid Rate SC (m³/day)"/>
    <tableColumn id="13" xr3:uid="{F514030A-F52D-44A8-9239-A5888A53A47F}" name="Warm well INJ-Fluid Rate SC (m³/day)"/>
    <tableColumn id="14" xr3:uid="{9FA76739-B58D-4B2B-A2F9-F46DB22486C3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CA37-693B-4366-B204-EE0759B65F6D}">
  <dimension ref="A1:N2126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15.000306129</v>
      </c>
      <c r="E4">
        <v>50</v>
      </c>
      <c r="F4">
        <v>14.999768256999999</v>
      </c>
      <c r="G4">
        <v>1371.1520995999999</v>
      </c>
      <c r="H4">
        <v>1331.7266846</v>
      </c>
      <c r="I4">
        <v>1327.1027832</v>
      </c>
      <c r="J4">
        <v>1287.6760254000001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15.001057625</v>
      </c>
      <c r="E5">
        <v>50</v>
      </c>
      <c r="F5">
        <v>14.999238968</v>
      </c>
      <c r="G5">
        <v>1376.4317627</v>
      </c>
      <c r="H5">
        <v>1337.0056152</v>
      </c>
      <c r="I5">
        <v>1321.8464355000001</v>
      </c>
      <c r="J5">
        <v>1282.4179687999999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15.002623558</v>
      </c>
      <c r="E6">
        <v>50</v>
      </c>
      <c r="F6">
        <v>14.998337746000001</v>
      </c>
      <c r="G6">
        <v>1385.4331055</v>
      </c>
      <c r="H6">
        <v>1346.0080565999999</v>
      </c>
      <c r="I6">
        <v>1312.8837891000001</v>
      </c>
      <c r="J6">
        <v>1273.4532471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15.005721092</v>
      </c>
      <c r="E7">
        <v>50</v>
      </c>
      <c r="F7">
        <v>14.997223854</v>
      </c>
      <c r="G7">
        <v>1396.5458983999999</v>
      </c>
      <c r="H7">
        <v>1357.1245117000001</v>
      </c>
      <c r="I7">
        <v>1301.8143310999999</v>
      </c>
      <c r="J7">
        <v>1262.3830565999999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15.012805939</v>
      </c>
      <c r="E8">
        <v>50</v>
      </c>
      <c r="F8">
        <v>14.996081351999999</v>
      </c>
      <c r="G8">
        <v>1407.9482422000001</v>
      </c>
      <c r="H8">
        <v>1368.5349120999999</v>
      </c>
      <c r="I8">
        <v>1290.4495850000001</v>
      </c>
      <c r="J8">
        <v>1251.0173339999999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15.031749724999999</v>
      </c>
      <c r="E9">
        <v>50</v>
      </c>
      <c r="F9">
        <v>14.994948387000001</v>
      </c>
      <c r="G9">
        <v>1419.2362060999999</v>
      </c>
      <c r="H9">
        <v>1379.8432617000001</v>
      </c>
      <c r="I9">
        <v>1279.1787108999999</v>
      </c>
      <c r="J9">
        <v>1239.7457274999999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15.086238861</v>
      </c>
      <c r="E10">
        <v>50</v>
      </c>
      <c r="F10">
        <v>14.993837357</v>
      </c>
      <c r="G10">
        <v>1430.2707519999999</v>
      </c>
      <c r="H10">
        <v>1390.9346923999999</v>
      </c>
      <c r="I10">
        <v>1268.1044922000001</v>
      </c>
      <c r="J10">
        <v>1228.6707764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15.246965407999999</v>
      </c>
      <c r="E11">
        <v>50</v>
      </c>
      <c r="F11">
        <v>14.992863655000001</v>
      </c>
      <c r="G11">
        <v>1439.8653564000001</v>
      </c>
      <c r="H11">
        <v>1400.6955565999999</v>
      </c>
      <c r="I11">
        <v>1258.3477783000001</v>
      </c>
      <c r="J11">
        <v>1218.9134521000001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15.723475455999999</v>
      </c>
      <c r="E12">
        <v>50</v>
      </c>
      <c r="F12">
        <v>14.992275238</v>
      </c>
      <c r="G12">
        <v>1445.5687256000001</v>
      </c>
      <c r="H12">
        <v>1406.8830565999999</v>
      </c>
      <c r="I12">
        <v>1252.2928466999999</v>
      </c>
      <c r="J12">
        <v>1212.8583983999999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2.3607E-2</v>
      </c>
      <c r="B13" s="1">
        <f>DATE(2010,5,1) + TIME(0,33,59)</f>
        <v>40299.023599537039</v>
      </c>
      <c r="C13">
        <v>80</v>
      </c>
      <c r="D13">
        <v>16.709342957</v>
      </c>
      <c r="E13">
        <v>50</v>
      </c>
      <c r="F13">
        <v>14.992131233</v>
      </c>
      <c r="G13">
        <v>1446.4091797000001</v>
      </c>
      <c r="H13">
        <v>1408.6917725000001</v>
      </c>
      <c r="I13">
        <v>1250.5101318</v>
      </c>
      <c r="J13">
        <v>1211.0755615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3.7571E-2</v>
      </c>
      <c r="B14" s="1">
        <f>DATE(2010,5,1) + TIME(0,54,6)</f>
        <v>40299.037569444445</v>
      </c>
      <c r="C14">
        <v>80</v>
      </c>
      <c r="D14">
        <v>17.695772171000002</v>
      </c>
      <c r="E14">
        <v>50</v>
      </c>
      <c r="F14">
        <v>14.992139816</v>
      </c>
      <c r="G14">
        <v>1445.4984131000001</v>
      </c>
      <c r="H14">
        <v>1408.7019043</v>
      </c>
      <c r="I14">
        <v>1250.2657471</v>
      </c>
      <c r="J14">
        <v>1210.8311768000001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5.1726000000000001E-2</v>
      </c>
      <c r="B15" s="1">
        <f>DATE(2010,5,1) + TIME(1,14,29)</f>
        <v>40299.051724537036</v>
      </c>
      <c r="C15">
        <v>80</v>
      </c>
      <c r="D15">
        <v>18.682401657</v>
      </c>
      <c r="E15">
        <v>50</v>
      </c>
      <c r="F15">
        <v>14.992171288</v>
      </c>
      <c r="G15">
        <v>1444.2818603999999</v>
      </c>
      <c r="H15">
        <v>1408.3682861</v>
      </c>
      <c r="I15">
        <v>1250.2463379000001</v>
      </c>
      <c r="J15">
        <v>1210.8117675999999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6.6073000000000007E-2</v>
      </c>
      <c r="B16" s="1">
        <f>DATE(2010,5,1) + TIME(1,35,8)</f>
        <v>40299.066064814811</v>
      </c>
      <c r="C16">
        <v>80</v>
      </c>
      <c r="D16">
        <v>19.668798447</v>
      </c>
      <c r="E16">
        <v>50</v>
      </c>
      <c r="F16">
        <v>14.992204665999999</v>
      </c>
      <c r="G16">
        <v>1443.0373535000001</v>
      </c>
      <c r="H16">
        <v>1407.9702147999999</v>
      </c>
      <c r="I16">
        <v>1250.2529297000001</v>
      </c>
      <c r="J16">
        <v>1210.8183594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8.0617999999999995E-2</v>
      </c>
      <c r="B17" s="1">
        <f>DATE(2010,5,1) + TIME(1,56,5)</f>
        <v>40299.080613425926</v>
      </c>
      <c r="C17">
        <v>80</v>
      </c>
      <c r="D17">
        <v>20.655517578000001</v>
      </c>
      <c r="E17">
        <v>50</v>
      </c>
      <c r="F17">
        <v>14.992238045000001</v>
      </c>
      <c r="G17">
        <v>1441.8238524999999</v>
      </c>
      <c r="H17">
        <v>1407.5689697</v>
      </c>
      <c r="I17">
        <v>1250.2592772999999</v>
      </c>
      <c r="J17">
        <v>1210.824707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9.5358999999999999E-2</v>
      </c>
      <c r="B18" s="1">
        <f>DATE(2010,5,1) + TIME(2,17,19)</f>
        <v>40299.095358796294</v>
      </c>
      <c r="C18">
        <v>80</v>
      </c>
      <c r="D18">
        <v>21.641698837</v>
      </c>
      <c r="E18">
        <v>50</v>
      </c>
      <c r="F18">
        <v>14.992271423</v>
      </c>
      <c r="G18">
        <v>1440.6544189000001</v>
      </c>
      <c r="H18">
        <v>1407.1789550999999</v>
      </c>
      <c r="I18">
        <v>1250.2637939000001</v>
      </c>
      <c r="J18">
        <v>1210.8292236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0.110307</v>
      </c>
      <c r="B19" s="1">
        <f>DATE(2010,5,1) + TIME(2,38,50)</f>
        <v>40299.110300925924</v>
      </c>
      <c r="C19">
        <v>80</v>
      </c>
      <c r="D19">
        <v>22.627315521</v>
      </c>
      <c r="E19">
        <v>50</v>
      </c>
      <c r="F19">
        <v>14.992304802</v>
      </c>
      <c r="G19">
        <v>1439.5303954999999</v>
      </c>
      <c r="H19">
        <v>1406.8029785000001</v>
      </c>
      <c r="I19">
        <v>1250.2674560999999</v>
      </c>
      <c r="J19">
        <v>1210.8328856999999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0.125472</v>
      </c>
      <c r="B20" s="1">
        <f>DATE(2010,5,1) + TIME(3,0,40)</f>
        <v>40299.125462962962</v>
      </c>
      <c r="C20">
        <v>80</v>
      </c>
      <c r="D20">
        <v>23.612642288</v>
      </c>
      <c r="E20">
        <v>50</v>
      </c>
      <c r="F20">
        <v>14.992338180999999</v>
      </c>
      <c r="G20">
        <v>1438.4503173999999</v>
      </c>
      <c r="H20">
        <v>1406.4414062000001</v>
      </c>
      <c r="I20">
        <v>1250.2705077999999</v>
      </c>
      <c r="J20">
        <v>1210.8359375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0.14086399999999999</v>
      </c>
      <c r="B21" s="1">
        <f>DATE(2010,5,1) + TIME(3,22,50)</f>
        <v>40299.140856481485</v>
      </c>
      <c r="C21">
        <v>80</v>
      </c>
      <c r="D21">
        <v>24.597671509000001</v>
      </c>
      <c r="E21">
        <v>50</v>
      </c>
      <c r="F21">
        <v>14.992371559</v>
      </c>
      <c r="G21">
        <v>1437.4119873</v>
      </c>
      <c r="H21">
        <v>1406.0936279</v>
      </c>
      <c r="I21">
        <v>1250.2734375</v>
      </c>
      <c r="J21">
        <v>1210.8387451000001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0.15648899999999999</v>
      </c>
      <c r="B22" s="1">
        <f>DATE(2010,5,1) + TIME(3,45,20)</f>
        <v>40299.156481481485</v>
      </c>
      <c r="C22">
        <v>80</v>
      </c>
      <c r="D22">
        <v>25.582790374999998</v>
      </c>
      <c r="E22">
        <v>50</v>
      </c>
      <c r="F22">
        <v>14.992404938</v>
      </c>
      <c r="G22">
        <v>1436.4134521000001</v>
      </c>
      <c r="H22">
        <v>1405.7592772999999</v>
      </c>
      <c r="I22">
        <v>1250.2761230000001</v>
      </c>
      <c r="J22">
        <v>1210.8414307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0.17235</v>
      </c>
      <c r="B23" s="1">
        <f>DATE(2010,5,1) + TIME(4,8,11)</f>
        <v>40299.172349537039</v>
      </c>
      <c r="C23">
        <v>80</v>
      </c>
      <c r="D23">
        <v>26.567485809000001</v>
      </c>
      <c r="E23">
        <v>50</v>
      </c>
      <c r="F23">
        <v>14.992438315999999</v>
      </c>
      <c r="G23">
        <v>1435.4528809000001</v>
      </c>
      <c r="H23">
        <v>1405.4376221</v>
      </c>
      <c r="I23">
        <v>1250.2786865</v>
      </c>
      <c r="J23">
        <v>1210.8439940999999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0.18845799999999999</v>
      </c>
      <c r="B24" s="1">
        <f>DATE(2010,5,1) + TIME(4,31,22)</f>
        <v>40299.188449074078</v>
      </c>
      <c r="C24">
        <v>80</v>
      </c>
      <c r="D24">
        <v>27.551593781000001</v>
      </c>
      <c r="E24">
        <v>50</v>
      </c>
      <c r="F24">
        <v>14.992470741</v>
      </c>
      <c r="G24">
        <v>1434.5285644999999</v>
      </c>
      <c r="H24">
        <v>1405.1279297000001</v>
      </c>
      <c r="I24">
        <v>1250.2810059000001</v>
      </c>
      <c r="J24">
        <v>1210.8463135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0.20482600000000001</v>
      </c>
      <c r="B25" s="1">
        <f>DATE(2010,5,1) + TIME(4,54,56)</f>
        <v>40299.204814814817</v>
      </c>
      <c r="C25">
        <v>80</v>
      </c>
      <c r="D25">
        <v>28.535366058000001</v>
      </c>
      <c r="E25">
        <v>50</v>
      </c>
      <c r="F25">
        <v>14.99250412</v>
      </c>
      <c r="G25">
        <v>1433.6384277</v>
      </c>
      <c r="H25">
        <v>1404.8294678</v>
      </c>
      <c r="I25">
        <v>1250.2833252</v>
      </c>
      <c r="J25">
        <v>1210.8486327999999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0.22146399999999999</v>
      </c>
      <c r="B26" s="1">
        <f>DATE(2010,5,1) + TIME(5,18,54)</f>
        <v>40299.221458333333</v>
      </c>
      <c r="C26">
        <v>80</v>
      </c>
      <c r="D26">
        <v>29.518789291000001</v>
      </c>
      <c r="E26">
        <v>50</v>
      </c>
      <c r="F26">
        <v>14.992537498000001</v>
      </c>
      <c r="G26">
        <v>1432.7808838000001</v>
      </c>
      <c r="H26">
        <v>1404.5418701000001</v>
      </c>
      <c r="I26">
        <v>1250.2855225000001</v>
      </c>
      <c r="J26">
        <v>1210.8508300999999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0.23838300000000001</v>
      </c>
      <c r="B27" s="1">
        <f>DATE(2010,5,1) + TIME(5,43,16)</f>
        <v>40299.238379629627</v>
      </c>
      <c r="C27">
        <v>80</v>
      </c>
      <c r="D27">
        <v>30.501964568999998</v>
      </c>
      <c r="E27">
        <v>50</v>
      </c>
      <c r="F27">
        <v>14.992570877</v>
      </c>
      <c r="G27">
        <v>1431.9542236</v>
      </c>
      <c r="H27">
        <v>1404.2644043</v>
      </c>
      <c r="I27">
        <v>1250.2875977000001</v>
      </c>
      <c r="J27">
        <v>1210.8527832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0.25558999999999998</v>
      </c>
      <c r="B28" s="1">
        <f>DATE(2010,5,1) + TIME(6,8,3)</f>
        <v>40299.255590277775</v>
      </c>
      <c r="C28">
        <v>80</v>
      </c>
      <c r="D28">
        <v>31.484766006000001</v>
      </c>
      <c r="E28">
        <v>50</v>
      </c>
      <c r="F28">
        <v>14.992604256</v>
      </c>
      <c r="G28">
        <v>1431.1569824000001</v>
      </c>
      <c r="H28">
        <v>1403.996582</v>
      </c>
      <c r="I28">
        <v>1250.2895507999999</v>
      </c>
      <c r="J28">
        <v>1210.8547363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0.27310000000000001</v>
      </c>
      <c r="B29" s="1">
        <f>DATE(2010,5,1) + TIME(6,33,15)</f>
        <v>40299.273090277777</v>
      </c>
      <c r="C29">
        <v>80</v>
      </c>
      <c r="D29">
        <v>32.467075348000002</v>
      </c>
      <c r="E29">
        <v>50</v>
      </c>
      <c r="F29">
        <v>14.992637633999999</v>
      </c>
      <c r="G29">
        <v>1430.3879394999999</v>
      </c>
      <c r="H29">
        <v>1403.7379149999999</v>
      </c>
      <c r="I29">
        <v>1250.2913818</v>
      </c>
      <c r="J29">
        <v>1210.8565673999999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0.29092400000000002</v>
      </c>
      <c r="B30" s="1">
        <f>DATE(2010,5,1) + TIME(6,58,55)</f>
        <v>40299.290914351855</v>
      </c>
      <c r="C30">
        <v>80</v>
      </c>
      <c r="D30">
        <v>33.448978424000003</v>
      </c>
      <c r="E30">
        <v>50</v>
      </c>
      <c r="F30">
        <v>14.992671013000001</v>
      </c>
      <c r="G30">
        <v>1429.6455077999999</v>
      </c>
      <c r="H30">
        <v>1403.4879149999999</v>
      </c>
      <c r="I30">
        <v>1250.2932129000001</v>
      </c>
      <c r="J30">
        <v>1210.8582764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0.30907699999999999</v>
      </c>
      <c r="B31" s="1">
        <f>DATE(2010,5,1) + TIME(7,25,4)</f>
        <v>40299.309074074074</v>
      </c>
      <c r="C31">
        <v>80</v>
      </c>
      <c r="D31">
        <v>34.430461884000003</v>
      </c>
      <c r="E31">
        <v>50</v>
      </c>
      <c r="F31">
        <v>14.992704391</v>
      </c>
      <c r="G31">
        <v>1428.9284668</v>
      </c>
      <c r="H31">
        <v>1403.2460937999999</v>
      </c>
      <c r="I31">
        <v>1250.2947998</v>
      </c>
      <c r="J31">
        <v>1210.8598632999999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0.32757199999999997</v>
      </c>
      <c r="B32" s="1">
        <f>DATE(2010,5,1) + TIME(7,51,42)</f>
        <v>40299.327569444446</v>
      </c>
      <c r="C32">
        <v>80</v>
      </c>
      <c r="D32">
        <v>35.411510468000003</v>
      </c>
      <c r="E32">
        <v>50</v>
      </c>
      <c r="F32">
        <v>14.99273777</v>
      </c>
      <c r="G32">
        <v>1428.2357178</v>
      </c>
      <c r="H32">
        <v>1403.0119629000001</v>
      </c>
      <c r="I32">
        <v>1250.2963867000001</v>
      </c>
      <c r="J32">
        <v>1210.8613281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0.34642499999999998</v>
      </c>
      <c r="B33" s="1">
        <f>DATE(2010,5,1) + TIME(8,18,51)</f>
        <v>40299.34642361111</v>
      </c>
      <c r="C33">
        <v>80</v>
      </c>
      <c r="D33">
        <v>36.392101287999999</v>
      </c>
      <c r="E33">
        <v>50</v>
      </c>
      <c r="F33">
        <v>14.992772102</v>
      </c>
      <c r="G33">
        <v>1427.565918</v>
      </c>
      <c r="H33">
        <v>1402.7851562000001</v>
      </c>
      <c r="I33">
        <v>1250.2978516000001</v>
      </c>
      <c r="J33">
        <v>1210.862793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0.365651</v>
      </c>
      <c r="B34" s="1">
        <f>DATE(2010,5,1) + TIME(8,46,32)</f>
        <v>40299.365648148145</v>
      </c>
      <c r="C34">
        <v>80</v>
      </c>
      <c r="D34">
        <v>37.372219086000001</v>
      </c>
      <c r="E34">
        <v>50</v>
      </c>
      <c r="F34">
        <v>14.992805481</v>
      </c>
      <c r="G34">
        <v>1426.9180908000001</v>
      </c>
      <c r="H34">
        <v>1402.5653076000001</v>
      </c>
      <c r="I34">
        <v>1250.2993164</v>
      </c>
      <c r="J34">
        <v>1210.8641356999999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0.38526700000000003</v>
      </c>
      <c r="B35" s="1">
        <f>DATE(2010,5,1) + TIME(9,14,47)</f>
        <v>40299.385266203702</v>
      </c>
      <c r="C35">
        <v>80</v>
      </c>
      <c r="D35">
        <v>38.351837158000002</v>
      </c>
      <c r="E35">
        <v>50</v>
      </c>
      <c r="F35">
        <v>14.992838860000001</v>
      </c>
      <c r="G35">
        <v>1426.2912598</v>
      </c>
      <c r="H35">
        <v>1402.3519286999999</v>
      </c>
      <c r="I35">
        <v>1250.3006591999999</v>
      </c>
      <c r="J35">
        <v>1210.8654785000001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0.40529100000000001</v>
      </c>
      <c r="B36" s="1">
        <f>DATE(2010,5,1) + TIME(9,43,37)</f>
        <v>40299.405289351853</v>
      </c>
      <c r="C36">
        <v>80</v>
      </c>
      <c r="D36">
        <v>39.330936432000001</v>
      </c>
      <c r="E36">
        <v>50</v>
      </c>
      <c r="F36">
        <v>14.992873191999999</v>
      </c>
      <c r="G36">
        <v>1425.6843262</v>
      </c>
      <c r="H36">
        <v>1402.1446533000001</v>
      </c>
      <c r="I36">
        <v>1250.3018798999999</v>
      </c>
      <c r="J36">
        <v>1210.8665771000001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0.42574200000000001</v>
      </c>
      <c r="B37" s="1">
        <f>DATE(2010,5,1) + TIME(10,13,4)</f>
        <v>40299.425740740742</v>
      </c>
      <c r="C37">
        <v>80</v>
      </c>
      <c r="D37">
        <v>40.309562683000003</v>
      </c>
      <c r="E37">
        <v>50</v>
      </c>
      <c r="F37">
        <v>14.992906570000001</v>
      </c>
      <c r="G37">
        <v>1425.0963135</v>
      </c>
      <c r="H37">
        <v>1401.9433594</v>
      </c>
      <c r="I37">
        <v>1250.3031006000001</v>
      </c>
      <c r="J37">
        <v>1210.8677978999999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0.44663999999999998</v>
      </c>
      <c r="B38" s="1">
        <f>DATE(2010,5,1) + TIME(10,43,9)</f>
        <v>40299.446631944447</v>
      </c>
      <c r="C38">
        <v>80</v>
      </c>
      <c r="D38">
        <v>41.287708281999997</v>
      </c>
      <c r="E38">
        <v>50</v>
      </c>
      <c r="F38">
        <v>14.992940902999999</v>
      </c>
      <c r="G38">
        <v>1424.5264893000001</v>
      </c>
      <c r="H38">
        <v>1401.7474365</v>
      </c>
      <c r="I38">
        <v>1250.3041992000001</v>
      </c>
      <c r="J38">
        <v>1210.8687743999999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0.468005</v>
      </c>
      <c r="B39" s="1">
        <f>DATE(2010,5,1) + TIME(11,13,55)</f>
        <v>40299.467997685184</v>
      </c>
      <c r="C39">
        <v>80</v>
      </c>
      <c r="D39">
        <v>42.265110016000001</v>
      </c>
      <c r="E39">
        <v>50</v>
      </c>
      <c r="F39">
        <v>14.992975234999999</v>
      </c>
      <c r="G39">
        <v>1423.9738769999999</v>
      </c>
      <c r="H39">
        <v>1401.5565185999999</v>
      </c>
      <c r="I39">
        <v>1250.3052978999999</v>
      </c>
      <c r="J39">
        <v>1210.8698730000001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0.48986400000000002</v>
      </c>
      <c r="B40" s="1">
        <f>DATE(2010,5,1) + TIME(11,45,24)</f>
        <v>40299.489861111113</v>
      </c>
      <c r="C40">
        <v>80</v>
      </c>
      <c r="D40">
        <v>43.241882324000002</v>
      </c>
      <c r="E40">
        <v>50</v>
      </c>
      <c r="F40">
        <v>14.993009567</v>
      </c>
      <c r="G40">
        <v>1423.4377440999999</v>
      </c>
      <c r="H40">
        <v>1401.3703613</v>
      </c>
      <c r="I40">
        <v>1250.3063964999999</v>
      </c>
      <c r="J40">
        <v>1210.8707274999999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0.512243</v>
      </c>
      <c r="B41" s="1">
        <f>DATE(2010,5,1) + TIME(12,17,37)</f>
        <v>40299.512233796297</v>
      </c>
      <c r="C41">
        <v>80</v>
      </c>
      <c r="D41">
        <v>44.217998504999997</v>
      </c>
      <c r="E41">
        <v>50</v>
      </c>
      <c r="F41">
        <v>14.9930439</v>
      </c>
      <c r="G41">
        <v>1422.9171143000001</v>
      </c>
      <c r="H41">
        <v>1401.1887207</v>
      </c>
      <c r="I41">
        <v>1250.3073730000001</v>
      </c>
      <c r="J41">
        <v>1210.8717041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0.53516900000000001</v>
      </c>
      <c r="B42" s="1">
        <f>DATE(2010,5,1) + TIME(12,50,38)</f>
        <v>40299.535162037035</v>
      </c>
      <c r="C42">
        <v>80</v>
      </c>
      <c r="D42">
        <v>45.193412780999999</v>
      </c>
      <c r="E42">
        <v>50</v>
      </c>
      <c r="F42">
        <v>14.993078232</v>
      </c>
      <c r="G42">
        <v>1422.411499</v>
      </c>
      <c r="H42">
        <v>1401.0112305</v>
      </c>
      <c r="I42">
        <v>1250.3082274999999</v>
      </c>
      <c r="J42">
        <v>1210.8724365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0.55867299999999998</v>
      </c>
      <c r="B43" s="1">
        <f>DATE(2010,5,1) + TIME(13,24,29)</f>
        <v>40299.558668981481</v>
      </c>
      <c r="C43">
        <v>80</v>
      </c>
      <c r="D43">
        <v>46.168098450000002</v>
      </c>
      <c r="E43">
        <v>50</v>
      </c>
      <c r="F43">
        <v>14.993112564</v>
      </c>
      <c r="G43">
        <v>1421.9199219</v>
      </c>
      <c r="H43">
        <v>1400.8375243999999</v>
      </c>
      <c r="I43">
        <v>1250.309082</v>
      </c>
      <c r="J43">
        <v>1210.8732910000001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0.58278799999999997</v>
      </c>
      <c r="B44" s="1">
        <f>DATE(2010,5,1) + TIME(13,59,12)</f>
        <v>40299.582777777781</v>
      </c>
      <c r="C44">
        <v>80</v>
      </c>
      <c r="D44">
        <v>47.142009735000002</v>
      </c>
      <c r="E44">
        <v>50</v>
      </c>
      <c r="F44">
        <v>14.99314785</v>
      </c>
      <c r="G44">
        <v>1421.4418945</v>
      </c>
      <c r="H44">
        <v>1400.6673584</v>
      </c>
      <c r="I44">
        <v>1250.3099365</v>
      </c>
      <c r="J44">
        <v>1210.8740233999999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0.60754900000000001</v>
      </c>
      <c r="B45" s="1">
        <f>DATE(2010,5,1) + TIME(14,34,52)</f>
        <v>40299.607546296298</v>
      </c>
      <c r="C45">
        <v>80</v>
      </c>
      <c r="D45">
        <v>48.115100861000002</v>
      </c>
      <c r="E45">
        <v>50</v>
      </c>
      <c r="F45">
        <v>14.993182182</v>
      </c>
      <c r="G45">
        <v>1420.9766846</v>
      </c>
      <c r="H45">
        <v>1400.5006103999999</v>
      </c>
      <c r="I45">
        <v>1250.3107910000001</v>
      </c>
      <c r="J45">
        <v>1210.8747559000001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0.63299399999999995</v>
      </c>
      <c r="B46" s="1">
        <f>DATE(2010,5,1) + TIME(15,11,30)</f>
        <v>40299.632986111108</v>
      </c>
      <c r="C46">
        <v>80</v>
      </c>
      <c r="D46">
        <v>49.087326050000001</v>
      </c>
      <c r="E46">
        <v>50</v>
      </c>
      <c r="F46">
        <v>14.993217467999999</v>
      </c>
      <c r="G46">
        <v>1420.5235596</v>
      </c>
      <c r="H46">
        <v>1400.3366699000001</v>
      </c>
      <c r="I46">
        <v>1250.3115233999999</v>
      </c>
      <c r="J46">
        <v>1210.8753661999999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0.65916600000000003</v>
      </c>
      <c r="B47" s="1">
        <f>DATE(2010,5,1) + TIME(15,49,11)</f>
        <v>40299.659155092595</v>
      </c>
      <c r="C47">
        <v>80</v>
      </c>
      <c r="D47">
        <v>50.058605194000002</v>
      </c>
      <c r="E47">
        <v>50</v>
      </c>
      <c r="F47">
        <v>14.993252754</v>
      </c>
      <c r="G47">
        <v>1420.0820312000001</v>
      </c>
      <c r="H47">
        <v>1400.1755370999999</v>
      </c>
      <c r="I47">
        <v>1250.3122559000001</v>
      </c>
      <c r="J47">
        <v>1210.8759766000001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0.68611200000000006</v>
      </c>
      <c r="B48" s="1">
        <f>DATE(2010,5,1) + TIME(16,28,0)</f>
        <v>40299.686111111114</v>
      </c>
      <c r="C48">
        <v>80</v>
      </c>
      <c r="D48">
        <v>51.028495788999997</v>
      </c>
      <c r="E48">
        <v>50</v>
      </c>
      <c r="F48">
        <v>14.993288994</v>
      </c>
      <c r="G48">
        <v>1419.6513672000001</v>
      </c>
      <c r="H48">
        <v>1400.0166016000001</v>
      </c>
      <c r="I48">
        <v>1250.3129882999999</v>
      </c>
      <c r="J48">
        <v>1210.8765868999999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0.71389499999999995</v>
      </c>
      <c r="B49" s="1">
        <f>DATE(2010,5,1) + TIME(17,8,0)</f>
        <v>40299.713888888888</v>
      </c>
      <c r="C49">
        <v>80</v>
      </c>
      <c r="D49">
        <v>51.997745514000002</v>
      </c>
      <c r="E49">
        <v>50</v>
      </c>
      <c r="F49">
        <v>14.99332428</v>
      </c>
      <c r="G49">
        <v>1419.230957</v>
      </c>
      <c r="H49">
        <v>1399.8598632999999</v>
      </c>
      <c r="I49">
        <v>1250.3137207</v>
      </c>
      <c r="J49">
        <v>1210.8771973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0.74255899999999997</v>
      </c>
      <c r="B50" s="1">
        <f>DATE(2010,5,1) + TIME(17,49,17)</f>
        <v>40299.74255787037</v>
      </c>
      <c r="C50">
        <v>80</v>
      </c>
      <c r="D50">
        <v>52.965885161999999</v>
      </c>
      <c r="E50">
        <v>50</v>
      </c>
      <c r="F50">
        <v>14.993360518999999</v>
      </c>
      <c r="G50">
        <v>1418.8204346</v>
      </c>
      <c r="H50">
        <v>1399.7049560999999</v>
      </c>
      <c r="I50">
        <v>1250.3143310999999</v>
      </c>
      <c r="J50">
        <v>1210.8778076000001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0.77216700000000005</v>
      </c>
      <c r="B51" s="1">
        <f>DATE(2010,5,1) + TIME(18,31,55)</f>
        <v>40299.772164351853</v>
      </c>
      <c r="C51">
        <v>80</v>
      </c>
      <c r="D51">
        <v>53.932834624999998</v>
      </c>
      <c r="E51">
        <v>50</v>
      </c>
      <c r="F51">
        <v>14.993396758999999</v>
      </c>
      <c r="G51">
        <v>1418.4190673999999</v>
      </c>
      <c r="H51">
        <v>1399.5516356999999</v>
      </c>
      <c r="I51">
        <v>1250.3150635</v>
      </c>
      <c r="J51">
        <v>1210.878418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0.802786</v>
      </c>
      <c r="B52" s="1">
        <f>DATE(2010,5,1) + TIME(19,16,0)</f>
        <v>40299.802777777775</v>
      </c>
      <c r="C52">
        <v>80</v>
      </c>
      <c r="D52">
        <v>54.898509979000004</v>
      </c>
      <c r="E52">
        <v>50</v>
      </c>
      <c r="F52">
        <v>14.993433952</v>
      </c>
      <c r="G52">
        <v>1418.0263672000001</v>
      </c>
      <c r="H52">
        <v>1399.3995361</v>
      </c>
      <c r="I52">
        <v>1250.3156738</v>
      </c>
      <c r="J52">
        <v>1210.8789062000001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0.83449399999999996</v>
      </c>
      <c r="B53" s="1">
        <f>DATE(2010,5,1) + TIME(20,1,40)</f>
        <v>40299.834490740737</v>
      </c>
      <c r="C53">
        <v>80</v>
      </c>
      <c r="D53">
        <v>55.862812042000002</v>
      </c>
      <c r="E53">
        <v>50</v>
      </c>
      <c r="F53">
        <v>14.993471145999999</v>
      </c>
      <c r="G53">
        <v>1417.6417236</v>
      </c>
      <c r="H53">
        <v>1399.2484131000001</v>
      </c>
      <c r="I53">
        <v>1250.3164062000001</v>
      </c>
      <c r="J53">
        <v>1210.8795166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0.86737500000000001</v>
      </c>
      <c r="B54" s="1">
        <f>DATE(2010,5,1) + TIME(20,49,1)</f>
        <v>40299.867372685185</v>
      </c>
      <c r="C54">
        <v>80</v>
      </c>
      <c r="D54">
        <v>56.825645446999999</v>
      </c>
      <c r="E54">
        <v>50</v>
      </c>
      <c r="F54">
        <v>14.993508339</v>
      </c>
      <c r="G54">
        <v>1417.2646483999999</v>
      </c>
      <c r="H54">
        <v>1399.0980225000001</v>
      </c>
      <c r="I54">
        <v>1250.3170166</v>
      </c>
      <c r="J54">
        <v>1210.8800048999999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0.90152600000000005</v>
      </c>
      <c r="B55" s="1">
        <f>DATE(2010,5,1) + TIME(21,38,11)</f>
        <v>40299.901516203703</v>
      </c>
      <c r="C55">
        <v>80</v>
      </c>
      <c r="D55">
        <v>57.786884307999998</v>
      </c>
      <c r="E55">
        <v>50</v>
      </c>
      <c r="F55">
        <v>14.993546486</v>
      </c>
      <c r="G55">
        <v>1416.8946533000001</v>
      </c>
      <c r="H55">
        <v>1398.947876</v>
      </c>
      <c r="I55">
        <v>1250.317749</v>
      </c>
      <c r="J55">
        <v>1210.8806152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0.93705400000000005</v>
      </c>
      <c r="B56" s="1">
        <f>DATE(2010,5,1) + TIME(22,29,21)</f>
        <v>40299.937048611115</v>
      </c>
      <c r="C56">
        <v>80</v>
      </c>
      <c r="D56">
        <v>58.746402740000001</v>
      </c>
      <c r="E56">
        <v>50</v>
      </c>
      <c r="F56">
        <v>14.993584632999999</v>
      </c>
      <c r="G56">
        <v>1416.5311279</v>
      </c>
      <c r="H56">
        <v>1398.7978516000001</v>
      </c>
      <c r="I56">
        <v>1250.3184814000001</v>
      </c>
      <c r="J56">
        <v>1210.8811035000001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0.97408099999999997</v>
      </c>
      <c r="B57" s="1">
        <f>DATE(2010,5,1) + TIME(23,22,40)</f>
        <v>40299.974074074074</v>
      </c>
      <c r="C57">
        <v>80</v>
      </c>
      <c r="D57">
        <v>59.704048157000003</v>
      </c>
      <c r="E57">
        <v>50</v>
      </c>
      <c r="F57">
        <v>14.993622780000001</v>
      </c>
      <c r="G57">
        <v>1416.1734618999999</v>
      </c>
      <c r="H57">
        <v>1398.6473389</v>
      </c>
      <c r="I57">
        <v>1250.3190918</v>
      </c>
      <c r="J57">
        <v>1210.8817139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1.0127459999999999</v>
      </c>
      <c r="B58" s="1">
        <f>DATE(2010,5,2) + TIME(0,18,21)</f>
        <v>40300.012743055559</v>
      </c>
      <c r="C58">
        <v>80</v>
      </c>
      <c r="D58">
        <v>60.659175873000002</v>
      </c>
      <c r="E58">
        <v>50</v>
      </c>
      <c r="F58">
        <v>14.993661879999999</v>
      </c>
      <c r="G58">
        <v>1415.8214111</v>
      </c>
      <c r="H58">
        <v>1398.4962158000001</v>
      </c>
      <c r="I58">
        <v>1250.3198242000001</v>
      </c>
      <c r="J58">
        <v>1210.8823242000001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1.0532269999999999</v>
      </c>
      <c r="B59" s="1">
        <f>DATE(2010,5,2) + TIME(1,16,38)</f>
        <v>40300.053217592591</v>
      </c>
      <c r="C59">
        <v>80</v>
      </c>
      <c r="D59">
        <v>61.612297058000003</v>
      </c>
      <c r="E59">
        <v>50</v>
      </c>
      <c r="F59">
        <v>14.993701935000001</v>
      </c>
      <c r="G59">
        <v>1415.4738769999999</v>
      </c>
      <c r="H59">
        <v>1398.34375</v>
      </c>
      <c r="I59">
        <v>1250.3205565999999</v>
      </c>
      <c r="J59">
        <v>1210.8829346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1.095699</v>
      </c>
      <c r="B60" s="1">
        <f>DATE(2010,5,2) + TIME(2,17,48)</f>
        <v>40300.095694444448</v>
      </c>
      <c r="C60">
        <v>80</v>
      </c>
      <c r="D60">
        <v>62.563159943000002</v>
      </c>
      <c r="E60">
        <v>50</v>
      </c>
      <c r="F60">
        <v>14.993741989</v>
      </c>
      <c r="G60">
        <v>1415.1306152</v>
      </c>
      <c r="H60">
        <v>1398.1898193</v>
      </c>
      <c r="I60">
        <v>1250.3214111</v>
      </c>
      <c r="J60">
        <v>1210.8835449000001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1.140366</v>
      </c>
      <c r="B61" s="1">
        <f>DATE(2010,5,2) + TIME(3,22,7)</f>
        <v>40300.1403587963</v>
      </c>
      <c r="C61">
        <v>80</v>
      </c>
      <c r="D61">
        <v>63.511325835999997</v>
      </c>
      <c r="E61">
        <v>50</v>
      </c>
      <c r="F61">
        <v>14.993782997</v>
      </c>
      <c r="G61">
        <v>1414.7911377</v>
      </c>
      <c r="H61">
        <v>1398.0339355000001</v>
      </c>
      <c r="I61">
        <v>1250.3222656</v>
      </c>
      <c r="J61">
        <v>1210.8842772999999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1.1874739999999999</v>
      </c>
      <c r="B62" s="1">
        <f>DATE(2010,5,2) + TIME(4,29,57)</f>
        <v>40300.187465277777</v>
      </c>
      <c r="C62">
        <v>80</v>
      </c>
      <c r="D62">
        <v>64.456504821999999</v>
      </c>
      <c r="E62">
        <v>50</v>
      </c>
      <c r="F62">
        <v>14.993824958999999</v>
      </c>
      <c r="G62">
        <v>1414.4544678</v>
      </c>
      <c r="H62">
        <v>1397.8754882999999</v>
      </c>
      <c r="I62">
        <v>1250.3231201000001</v>
      </c>
      <c r="J62">
        <v>1210.8850098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1.2373149999999999</v>
      </c>
      <c r="B63" s="1">
        <f>DATE(2010,5,2) + TIME(5,41,44)</f>
        <v>40300.237314814818</v>
      </c>
      <c r="C63">
        <v>80</v>
      </c>
      <c r="D63">
        <v>65.398452758999994</v>
      </c>
      <c r="E63">
        <v>50</v>
      </c>
      <c r="F63">
        <v>14.993867873999999</v>
      </c>
      <c r="G63">
        <v>1414.1199951000001</v>
      </c>
      <c r="H63">
        <v>1397.7139893000001</v>
      </c>
      <c r="I63">
        <v>1250.3239745999999</v>
      </c>
      <c r="J63">
        <v>1210.8857422000001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1.2902279999999999</v>
      </c>
      <c r="B64" s="1">
        <f>DATE(2010,5,2) + TIME(6,57,55)</f>
        <v>40300.290219907409</v>
      </c>
      <c r="C64">
        <v>80</v>
      </c>
      <c r="D64">
        <v>66.336730957</v>
      </c>
      <c r="E64">
        <v>50</v>
      </c>
      <c r="F64">
        <v>14.993910788999999</v>
      </c>
      <c r="G64">
        <v>1413.7871094</v>
      </c>
      <c r="H64">
        <v>1397.5485839999999</v>
      </c>
      <c r="I64">
        <v>1250.3249512</v>
      </c>
      <c r="J64">
        <v>1210.8865966999999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1.318425</v>
      </c>
      <c r="B65" s="1">
        <f>DATE(2010,5,2) + TIME(7,38,31)</f>
        <v>40300.318414351852</v>
      </c>
      <c r="C65">
        <v>80</v>
      </c>
      <c r="D65">
        <v>66.820518493999998</v>
      </c>
      <c r="E65">
        <v>50</v>
      </c>
      <c r="F65">
        <v>14.993934631</v>
      </c>
      <c r="G65">
        <v>1413.5948486</v>
      </c>
      <c r="H65">
        <v>1397.4163818</v>
      </c>
      <c r="I65">
        <v>1250.3260498</v>
      </c>
      <c r="J65">
        <v>1210.8874512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1.3466210000000001</v>
      </c>
      <c r="B66" s="1">
        <f>DATE(2010,5,2) + TIME(8,19,8)</f>
        <v>40300.346620370372</v>
      </c>
      <c r="C66">
        <v>80</v>
      </c>
      <c r="D66">
        <v>67.287757873999993</v>
      </c>
      <c r="E66">
        <v>50</v>
      </c>
      <c r="F66">
        <v>14.993956566</v>
      </c>
      <c r="G66">
        <v>1413.4278564000001</v>
      </c>
      <c r="H66">
        <v>1397.3294678</v>
      </c>
      <c r="I66">
        <v>1250.3266602000001</v>
      </c>
      <c r="J66">
        <v>1210.8879394999999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1.3748180000000001</v>
      </c>
      <c r="B67" s="1">
        <f>DATE(2010,5,2) + TIME(8,59,44)</f>
        <v>40300.374814814815</v>
      </c>
      <c r="C67">
        <v>80</v>
      </c>
      <c r="D67">
        <v>67.738967896000005</v>
      </c>
      <c r="E67">
        <v>50</v>
      </c>
      <c r="F67">
        <v>14.993978500000001</v>
      </c>
      <c r="G67">
        <v>1413.2661132999999</v>
      </c>
      <c r="H67">
        <v>1397.2440185999999</v>
      </c>
      <c r="I67">
        <v>1250.3271483999999</v>
      </c>
      <c r="J67">
        <v>1210.8884277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1.4030149999999999</v>
      </c>
      <c r="B68" s="1">
        <f>DATE(2010,5,2) + TIME(9,40,20)</f>
        <v>40300.403009259258</v>
      </c>
      <c r="C68">
        <v>80</v>
      </c>
      <c r="D68">
        <v>68.174652100000003</v>
      </c>
      <c r="E68">
        <v>50</v>
      </c>
      <c r="F68">
        <v>14.994000435</v>
      </c>
      <c r="G68">
        <v>1413.1092529</v>
      </c>
      <c r="H68">
        <v>1397.1599120999999</v>
      </c>
      <c r="I68">
        <v>1250.3277588000001</v>
      </c>
      <c r="J68">
        <v>1210.8889160000001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1.4312119999999999</v>
      </c>
      <c r="B69" s="1">
        <f>DATE(2010,5,2) + TIME(10,20,56)</f>
        <v>40300.431203703702</v>
      </c>
      <c r="C69">
        <v>80</v>
      </c>
      <c r="D69">
        <v>68.595298767000003</v>
      </c>
      <c r="E69">
        <v>50</v>
      </c>
      <c r="F69">
        <v>14.994021416000001</v>
      </c>
      <c r="G69">
        <v>1412.9570312000001</v>
      </c>
      <c r="H69">
        <v>1397.0769043</v>
      </c>
      <c r="I69">
        <v>1250.3282471</v>
      </c>
      <c r="J69">
        <v>1210.8894043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1.459408</v>
      </c>
      <c r="B70" s="1">
        <f>DATE(2010,5,2) + TIME(11,1,32)</f>
        <v>40300.459398148145</v>
      </c>
      <c r="C70">
        <v>80</v>
      </c>
      <c r="D70">
        <v>69.001396178999997</v>
      </c>
      <c r="E70">
        <v>50</v>
      </c>
      <c r="F70">
        <v>14.994042396999999</v>
      </c>
      <c r="G70">
        <v>1412.8092041</v>
      </c>
      <c r="H70">
        <v>1396.9951172000001</v>
      </c>
      <c r="I70">
        <v>1250.3288574000001</v>
      </c>
      <c r="J70">
        <v>1210.8897704999999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1.4876050000000001</v>
      </c>
      <c r="B71" s="1">
        <f>DATE(2010,5,2) + TIME(11,42,9)</f>
        <v>40300.487604166665</v>
      </c>
      <c r="C71">
        <v>80</v>
      </c>
      <c r="D71">
        <v>69.393402100000003</v>
      </c>
      <c r="E71">
        <v>50</v>
      </c>
      <c r="F71">
        <v>14.994063377</v>
      </c>
      <c r="G71">
        <v>1412.6654053</v>
      </c>
      <c r="H71">
        <v>1396.9145507999999</v>
      </c>
      <c r="I71">
        <v>1250.3293457</v>
      </c>
      <c r="J71">
        <v>1210.8902588000001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1.5158020000000001</v>
      </c>
      <c r="B72" s="1">
        <f>DATE(2010,5,2) + TIME(12,22,45)</f>
        <v>40300.515798611108</v>
      </c>
      <c r="C72">
        <v>80</v>
      </c>
      <c r="D72">
        <v>69.771774292000003</v>
      </c>
      <c r="E72">
        <v>50</v>
      </c>
      <c r="F72">
        <v>14.994083405</v>
      </c>
      <c r="G72">
        <v>1412.5256348</v>
      </c>
      <c r="H72">
        <v>1396.8349608999999</v>
      </c>
      <c r="I72">
        <v>1250.3299560999999</v>
      </c>
      <c r="J72">
        <v>1210.8907471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1.572195</v>
      </c>
      <c r="B73" s="1">
        <f>DATE(2010,5,2) + TIME(13,43,57)</f>
        <v>40300.572187500002</v>
      </c>
      <c r="C73">
        <v>80</v>
      </c>
      <c r="D73">
        <v>70.476104735999996</v>
      </c>
      <c r="E73">
        <v>50</v>
      </c>
      <c r="F73">
        <v>14.994121551999999</v>
      </c>
      <c r="G73">
        <v>1412.2913818</v>
      </c>
      <c r="H73">
        <v>1396.7316894999999</v>
      </c>
      <c r="I73">
        <v>1250.3305664</v>
      </c>
      <c r="J73">
        <v>1210.8913574000001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1.628706</v>
      </c>
      <c r="B74" s="1">
        <f>DATE(2010,5,2) + TIME(15,5,20)</f>
        <v>40300.628703703704</v>
      </c>
      <c r="C74">
        <v>80</v>
      </c>
      <c r="D74">
        <v>71.133911132999998</v>
      </c>
      <c r="E74">
        <v>50</v>
      </c>
      <c r="F74">
        <v>14.994157790999999</v>
      </c>
      <c r="G74">
        <v>1412.0386963000001</v>
      </c>
      <c r="H74">
        <v>1396.5787353999999</v>
      </c>
      <c r="I74">
        <v>1250.331543</v>
      </c>
      <c r="J74">
        <v>1210.8922118999999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1.685573</v>
      </c>
      <c r="B75" s="1">
        <f>DATE(2010,5,2) + TIME(16,27,13)</f>
        <v>40300.685567129629</v>
      </c>
      <c r="C75">
        <v>80</v>
      </c>
      <c r="D75">
        <v>71.750518799000005</v>
      </c>
      <c r="E75">
        <v>50</v>
      </c>
      <c r="F75">
        <v>14.994194030999999</v>
      </c>
      <c r="G75">
        <v>1411.796875</v>
      </c>
      <c r="H75">
        <v>1396.4288329999999</v>
      </c>
      <c r="I75">
        <v>1250.3327637</v>
      </c>
      <c r="J75">
        <v>1210.8933105000001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1.742875</v>
      </c>
      <c r="B76" s="1">
        <f>DATE(2010,5,2) + TIME(17,49,44)</f>
        <v>40300.74287037037</v>
      </c>
      <c r="C76">
        <v>80</v>
      </c>
      <c r="D76">
        <v>72.328819275000001</v>
      </c>
      <c r="E76">
        <v>50</v>
      </c>
      <c r="F76">
        <v>14.994228363</v>
      </c>
      <c r="G76">
        <v>1411.5644531</v>
      </c>
      <c r="H76">
        <v>1396.2811279</v>
      </c>
      <c r="I76">
        <v>1250.3338623</v>
      </c>
      <c r="J76">
        <v>1210.8942870999999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1.8006930000000001</v>
      </c>
      <c r="B77" s="1">
        <f>DATE(2010,5,2) + TIME(19,12,59)</f>
        <v>40300.800682870373</v>
      </c>
      <c r="C77">
        <v>80</v>
      </c>
      <c r="D77">
        <v>72.871421814000001</v>
      </c>
      <c r="E77">
        <v>50</v>
      </c>
      <c r="F77">
        <v>14.994262695</v>
      </c>
      <c r="G77">
        <v>1411.3406981999999</v>
      </c>
      <c r="H77">
        <v>1396.135376</v>
      </c>
      <c r="I77">
        <v>1250.3349608999999</v>
      </c>
      <c r="J77">
        <v>1210.8952637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1.859111</v>
      </c>
      <c r="B78" s="1">
        <f>DATE(2010,5,2) + TIME(20,37,7)</f>
        <v>40300.8591087963</v>
      </c>
      <c r="C78">
        <v>80</v>
      </c>
      <c r="D78">
        <v>73.380706786999994</v>
      </c>
      <c r="E78">
        <v>50</v>
      </c>
      <c r="F78">
        <v>14.994296073999999</v>
      </c>
      <c r="G78">
        <v>1411.1245117000001</v>
      </c>
      <c r="H78">
        <v>1395.9912108999999</v>
      </c>
      <c r="I78">
        <v>1250.3360596</v>
      </c>
      <c r="J78">
        <v>1210.8962402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1.9182030000000001</v>
      </c>
      <c r="B79" s="1">
        <f>DATE(2010,5,2) + TIME(22,2,12)</f>
        <v>40300.918194444443</v>
      </c>
      <c r="C79">
        <v>80</v>
      </c>
      <c r="D79">
        <v>73.858764648000005</v>
      </c>
      <c r="E79">
        <v>50</v>
      </c>
      <c r="F79">
        <v>14.994328499</v>
      </c>
      <c r="G79">
        <v>1410.9151611</v>
      </c>
      <c r="H79">
        <v>1395.8483887</v>
      </c>
      <c r="I79">
        <v>1250.3371582</v>
      </c>
      <c r="J79">
        <v>1210.8972168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1.978051</v>
      </c>
      <c r="B80" s="1">
        <f>DATE(2010,5,2) + TIME(23,28,23)</f>
        <v>40300.978043981479</v>
      </c>
      <c r="C80">
        <v>80</v>
      </c>
      <c r="D80">
        <v>74.307540893999999</v>
      </c>
      <c r="E80">
        <v>50</v>
      </c>
      <c r="F80">
        <v>14.99435997</v>
      </c>
      <c r="G80">
        <v>1410.7119141000001</v>
      </c>
      <c r="H80">
        <v>1395.7066649999999</v>
      </c>
      <c r="I80">
        <v>1250.3382568</v>
      </c>
      <c r="J80">
        <v>1210.8983154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2.0387490000000001</v>
      </c>
      <c r="B81" s="1">
        <f>DATE(2010,5,3) + TIME(0,55,47)</f>
        <v>40301.038738425923</v>
      </c>
      <c r="C81">
        <v>80</v>
      </c>
      <c r="D81">
        <v>74.728858947999996</v>
      </c>
      <c r="E81">
        <v>50</v>
      </c>
      <c r="F81">
        <v>14.994391440999999</v>
      </c>
      <c r="G81">
        <v>1410.5140381000001</v>
      </c>
      <c r="H81">
        <v>1395.5656738</v>
      </c>
      <c r="I81">
        <v>1250.3394774999999</v>
      </c>
      <c r="J81">
        <v>1210.8992920000001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2.1003829999999999</v>
      </c>
      <c r="B82" s="1">
        <f>DATE(2010,5,3) + TIME(2,24,33)</f>
        <v>40301.100381944445</v>
      </c>
      <c r="C82">
        <v>80</v>
      </c>
      <c r="D82">
        <v>75.124259949000006</v>
      </c>
      <c r="E82">
        <v>50</v>
      </c>
      <c r="F82">
        <v>14.994421959</v>
      </c>
      <c r="G82">
        <v>1410.3209228999999</v>
      </c>
      <c r="H82">
        <v>1395.425293</v>
      </c>
      <c r="I82">
        <v>1250.3405762</v>
      </c>
      <c r="J82">
        <v>1210.9003906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2.1630449999999999</v>
      </c>
      <c r="B83" s="1">
        <f>DATE(2010,5,3) + TIME(3,54,47)</f>
        <v>40301.163043981483</v>
      </c>
      <c r="C83">
        <v>80</v>
      </c>
      <c r="D83">
        <v>75.495124817000004</v>
      </c>
      <c r="E83">
        <v>50</v>
      </c>
      <c r="F83">
        <v>14.994452476999999</v>
      </c>
      <c r="G83">
        <v>1410.1322021000001</v>
      </c>
      <c r="H83">
        <v>1395.2851562000001</v>
      </c>
      <c r="I83">
        <v>1250.3416748</v>
      </c>
      <c r="J83">
        <v>1210.9013672000001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2.2268309999999998</v>
      </c>
      <c r="B84" s="1">
        <f>DATE(2010,5,3) + TIME(5,26,38)</f>
        <v>40301.2268287037</v>
      </c>
      <c r="C84">
        <v>80</v>
      </c>
      <c r="D84">
        <v>75.843025208</v>
      </c>
      <c r="E84">
        <v>50</v>
      </c>
      <c r="F84">
        <v>14.994482039999999</v>
      </c>
      <c r="G84">
        <v>1409.9471435999999</v>
      </c>
      <c r="H84">
        <v>1395.1452637</v>
      </c>
      <c r="I84">
        <v>1250.3428954999999</v>
      </c>
      <c r="J84">
        <v>1210.9024658000001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2.2918409999999998</v>
      </c>
      <c r="B85" s="1">
        <f>DATE(2010,5,3) + TIME(7,0,15)</f>
        <v>40301.29184027778</v>
      </c>
      <c r="C85">
        <v>80</v>
      </c>
      <c r="D85">
        <v>76.169235228999995</v>
      </c>
      <c r="E85">
        <v>50</v>
      </c>
      <c r="F85">
        <v>14.994510651000001</v>
      </c>
      <c r="G85">
        <v>1409.7655029</v>
      </c>
      <c r="H85">
        <v>1395.0053711</v>
      </c>
      <c r="I85">
        <v>1250.3439940999999</v>
      </c>
      <c r="J85">
        <v>1210.9035644999999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2.3581829999999999</v>
      </c>
      <c r="B86" s="1">
        <f>DATE(2010,5,3) + TIME(8,35,46)</f>
        <v>40301.358171296299</v>
      </c>
      <c r="C86">
        <v>80</v>
      </c>
      <c r="D86">
        <v>76.474929810000006</v>
      </c>
      <c r="E86">
        <v>50</v>
      </c>
      <c r="F86">
        <v>14.994540215000001</v>
      </c>
      <c r="G86">
        <v>1409.5866699000001</v>
      </c>
      <c r="H86">
        <v>1394.8652344</v>
      </c>
      <c r="I86">
        <v>1250.3452147999999</v>
      </c>
      <c r="J86">
        <v>1210.9046631000001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2.4259689999999998</v>
      </c>
      <c r="B87" s="1">
        <f>DATE(2010,5,3) + TIME(10,13,23)</f>
        <v>40301.42596064815</v>
      </c>
      <c r="C87">
        <v>80</v>
      </c>
      <c r="D87">
        <v>76.761207580999994</v>
      </c>
      <c r="E87">
        <v>50</v>
      </c>
      <c r="F87">
        <v>14.994568825</v>
      </c>
      <c r="G87">
        <v>1409.4104004000001</v>
      </c>
      <c r="H87">
        <v>1394.7247314000001</v>
      </c>
      <c r="I87">
        <v>1250.3463135</v>
      </c>
      <c r="J87">
        <v>1210.9057617000001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2.495323</v>
      </c>
      <c r="B88" s="1">
        <f>DATE(2010,5,3) + TIME(11,53,15)</f>
        <v>40301.495312500003</v>
      </c>
      <c r="C88">
        <v>80</v>
      </c>
      <c r="D88">
        <v>77.029090881000002</v>
      </c>
      <c r="E88">
        <v>50</v>
      </c>
      <c r="F88">
        <v>14.994596481</v>
      </c>
      <c r="G88">
        <v>1409.2362060999999</v>
      </c>
      <c r="H88">
        <v>1394.5836182</v>
      </c>
      <c r="I88">
        <v>1250.3475341999999</v>
      </c>
      <c r="J88">
        <v>1210.9068603999999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2.5663840000000002</v>
      </c>
      <c r="B89" s="1">
        <f>DATE(2010,5,3) + TIME(13,35,35)</f>
        <v>40301.566377314812</v>
      </c>
      <c r="C89">
        <v>80</v>
      </c>
      <c r="D89">
        <v>77.279571532999995</v>
      </c>
      <c r="E89">
        <v>50</v>
      </c>
      <c r="F89">
        <v>14.994625092</v>
      </c>
      <c r="G89">
        <v>1409.0638428</v>
      </c>
      <c r="H89">
        <v>1394.4417725000001</v>
      </c>
      <c r="I89">
        <v>1250.3487548999999</v>
      </c>
      <c r="J89">
        <v>1210.9079589999999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2.63931</v>
      </c>
      <c r="B90" s="1">
        <f>DATE(2010,5,3) + TIME(15,20,36)</f>
        <v>40301.639305555553</v>
      </c>
      <c r="C90">
        <v>80</v>
      </c>
      <c r="D90">
        <v>77.513572693</v>
      </c>
      <c r="E90">
        <v>50</v>
      </c>
      <c r="F90">
        <v>14.994652748</v>
      </c>
      <c r="G90">
        <v>1408.8928223</v>
      </c>
      <c r="H90">
        <v>1394.2989502</v>
      </c>
      <c r="I90">
        <v>1250.3499756000001</v>
      </c>
      <c r="J90">
        <v>1210.9091797000001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2.7142330000000001</v>
      </c>
      <c r="B91" s="1">
        <f>DATE(2010,5,3) + TIME(17,8,29)</f>
        <v>40301.714224537034</v>
      </c>
      <c r="C91">
        <v>80</v>
      </c>
      <c r="D91">
        <v>77.731864928999997</v>
      </c>
      <c r="E91">
        <v>50</v>
      </c>
      <c r="F91">
        <v>14.994680405</v>
      </c>
      <c r="G91">
        <v>1408.7229004000001</v>
      </c>
      <c r="H91">
        <v>1394.1550293</v>
      </c>
      <c r="I91">
        <v>1250.3511963000001</v>
      </c>
      <c r="J91">
        <v>1210.9102783000001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2.7913239999999999</v>
      </c>
      <c r="B92" s="1">
        <f>DATE(2010,5,3) + TIME(18,59,30)</f>
        <v>40301.791319444441</v>
      </c>
      <c r="C92">
        <v>80</v>
      </c>
      <c r="D92">
        <v>77.935241699000002</v>
      </c>
      <c r="E92">
        <v>50</v>
      </c>
      <c r="F92">
        <v>14.994708061000001</v>
      </c>
      <c r="G92">
        <v>1408.5537108999999</v>
      </c>
      <c r="H92">
        <v>1394.0098877</v>
      </c>
      <c r="I92">
        <v>1250.3524170000001</v>
      </c>
      <c r="J92">
        <v>1210.911499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2.8707669999999998</v>
      </c>
      <c r="B93" s="1">
        <f>DATE(2010,5,3) + TIME(20,53,54)</f>
        <v>40301.870763888888</v>
      </c>
      <c r="C93">
        <v>80</v>
      </c>
      <c r="D93">
        <v>78.124450683999996</v>
      </c>
      <c r="E93">
        <v>50</v>
      </c>
      <c r="F93">
        <v>14.994735717999999</v>
      </c>
      <c r="G93">
        <v>1408.3851318</v>
      </c>
      <c r="H93">
        <v>1393.8632812000001</v>
      </c>
      <c r="I93">
        <v>1250.3537598</v>
      </c>
      <c r="J93">
        <v>1210.9127197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2.9527679999999998</v>
      </c>
      <c r="B94" s="1">
        <f>DATE(2010,5,3) + TIME(22,51,59)</f>
        <v>40301.952766203707</v>
      </c>
      <c r="C94">
        <v>80</v>
      </c>
      <c r="D94">
        <v>78.300193786999998</v>
      </c>
      <c r="E94">
        <v>50</v>
      </c>
      <c r="F94">
        <v>14.994763374</v>
      </c>
      <c r="G94">
        <v>1408.2165527</v>
      </c>
      <c r="H94">
        <v>1393.7149658000001</v>
      </c>
      <c r="I94">
        <v>1250.3551024999999</v>
      </c>
      <c r="J94">
        <v>1210.9139404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3.0375529999999999</v>
      </c>
      <c r="B95" s="1">
        <f>DATE(2010,5,4) + TIME(0,54,4)</f>
        <v>40302.037546296298</v>
      </c>
      <c r="C95">
        <v>80</v>
      </c>
      <c r="D95">
        <v>78.463150024000001</v>
      </c>
      <c r="E95">
        <v>50</v>
      </c>
      <c r="F95">
        <v>14.994791031</v>
      </c>
      <c r="G95">
        <v>1408.0479736</v>
      </c>
      <c r="H95">
        <v>1393.5648193</v>
      </c>
      <c r="I95">
        <v>1250.3564452999999</v>
      </c>
      <c r="J95">
        <v>1210.9152832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3.1253760000000002</v>
      </c>
      <c r="B96" s="1">
        <f>DATE(2010,5,4) + TIME(3,0,32)</f>
        <v>40302.12537037037</v>
      </c>
      <c r="C96">
        <v>80</v>
      </c>
      <c r="D96">
        <v>78.613945006999998</v>
      </c>
      <c r="E96">
        <v>50</v>
      </c>
      <c r="F96">
        <v>14.994818687</v>
      </c>
      <c r="G96">
        <v>1407.8787841999999</v>
      </c>
      <c r="H96">
        <v>1393.4125977000001</v>
      </c>
      <c r="I96">
        <v>1250.3577881000001</v>
      </c>
      <c r="J96">
        <v>1210.9165039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3.2159529999999998</v>
      </c>
      <c r="B97" s="1">
        <f>DATE(2010,5,4) + TIME(5,10,58)</f>
        <v>40302.215949074074</v>
      </c>
      <c r="C97">
        <v>80</v>
      </c>
      <c r="D97">
        <v>78.752433776999993</v>
      </c>
      <c r="E97">
        <v>50</v>
      </c>
      <c r="F97">
        <v>14.994846344000001</v>
      </c>
      <c r="G97">
        <v>1407.7091064000001</v>
      </c>
      <c r="H97">
        <v>1393.2581786999999</v>
      </c>
      <c r="I97">
        <v>1250.3591309000001</v>
      </c>
      <c r="J97">
        <v>1210.9178466999999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3.3094510000000001</v>
      </c>
      <c r="B98" s="1">
        <f>DATE(2010,5,4) + TIME(7,25,36)</f>
        <v>40302.309444444443</v>
      </c>
      <c r="C98">
        <v>80</v>
      </c>
      <c r="D98">
        <v>78.879272460999999</v>
      </c>
      <c r="E98">
        <v>50</v>
      </c>
      <c r="F98">
        <v>14.994874000999999</v>
      </c>
      <c r="G98">
        <v>1407.5393065999999</v>
      </c>
      <c r="H98">
        <v>1393.1021728999999</v>
      </c>
      <c r="I98">
        <v>1250.3605957</v>
      </c>
      <c r="J98">
        <v>1210.9191894999999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3.4060709999999998</v>
      </c>
      <c r="B99" s="1">
        <f>DATE(2010,5,4) + TIME(9,44,44)</f>
        <v>40302.406064814815</v>
      </c>
      <c r="C99">
        <v>80</v>
      </c>
      <c r="D99">
        <v>78.995132446</v>
      </c>
      <c r="E99">
        <v>50</v>
      </c>
      <c r="F99">
        <v>14.994901657</v>
      </c>
      <c r="G99">
        <v>1407.3691406</v>
      </c>
      <c r="H99">
        <v>1392.9444579999999</v>
      </c>
      <c r="I99">
        <v>1250.3620605000001</v>
      </c>
      <c r="J99">
        <v>1210.9206543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3.505976</v>
      </c>
      <c r="B100" s="1">
        <f>DATE(2010,5,4) + TIME(12,8,36)</f>
        <v>40302.505972222221</v>
      </c>
      <c r="C100">
        <v>80</v>
      </c>
      <c r="D100">
        <v>79.100624084000003</v>
      </c>
      <c r="E100">
        <v>50</v>
      </c>
      <c r="F100">
        <v>14.994929314</v>
      </c>
      <c r="G100">
        <v>1407.1984863</v>
      </c>
      <c r="H100">
        <v>1392.7849120999999</v>
      </c>
      <c r="I100">
        <v>1250.3635254000001</v>
      </c>
      <c r="J100">
        <v>1210.9221190999999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3.6094629999999999</v>
      </c>
      <c r="B101" s="1">
        <f>DATE(2010,5,4) + TIME(14,37,37)</f>
        <v>40302.609456018516</v>
      </c>
      <c r="C101">
        <v>80</v>
      </c>
      <c r="D101">
        <v>79.196434021000002</v>
      </c>
      <c r="E101">
        <v>50</v>
      </c>
      <c r="F101">
        <v>14.994957923999999</v>
      </c>
      <c r="G101">
        <v>1407.0272216999999</v>
      </c>
      <c r="H101">
        <v>1392.6236572</v>
      </c>
      <c r="I101">
        <v>1250.3649902</v>
      </c>
      <c r="J101">
        <v>1210.9235839999999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3.7168570000000001</v>
      </c>
      <c r="B102" s="1">
        <f>DATE(2010,5,4) + TIME(17,12,16)</f>
        <v>40302.716851851852</v>
      </c>
      <c r="C102">
        <v>80</v>
      </c>
      <c r="D102">
        <v>79.283226013000004</v>
      </c>
      <c r="E102">
        <v>50</v>
      </c>
      <c r="F102">
        <v>14.99498558</v>
      </c>
      <c r="G102">
        <v>1406.8548584</v>
      </c>
      <c r="H102">
        <v>1392.4602050999999</v>
      </c>
      <c r="I102">
        <v>1250.3665771000001</v>
      </c>
      <c r="J102">
        <v>1210.9250488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3.8285290000000001</v>
      </c>
      <c r="B103" s="1">
        <f>DATE(2010,5,4) + TIME(19,53,4)</f>
        <v>40302.828518518516</v>
      </c>
      <c r="C103">
        <v>80</v>
      </c>
      <c r="D103">
        <v>79.361618042000003</v>
      </c>
      <c r="E103">
        <v>50</v>
      </c>
      <c r="F103">
        <v>14.995014190999999</v>
      </c>
      <c r="G103">
        <v>1406.6812743999999</v>
      </c>
      <c r="H103">
        <v>1392.2944336</v>
      </c>
      <c r="I103">
        <v>1250.3681641000001</v>
      </c>
      <c r="J103">
        <v>1210.9266356999999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3.9445969999999999</v>
      </c>
      <c r="B104" s="1">
        <f>DATE(2010,5,4) + TIME(22,40,13)</f>
        <v>40302.944594907407</v>
      </c>
      <c r="C104">
        <v>80</v>
      </c>
      <c r="D104">
        <v>79.432037354000002</v>
      </c>
      <c r="E104">
        <v>50</v>
      </c>
      <c r="F104">
        <v>14.995042801</v>
      </c>
      <c r="G104">
        <v>1406.5061035000001</v>
      </c>
      <c r="H104">
        <v>1392.1260986</v>
      </c>
      <c r="I104">
        <v>1250.3698730000001</v>
      </c>
      <c r="J104">
        <v>1210.9282227000001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4.0625049999999998</v>
      </c>
      <c r="B105" s="1">
        <f>DATE(2010,5,5) + TIME(1,30,0)</f>
        <v>40303.0625</v>
      </c>
      <c r="C105">
        <v>80</v>
      </c>
      <c r="D105">
        <v>79.493759155000006</v>
      </c>
      <c r="E105">
        <v>50</v>
      </c>
      <c r="F105">
        <v>14.995070457000001</v>
      </c>
      <c r="G105">
        <v>1406.3295897999999</v>
      </c>
      <c r="H105">
        <v>1391.9554443</v>
      </c>
      <c r="I105">
        <v>1250.371582</v>
      </c>
      <c r="J105">
        <v>1210.9299315999999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4.180707</v>
      </c>
      <c r="B106" s="1">
        <f>DATE(2010,5,5) + TIME(4,20,13)</f>
        <v>40303.180706018517</v>
      </c>
      <c r="C106">
        <v>80</v>
      </c>
      <c r="D106">
        <v>79.547134399000001</v>
      </c>
      <c r="E106">
        <v>50</v>
      </c>
      <c r="F106">
        <v>14.995098113999999</v>
      </c>
      <c r="G106">
        <v>1406.1555175999999</v>
      </c>
      <c r="H106">
        <v>1391.7862548999999</v>
      </c>
      <c r="I106">
        <v>1250.3732910000001</v>
      </c>
      <c r="J106">
        <v>1210.9315185999999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4.2994279999999998</v>
      </c>
      <c r="B107" s="1">
        <f>DATE(2010,5,5) + TIME(7,11,10)</f>
        <v>40303.299421296295</v>
      </c>
      <c r="C107">
        <v>80</v>
      </c>
      <c r="D107">
        <v>79.593368530000006</v>
      </c>
      <c r="E107">
        <v>50</v>
      </c>
      <c r="F107">
        <v>14.995124817000001</v>
      </c>
      <c r="G107">
        <v>1405.9858397999999</v>
      </c>
      <c r="H107">
        <v>1391.6207274999999</v>
      </c>
      <c r="I107">
        <v>1250.375</v>
      </c>
      <c r="J107">
        <v>1210.9332274999999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4.4186449999999997</v>
      </c>
      <c r="B108" s="1">
        <f>DATE(2010,5,5) + TIME(10,2,50)</f>
        <v>40303.418634259258</v>
      </c>
      <c r="C108">
        <v>80</v>
      </c>
      <c r="D108">
        <v>79.633407593000001</v>
      </c>
      <c r="E108">
        <v>50</v>
      </c>
      <c r="F108">
        <v>14.99515152</v>
      </c>
      <c r="G108">
        <v>1405.8199463000001</v>
      </c>
      <c r="H108">
        <v>1391.458374</v>
      </c>
      <c r="I108">
        <v>1250.3765868999999</v>
      </c>
      <c r="J108">
        <v>1210.9348144999999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4.5384019999999996</v>
      </c>
      <c r="B109" s="1">
        <f>DATE(2010,5,5) + TIME(12,55,17)</f>
        <v>40303.538391203707</v>
      </c>
      <c r="C109">
        <v>80</v>
      </c>
      <c r="D109">
        <v>79.668083190999994</v>
      </c>
      <c r="E109">
        <v>50</v>
      </c>
      <c r="F109">
        <v>14.995177268999999</v>
      </c>
      <c r="G109">
        <v>1405.6577147999999</v>
      </c>
      <c r="H109">
        <v>1391.2991943</v>
      </c>
      <c r="I109">
        <v>1250.3782959</v>
      </c>
      <c r="J109">
        <v>1210.9364014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4.6588799999999999</v>
      </c>
      <c r="B110" s="1">
        <f>DATE(2010,5,5) + TIME(15,48,47)</f>
        <v>40303.658877314818</v>
      </c>
      <c r="C110">
        <v>80</v>
      </c>
      <c r="D110">
        <v>79.698150635000005</v>
      </c>
      <c r="E110">
        <v>50</v>
      </c>
      <c r="F110">
        <v>14.995203018</v>
      </c>
      <c r="G110">
        <v>1405.4989014</v>
      </c>
      <c r="H110">
        <v>1391.1429443</v>
      </c>
      <c r="I110">
        <v>1250.3800048999999</v>
      </c>
      <c r="J110">
        <v>1210.9381103999999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4.7802259999999999</v>
      </c>
      <c r="B111" s="1">
        <f>DATE(2010,5,5) + TIME(18,43,31)</f>
        <v>40303.780219907407</v>
      </c>
      <c r="C111">
        <v>80</v>
      </c>
      <c r="D111">
        <v>79.724243164000001</v>
      </c>
      <c r="E111">
        <v>50</v>
      </c>
      <c r="F111">
        <v>14.995227814</v>
      </c>
      <c r="G111">
        <v>1405.3431396000001</v>
      </c>
      <c r="H111">
        <v>1390.9892577999999</v>
      </c>
      <c r="I111">
        <v>1250.3817139</v>
      </c>
      <c r="J111">
        <v>1210.9396973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4.9026360000000002</v>
      </c>
      <c r="B112" s="1">
        <f>DATE(2010,5,5) + TIME(21,39,47)</f>
        <v>40303.902627314812</v>
      </c>
      <c r="C112">
        <v>80</v>
      </c>
      <c r="D112">
        <v>79.746902465999995</v>
      </c>
      <c r="E112">
        <v>50</v>
      </c>
      <c r="F112">
        <v>14.995252609</v>
      </c>
      <c r="G112">
        <v>1405.1900635</v>
      </c>
      <c r="H112">
        <v>1390.8381348</v>
      </c>
      <c r="I112">
        <v>1250.3834228999999</v>
      </c>
      <c r="J112">
        <v>1210.9414062000001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5.0262820000000001</v>
      </c>
      <c r="B113" s="1">
        <f>DATE(2010,5,6) + TIME(0,37,50)</f>
        <v>40304.026273148149</v>
      </c>
      <c r="C113">
        <v>80</v>
      </c>
      <c r="D113">
        <v>79.766601562000005</v>
      </c>
      <c r="E113">
        <v>50</v>
      </c>
      <c r="F113">
        <v>14.995276451000001</v>
      </c>
      <c r="G113">
        <v>1405.0393065999999</v>
      </c>
      <c r="H113">
        <v>1390.6889647999999</v>
      </c>
      <c r="I113">
        <v>1250.3851318</v>
      </c>
      <c r="J113">
        <v>1210.9429932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5.1513400000000003</v>
      </c>
      <c r="B114" s="1">
        <f>DATE(2010,5,6) + TIME(3,37,55)</f>
        <v>40304.151331018518</v>
      </c>
      <c r="C114">
        <v>80</v>
      </c>
      <c r="D114">
        <v>79.783737183</v>
      </c>
      <c r="E114">
        <v>50</v>
      </c>
      <c r="F114">
        <v>14.995301247</v>
      </c>
      <c r="G114">
        <v>1404.890625</v>
      </c>
      <c r="H114">
        <v>1390.541626</v>
      </c>
      <c r="I114">
        <v>1250.3868408000001</v>
      </c>
      <c r="J114">
        <v>1210.9447021000001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5.2779889999999998</v>
      </c>
      <c r="B115" s="1">
        <f>DATE(2010,5,6) + TIME(6,40,18)</f>
        <v>40304.277986111112</v>
      </c>
      <c r="C115">
        <v>80</v>
      </c>
      <c r="D115">
        <v>79.798645019999995</v>
      </c>
      <c r="E115">
        <v>50</v>
      </c>
      <c r="F115">
        <v>14.995325089</v>
      </c>
      <c r="G115">
        <v>1404.7436522999999</v>
      </c>
      <c r="H115">
        <v>1390.3959961</v>
      </c>
      <c r="I115">
        <v>1250.3885498</v>
      </c>
      <c r="J115">
        <v>1210.9464111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5.4064129999999997</v>
      </c>
      <c r="B116" s="1">
        <f>DATE(2010,5,6) + TIME(9,45,14)</f>
        <v>40304.406412037039</v>
      </c>
      <c r="C116">
        <v>80</v>
      </c>
      <c r="D116">
        <v>79.811614989999995</v>
      </c>
      <c r="E116">
        <v>50</v>
      </c>
      <c r="F116">
        <v>14.99534893</v>
      </c>
      <c r="G116">
        <v>1404.5982666</v>
      </c>
      <c r="H116">
        <v>1390.2517089999999</v>
      </c>
      <c r="I116">
        <v>1250.3902588000001</v>
      </c>
      <c r="J116">
        <v>1210.9481201000001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5.5368060000000003</v>
      </c>
      <c r="B117" s="1">
        <f>DATE(2010,5,6) + TIME(12,53,0)</f>
        <v>40304.536805555559</v>
      </c>
      <c r="C117">
        <v>80</v>
      </c>
      <c r="D117">
        <v>79.822914123999993</v>
      </c>
      <c r="E117">
        <v>50</v>
      </c>
      <c r="F117">
        <v>14.995371819000001</v>
      </c>
      <c r="G117">
        <v>1404.4541016000001</v>
      </c>
      <c r="H117">
        <v>1390.1085204999999</v>
      </c>
      <c r="I117">
        <v>1250.3920897999999</v>
      </c>
      <c r="J117">
        <v>1210.9498291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5.6693660000000001</v>
      </c>
      <c r="B118" s="1">
        <f>DATE(2010,5,6) + TIME(16,3,53)</f>
        <v>40304.669363425928</v>
      </c>
      <c r="C118">
        <v>80</v>
      </c>
      <c r="D118">
        <v>79.832748413000004</v>
      </c>
      <c r="E118">
        <v>50</v>
      </c>
      <c r="F118">
        <v>14.99539566</v>
      </c>
      <c r="G118">
        <v>1404.3111572</v>
      </c>
      <c r="H118">
        <v>1389.9663086</v>
      </c>
      <c r="I118">
        <v>1250.3937988</v>
      </c>
      <c r="J118">
        <v>1210.9515381000001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5.8043079999999998</v>
      </c>
      <c r="B119" s="1">
        <f>DATE(2010,5,6) + TIME(19,18,12)</f>
        <v>40304.804305555554</v>
      </c>
      <c r="C119">
        <v>80</v>
      </c>
      <c r="D119">
        <v>79.841323853000006</v>
      </c>
      <c r="E119">
        <v>50</v>
      </c>
      <c r="F119">
        <v>14.995418549</v>
      </c>
      <c r="G119">
        <v>1404.1688231999999</v>
      </c>
      <c r="H119">
        <v>1389.8249512</v>
      </c>
      <c r="I119">
        <v>1250.3956298999999</v>
      </c>
      <c r="J119">
        <v>1210.9532471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5.9418569999999997</v>
      </c>
      <c r="B120" s="1">
        <f>DATE(2010,5,6) + TIME(22,36,16)</f>
        <v>40304.941851851851</v>
      </c>
      <c r="C120">
        <v>80</v>
      </c>
      <c r="D120">
        <v>79.848785399999997</v>
      </c>
      <c r="E120">
        <v>50</v>
      </c>
      <c r="F120">
        <v>14.995442389999999</v>
      </c>
      <c r="G120">
        <v>1404.0272216999999</v>
      </c>
      <c r="H120">
        <v>1389.684082</v>
      </c>
      <c r="I120">
        <v>1250.3974608999999</v>
      </c>
      <c r="J120">
        <v>1210.9550781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6.0823090000000004</v>
      </c>
      <c r="B121" s="1">
        <f>DATE(2010,5,7) + TIME(1,58,31)</f>
        <v>40305.082303240742</v>
      </c>
      <c r="C121">
        <v>80</v>
      </c>
      <c r="D121">
        <v>79.855293274000005</v>
      </c>
      <c r="E121">
        <v>50</v>
      </c>
      <c r="F121">
        <v>14.995465278999999</v>
      </c>
      <c r="G121">
        <v>1403.8861084</v>
      </c>
      <c r="H121">
        <v>1389.5437012</v>
      </c>
      <c r="I121">
        <v>1250.3992920000001</v>
      </c>
      <c r="J121">
        <v>1210.9569091999999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6.2257319999999998</v>
      </c>
      <c r="B122" s="1">
        <f>DATE(2010,5,7) + TIME(5,25,3)</f>
        <v>40305.225729166668</v>
      </c>
      <c r="C122">
        <v>80</v>
      </c>
      <c r="D122">
        <v>79.860961914000001</v>
      </c>
      <c r="E122">
        <v>50</v>
      </c>
      <c r="F122">
        <v>14.995488167</v>
      </c>
      <c r="G122">
        <v>1403.7449951000001</v>
      </c>
      <c r="H122">
        <v>1389.4033202999999</v>
      </c>
      <c r="I122">
        <v>1250.4012451000001</v>
      </c>
      <c r="J122">
        <v>1210.9587402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6.3722120000000002</v>
      </c>
      <c r="B123" s="1">
        <f>DATE(2010,5,7) + TIME(8,55,59)</f>
        <v>40305.372210648151</v>
      </c>
      <c r="C123">
        <v>80</v>
      </c>
      <c r="D123">
        <v>79.865898131999998</v>
      </c>
      <c r="E123">
        <v>50</v>
      </c>
      <c r="F123">
        <v>14.995512009</v>
      </c>
      <c r="G123">
        <v>1403.604126</v>
      </c>
      <c r="H123">
        <v>1389.2631836</v>
      </c>
      <c r="I123">
        <v>1250.4031981999999</v>
      </c>
      <c r="J123">
        <v>1210.9606934000001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6.522017</v>
      </c>
      <c r="B124" s="1">
        <f>DATE(2010,5,7) + TIME(12,31,42)</f>
        <v>40305.522013888891</v>
      </c>
      <c r="C124">
        <v>80</v>
      </c>
      <c r="D124">
        <v>79.870193481000001</v>
      </c>
      <c r="E124">
        <v>50</v>
      </c>
      <c r="F124">
        <v>14.995534897000001</v>
      </c>
      <c r="G124">
        <v>1403.4632568</v>
      </c>
      <c r="H124">
        <v>1389.1231689000001</v>
      </c>
      <c r="I124">
        <v>1250.4051514</v>
      </c>
      <c r="J124">
        <v>1210.9625243999999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6.6754439999999997</v>
      </c>
      <c r="B125" s="1">
        <f>DATE(2010,5,7) + TIME(16,12,38)</f>
        <v>40305.675439814811</v>
      </c>
      <c r="C125">
        <v>80</v>
      </c>
      <c r="D125">
        <v>79.873939514</v>
      </c>
      <c r="E125">
        <v>50</v>
      </c>
      <c r="F125">
        <v>14.995558739</v>
      </c>
      <c r="G125">
        <v>1403.3223877</v>
      </c>
      <c r="H125">
        <v>1388.9830322</v>
      </c>
      <c r="I125">
        <v>1250.4071045000001</v>
      </c>
      <c r="J125">
        <v>1210.9644774999999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6.8328129999999998</v>
      </c>
      <c r="B126" s="1">
        <f>DATE(2010,5,7) + TIME(19,59,15)</f>
        <v>40305.832812499997</v>
      </c>
      <c r="C126">
        <v>80</v>
      </c>
      <c r="D126">
        <v>79.877212524000001</v>
      </c>
      <c r="E126">
        <v>50</v>
      </c>
      <c r="F126">
        <v>14.995581627</v>
      </c>
      <c r="G126">
        <v>1403.1812743999999</v>
      </c>
      <c r="H126">
        <v>1388.8426514</v>
      </c>
      <c r="I126">
        <v>1250.4091797000001</v>
      </c>
      <c r="J126">
        <v>1210.9665527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6.9944829999999998</v>
      </c>
      <c r="B127" s="1">
        <f>DATE(2010,5,7) + TIME(23,52,3)</f>
        <v>40305.994479166664</v>
      </c>
      <c r="C127">
        <v>80</v>
      </c>
      <c r="D127">
        <v>79.880065918</v>
      </c>
      <c r="E127">
        <v>50</v>
      </c>
      <c r="F127">
        <v>14.995605468999999</v>
      </c>
      <c r="G127">
        <v>1403.0395507999999</v>
      </c>
      <c r="H127">
        <v>1388.7017822</v>
      </c>
      <c r="I127">
        <v>1250.4112548999999</v>
      </c>
      <c r="J127">
        <v>1210.9686279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7.1608510000000001</v>
      </c>
      <c r="B128" s="1">
        <f>DATE(2010,5,8) + TIME(3,51,37)</f>
        <v>40306.160844907405</v>
      </c>
      <c r="C128">
        <v>80</v>
      </c>
      <c r="D128">
        <v>79.882560729999994</v>
      </c>
      <c r="E128">
        <v>50</v>
      </c>
      <c r="F128">
        <v>14.995629311</v>
      </c>
      <c r="G128">
        <v>1402.8972168</v>
      </c>
      <c r="H128">
        <v>1388.5603027</v>
      </c>
      <c r="I128">
        <v>1250.4134521000001</v>
      </c>
      <c r="J128">
        <v>1210.9707031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7.3321889999999996</v>
      </c>
      <c r="B129" s="1">
        <f>DATE(2010,5,8) + TIME(7,58,21)</f>
        <v>40306.332187499997</v>
      </c>
      <c r="C129">
        <v>80</v>
      </c>
      <c r="D129">
        <v>79.884750366000006</v>
      </c>
      <c r="E129">
        <v>50</v>
      </c>
      <c r="F129">
        <v>14.995653151999999</v>
      </c>
      <c r="G129">
        <v>1402.7539062000001</v>
      </c>
      <c r="H129">
        <v>1388.4179687999999</v>
      </c>
      <c r="I129">
        <v>1250.4156493999999</v>
      </c>
      <c r="J129">
        <v>1210.9729004000001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7.5087109999999999</v>
      </c>
      <c r="B130" s="1">
        <f>DATE(2010,5,8) + TIME(12,12,32)</f>
        <v>40306.508703703701</v>
      </c>
      <c r="C130">
        <v>80</v>
      </c>
      <c r="D130">
        <v>79.886657714999998</v>
      </c>
      <c r="E130">
        <v>50</v>
      </c>
      <c r="F130">
        <v>14.995676994</v>
      </c>
      <c r="G130">
        <v>1402.6094971</v>
      </c>
      <c r="H130">
        <v>1388.2746582</v>
      </c>
      <c r="I130">
        <v>1250.4179687999999</v>
      </c>
      <c r="J130">
        <v>1210.9750977000001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7.69062</v>
      </c>
      <c r="B131" s="1">
        <f>DATE(2010,5,8) + TIME(16,34,29)</f>
        <v>40306.690613425926</v>
      </c>
      <c r="C131">
        <v>80</v>
      </c>
      <c r="D131">
        <v>79.888336182000003</v>
      </c>
      <c r="E131">
        <v>50</v>
      </c>
      <c r="F131">
        <v>14.99570179</v>
      </c>
      <c r="G131">
        <v>1402.4639893000001</v>
      </c>
      <c r="H131">
        <v>1388.1303711</v>
      </c>
      <c r="I131">
        <v>1250.4202881000001</v>
      </c>
      <c r="J131">
        <v>1210.9772949000001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7.8781249999999998</v>
      </c>
      <c r="B132" s="1">
        <f>DATE(2010,5,8) + TIME(21,4,29)</f>
        <v>40306.878113425926</v>
      </c>
      <c r="C132">
        <v>80</v>
      </c>
      <c r="D132">
        <v>79.889808654999996</v>
      </c>
      <c r="E132">
        <v>50</v>
      </c>
      <c r="F132">
        <v>14.995725631999999</v>
      </c>
      <c r="G132">
        <v>1402.3175048999999</v>
      </c>
      <c r="H132">
        <v>1387.9849853999999</v>
      </c>
      <c r="I132">
        <v>1250.4226074000001</v>
      </c>
      <c r="J132">
        <v>1210.9797363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8.0658600000000007</v>
      </c>
      <c r="B133" s="1">
        <f>DATE(2010,5,9) + TIME(1,34,50)</f>
        <v>40307.06585648148</v>
      </c>
      <c r="C133">
        <v>80</v>
      </c>
      <c r="D133">
        <v>79.891075134000005</v>
      </c>
      <c r="E133">
        <v>50</v>
      </c>
      <c r="F133">
        <v>14.995749474</v>
      </c>
      <c r="G133">
        <v>1402.1696777</v>
      </c>
      <c r="H133">
        <v>1387.838501</v>
      </c>
      <c r="I133">
        <v>1250.4250488</v>
      </c>
      <c r="J133">
        <v>1210.9820557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8.2537129999999994</v>
      </c>
      <c r="B134" s="1">
        <f>DATE(2010,5,9) + TIME(6,5,20)</f>
        <v>40307.253703703704</v>
      </c>
      <c r="C134">
        <v>80</v>
      </c>
      <c r="D134">
        <v>79.892158507999994</v>
      </c>
      <c r="E134">
        <v>50</v>
      </c>
      <c r="F134">
        <v>14.995773314999999</v>
      </c>
      <c r="G134">
        <v>1402.0250243999999</v>
      </c>
      <c r="H134">
        <v>1387.6951904</v>
      </c>
      <c r="I134">
        <v>1250.4274902</v>
      </c>
      <c r="J134">
        <v>1210.9844971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8.4419950000000004</v>
      </c>
      <c r="B135" s="1">
        <f>DATE(2010,5,9) + TIME(10,36,28)</f>
        <v>40307.441990740743</v>
      </c>
      <c r="C135">
        <v>80</v>
      </c>
      <c r="D135">
        <v>79.893104553000001</v>
      </c>
      <c r="E135">
        <v>50</v>
      </c>
      <c r="F135">
        <v>14.995797157</v>
      </c>
      <c r="G135">
        <v>1401.8833007999999</v>
      </c>
      <c r="H135">
        <v>1387.5549315999999</v>
      </c>
      <c r="I135">
        <v>1250.4299315999999</v>
      </c>
      <c r="J135">
        <v>1210.9868164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8.6309799999999992</v>
      </c>
      <c r="B136" s="1">
        <f>DATE(2010,5,9) + TIME(15,8,36)</f>
        <v>40307.630972222221</v>
      </c>
      <c r="C136">
        <v>80</v>
      </c>
      <c r="D136">
        <v>79.893920898000005</v>
      </c>
      <c r="E136">
        <v>50</v>
      </c>
      <c r="F136">
        <v>14.995820045</v>
      </c>
      <c r="G136">
        <v>1401.7443848</v>
      </c>
      <c r="H136">
        <v>1387.4174805</v>
      </c>
      <c r="I136">
        <v>1250.4324951000001</v>
      </c>
      <c r="J136">
        <v>1210.9892577999999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8.8209610000000005</v>
      </c>
      <c r="B137" s="1">
        <f>DATE(2010,5,9) + TIME(19,42,11)</f>
        <v>40307.820960648147</v>
      </c>
      <c r="C137">
        <v>80</v>
      </c>
      <c r="D137">
        <v>79.894645690999994</v>
      </c>
      <c r="E137">
        <v>50</v>
      </c>
      <c r="F137">
        <v>14.995842934000001</v>
      </c>
      <c r="G137">
        <v>1401.6079102000001</v>
      </c>
      <c r="H137">
        <v>1387.2825928</v>
      </c>
      <c r="I137">
        <v>1250.4349365</v>
      </c>
      <c r="J137">
        <v>1210.9915771000001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9.0122450000000001</v>
      </c>
      <c r="B138" s="1">
        <f>DATE(2010,5,10) + TIME(0,17,37)</f>
        <v>40308.012233796297</v>
      </c>
      <c r="C138">
        <v>80</v>
      </c>
      <c r="D138">
        <v>79.895278931000007</v>
      </c>
      <c r="E138">
        <v>50</v>
      </c>
      <c r="F138">
        <v>14.995864868</v>
      </c>
      <c r="G138">
        <v>1401.4735106999999</v>
      </c>
      <c r="H138">
        <v>1387.1497803</v>
      </c>
      <c r="I138">
        <v>1250.4373779</v>
      </c>
      <c r="J138">
        <v>1210.9940185999999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9.2051180000000006</v>
      </c>
      <c r="B139" s="1">
        <f>DATE(2010,5,10) + TIME(4,55,22)</f>
        <v>40308.20511574074</v>
      </c>
      <c r="C139">
        <v>80</v>
      </c>
      <c r="D139">
        <v>79.895851135000001</v>
      </c>
      <c r="E139">
        <v>50</v>
      </c>
      <c r="F139">
        <v>14.995886802999999</v>
      </c>
      <c r="G139">
        <v>1401.3409423999999</v>
      </c>
      <c r="H139">
        <v>1387.0189209</v>
      </c>
      <c r="I139">
        <v>1250.4398193</v>
      </c>
      <c r="J139">
        <v>1210.9964600000001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9.3998699999999999</v>
      </c>
      <c r="B140" s="1">
        <f>DATE(2010,5,10) + TIME(9,35,48)</f>
        <v>40308.399861111109</v>
      </c>
      <c r="C140">
        <v>80</v>
      </c>
      <c r="D140">
        <v>79.896354674999998</v>
      </c>
      <c r="E140">
        <v>50</v>
      </c>
      <c r="F140">
        <v>14.995909691</v>
      </c>
      <c r="G140">
        <v>1401.2099608999999</v>
      </c>
      <c r="H140">
        <v>1386.8896483999999</v>
      </c>
      <c r="I140">
        <v>1250.4423827999999</v>
      </c>
      <c r="J140">
        <v>1210.9989014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9.5967929999999999</v>
      </c>
      <c r="B141" s="1">
        <f>DATE(2010,5,10) + TIME(14,19,22)</f>
        <v>40308.596782407411</v>
      </c>
      <c r="C141">
        <v>80</v>
      </c>
      <c r="D141">
        <v>79.896804810000006</v>
      </c>
      <c r="E141">
        <v>50</v>
      </c>
      <c r="F141">
        <v>14.995930672</v>
      </c>
      <c r="G141">
        <v>1401.0804443</v>
      </c>
      <c r="H141">
        <v>1386.7618408000001</v>
      </c>
      <c r="I141">
        <v>1250.4448242000001</v>
      </c>
      <c r="J141">
        <v>1211.0013428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9.7961919999999996</v>
      </c>
      <c r="B142" s="1">
        <f>DATE(2010,5,10) + TIME(19,6,31)</f>
        <v>40308.79619212963</v>
      </c>
      <c r="C142">
        <v>80</v>
      </c>
      <c r="D142">
        <v>79.897216796999999</v>
      </c>
      <c r="E142">
        <v>50</v>
      </c>
      <c r="F142">
        <v>14.995952605999999</v>
      </c>
      <c r="G142">
        <v>1400.9519043</v>
      </c>
      <c r="H142">
        <v>1386.6351318</v>
      </c>
      <c r="I142">
        <v>1250.4473877</v>
      </c>
      <c r="J142">
        <v>1211.0037841999999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9.9983810000000002</v>
      </c>
      <c r="B143" s="1">
        <f>DATE(2010,5,10) + TIME(23,57,40)</f>
        <v>40308.998379629629</v>
      </c>
      <c r="C143">
        <v>80</v>
      </c>
      <c r="D143">
        <v>79.897583007999998</v>
      </c>
      <c r="E143">
        <v>50</v>
      </c>
      <c r="F143">
        <v>14.995974541000001</v>
      </c>
      <c r="G143">
        <v>1400.8243408000001</v>
      </c>
      <c r="H143">
        <v>1386.5095214999999</v>
      </c>
      <c r="I143">
        <v>1250.4500731999999</v>
      </c>
      <c r="J143">
        <v>1211.0063477000001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10.203689000000001</v>
      </c>
      <c r="B144" s="1">
        <f>DATE(2010,5,11) + TIME(4,53,18)</f>
        <v>40309.203680555554</v>
      </c>
      <c r="C144">
        <v>80</v>
      </c>
      <c r="D144">
        <v>79.897918700999995</v>
      </c>
      <c r="E144">
        <v>50</v>
      </c>
      <c r="F144">
        <v>14.995995521999999</v>
      </c>
      <c r="G144">
        <v>1400.6975098</v>
      </c>
      <c r="H144">
        <v>1386.3846435999999</v>
      </c>
      <c r="I144">
        <v>1250.4526367000001</v>
      </c>
      <c r="J144">
        <v>1211.0089111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10.411827000000001</v>
      </c>
      <c r="B145" s="1">
        <f>DATE(2010,5,11) + TIME(9,53,1)</f>
        <v>40309.411817129629</v>
      </c>
      <c r="C145">
        <v>80</v>
      </c>
      <c r="D145">
        <v>79.898223877000007</v>
      </c>
      <c r="E145">
        <v>50</v>
      </c>
      <c r="F145">
        <v>14.996017456000001</v>
      </c>
      <c r="G145">
        <v>1400.5710449000001</v>
      </c>
      <c r="H145">
        <v>1386.260376</v>
      </c>
      <c r="I145">
        <v>1250.4553223</v>
      </c>
      <c r="J145">
        <v>1211.0114745999999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10.623115</v>
      </c>
      <c r="B146" s="1">
        <f>DATE(2010,5,11) + TIME(14,57,17)</f>
        <v>40309.623113425929</v>
      </c>
      <c r="C146">
        <v>80</v>
      </c>
      <c r="D146">
        <v>79.898498535000002</v>
      </c>
      <c r="E146">
        <v>50</v>
      </c>
      <c r="F146">
        <v>14.996038436999999</v>
      </c>
      <c r="G146">
        <v>1400.4454346</v>
      </c>
      <c r="H146">
        <v>1386.1368408000001</v>
      </c>
      <c r="I146">
        <v>1250.4580077999999</v>
      </c>
      <c r="J146">
        <v>1211.0141602000001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10.837914</v>
      </c>
      <c r="B147" s="1">
        <f>DATE(2010,5,11) + TIME(20,6,35)</f>
        <v>40309.837905092594</v>
      </c>
      <c r="C147">
        <v>80</v>
      </c>
      <c r="D147">
        <v>79.898757935000006</v>
      </c>
      <c r="E147">
        <v>50</v>
      </c>
      <c r="F147">
        <v>14.996059418</v>
      </c>
      <c r="G147">
        <v>1400.3203125</v>
      </c>
      <c r="H147">
        <v>1386.0139160000001</v>
      </c>
      <c r="I147">
        <v>1250.4606934000001</v>
      </c>
      <c r="J147">
        <v>1211.0167236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11.056642999999999</v>
      </c>
      <c r="B148" s="1">
        <f>DATE(2010,5,12) + TIME(1,21,33)</f>
        <v>40310.056631944448</v>
      </c>
      <c r="C148">
        <v>80</v>
      </c>
      <c r="D148">
        <v>79.898986816000004</v>
      </c>
      <c r="E148">
        <v>50</v>
      </c>
      <c r="F148">
        <v>14.996080399</v>
      </c>
      <c r="G148">
        <v>1400.1955565999999</v>
      </c>
      <c r="H148">
        <v>1385.8914795000001</v>
      </c>
      <c r="I148">
        <v>1250.463501</v>
      </c>
      <c r="J148">
        <v>1211.0195312000001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11.279619</v>
      </c>
      <c r="B149" s="1">
        <f>DATE(2010,5,12) + TIME(6,42,39)</f>
        <v>40310.279618055552</v>
      </c>
      <c r="C149">
        <v>80</v>
      </c>
      <c r="D149">
        <v>79.899200438999998</v>
      </c>
      <c r="E149">
        <v>50</v>
      </c>
      <c r="F149">
        <v>14.996102333</v>
      </c>
      <c r="G149">
        <v>1400.0709228999999</v>
      </c>
      <c r="H149">
        <v>1385.7691649999999</v>
      </c>
      <c r="I149">
        <v>1250.4663086</v>
      </c>
      <c r="J149">
        <v>1211.0222168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11.507253</v>
      </c>
      <c r="B150" s="1">
        <f>DATE(2010,5,12) + TIME(12,10,26)</f>
        <v>40310.507245370369</v>
      </c>
      <c r="C150">
        <v>80</v>
      </c>
      <c r="D150">
        <v>79.899398804</v>
      </c>
      <c r="E150">
        <v>50</v>
      </c>
      <c r="F150">
        <v>14.996123314</v>
      </c>
      <c r="G150">
        <v>1399.9461670000001</v>
      </c>
      <c r="H150">
        <v>1385.6469727000001</v>
      </c>
      <c r="I150">
        <v>1250.4692382999999</v>
      </c>
      <c r="J150">
        <v>1211.0250243999999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11.739993</v>
      </c>
      <c r="B151" s="1">
        <f>DATE(2010,5,12) + TIME(17,45,35)</f>
        <v>40310.739988425928</v>
      </c>
      <c r="C151">
        <v>80</v>
      </c>
      <c r="D151">
        <v>79.899581909000005</v>
      </c>
      <c r="E151">
        <v>50</v>
      </c>
      <c r="F151">
        <v>14.996144295000001</v>
      </c>
      <c r="G151">
        <v>1399.8212891000001</v>
      </c>
      <c r="H151">
        <v>1385.5245361</v>
      </c>
      <c r="I151">
        <v>1250.472168</v>
      </c>
      <c r="J151">
        <v>1211.0279541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11.978344999999999</v>
      </c>
      <c r="B152" s="1">
        <f>DATE(2010,5,12) + TIME(23,28,49)</f>
        <v>40310.978344907409</v>
      </c>
      <c r="C152">
        <v>80</v>
      </c>
      <c r="D152">
        <v>79.899749756000006</v>
      </c>
      <c r="E152">
        <v>50</v>
      </c>
      <c r="F152">
        <v>14.996166229</v>
      </c>
      <c r="G152">
        <v>1399.6960449000001</v>
      </c>
      <c r="H152">
        <v>1385.4019774999999</v>
      </c>
      <c r="I152">
        <v>1250.4752197</v>
      </c>
      <c r="J152">
        <v>1211.0308838000001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12.222486999999999</v>
      </c>
      <c r="B153" s="1">
        <f>DATE(2010,5,13) + TIME(5,20,22)</f>
        <v>40311.22247685185</v>
      </c>
      <c r="C153">
        <v>80</v>
      </c>
      <c r="D153">
        <v>79.899909973000007</v>
      </c>
      <c r="E153">
        <v>50</v>
      </c>
      <c r="F153">
        <v>14.99618721</v>
      </c>
      <c r="G153">
        <v>1399.5701904</v>
      </c>
      <c r="H153">
        <v>1385.2788086</v>
      </c>
      <c r="I153">
        <v>1250.4782714999999</v>
      </c>
      <c r="J153">
        <v>1211.0338135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12.472543</v>
      </c>
      <c r="B154" s="1">
        <f>DATE(2010,5,13) + TIME(11,20,27)</f>
        <v>40311.472534722219</v>
      </c>
      <c r="C154">
        <v>80</v>
      </c>
      <c r="D154">
        <v>79.900054932000003</v>
      </c>
      <c r="E154">
        <v>50</v>
      </c>
      <c r="F154">
        <v>14.996209145</v>
      </c>
      <c r="G154">
        <v>1399.4438477000001</v>
      </c>
      <c r="H154">
        <v>1385.1551514</v>
      </c>
      <c r="I154">
        <v>1250.4814452999999</v>
      </c>
      <c r="J154">
        <v>1211.0368652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12.728683</v>
      </c>
      <c r="B155" s="1">
        <f>DATE(2010,5,13) + TIME(17,29,18)</f>
        <v>40311.728680555556</v>
      </c>
      <c r="C155">
        <v>80</v>
      </c>
      <c r="D155">
        <v>79.900192261000001</v>
      </c>
      <c r="E155">
        <v>50</v>
      </c>
      <c r="F155">
        <v>14.996231078999999</v>
      </c>
      <c r="G155">
        <v>1399.3167725000001</v>
      </c>
      <c r="H155">
        <v>1385.0310059000001</v>
      </c>
      <c r="I155">
        <v>1250.4846190999999</v>
      </c>
      <c r="J155">
        <v>1211.0400391000001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12.988292</v>
      </c>
      <c r="B156" s="1">
        <f>DATE(2010,5,13) + TIME(23,43,8)</f>
        <v>40311.988287037035</v>
      </c>
      <c r="C156">
        <v>80</v>
      </c>
      <c r="D156">
        <v>79.900314331000004</v>
      </c>
      <c r="E156">
        <v>50</v>
      </c>
      <c r="F156">
        <v>14.99625206</v>
      </c>
      <c r="G156">
        <v>1399.1890868999999</v>
      </c>
      <c r="H156">
        <v>1384.9063721</v>
      </c>
      <c r="I156">
        <v>1250.4879149999999</v>
      </c>
      <c r="J156">
        <v>1211.0432129000001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13.248189</v>
      </c>
      <c r="B157" s="1">
        <f>DATE(2010,5,14) + TIME(5,57,23)</f>
        <v>40312.248182870368</v>
      </c>
      <c r="C157">
        <v>80</v>
      </c>
      <c r="D157">
        <v>79.900428771999998</v>
      </c>
      <c r="E157">
        <v>50</v>
      </c>
      <c r="F157">
        <v>14.996273993999999</v>
      </c>
      <c r="G157">
        <v>1399.0621338000001</v>
      </c>
      <c r="H157">
        <v>1384.7824707</v>
      </c>
      <c r="I157">
        <v>1250.4913329999999</v>
      </c>
      <c r="J157">
        <v>1211.0465088000001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13.508741000000001</v>
      </c>
      <c r="B158" s="1">
        <f>DATE(2010,5,14) + TIME(12,12,35)</f>
        <v>40312.508738425924</v>
      </c>
      <c r="C158">
        <v>80</v>
      </c>
      <c r="D158">
        <v>79.900535583000007</v>
      </c>
      <c r="E158">
        <v>50</v>
      </c>
      <c r="F158">
        <v>14.996294975</v>
      </c>
      <c r="G158">
        <v>1398.9375</v>
      </c>
      <c r="H158">
        <v>1384.6608887</v>
      </c>
      <c r="I158">
        <v>1250.4946289</v>
      </c>
      <c r="J158">
        <v>1211.0496826000001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13.770417999999999</v>
      </c>
      <c r="B159" s="1">
        <f>DATE(2010,5,14) + TIME(18,29,24)</f>
        <v>40312.770416666666</v>
      </c>
      <c r="C159">
        <v>80</v>
      </c>
      <c r="D159">
        <v>79.900627135999997</v>
      </c>
      <c r="E159">
        <v>50</v>
      </c>
      <c r="F159">
        <v>14.996315956</v>
      </c>
      <c r="G159">
        <v>1398.8149414</v>
      </c>
      <c r="H159">
        <v>1384.5413818</v>
      </c>
      <c r="I159">
        <v>1250.4979248</v>
      </c>
      <c r="J159">
        <v>1211.0529785000001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14.033635</v>
      </c>
      <c r="B160" s="1">
        <f>DATE(2010,5,15) + TIME(0,48,26)</f>
        <v>40313.033634259256</v>
      </c>
      <c r="C160">
        <v>80</v>
      </c>
      <c r="D160">
        <v>79.900718689000001</v>
      </c>
      <c r="E160">
        <v>50</v>
      </c>
      <c r="F160">
        <v>14.996335983</v>
      </c>
      <c r="G160">
        <v>1398.6939697</v>
      </c>
      <c r="H160">
        <v>1384.4235839999999</v>
      </c>
      <c r="I160">
        <v>1250.5013428</v>
      </c>
      <c r="J160">
        <v>1211.0562743999999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14.298802999999999</v>
      </c>
      <c r="B161" s="1">
        <f>DATE(2010,5,15) + TIME(7,10,16)</f>
        <v>40313.298796296294</v>
      </c>
      <c r="C161">
        <v>80</v>
      </c>
      <c r="D161">
        <v>79.900794982999997</v>
      </c>
      <c r="E161">
        <v>50</v>
      </c>
      <c r="F161">
        <v>14.996356964</v>
      </c>
      <c r="G161">
        <v>1398.5745850000001</v>
      </c>
      <c r="H161">
        <v>1384.3073730000001</v>
      </c>
      <c r="I161">
        <v>1250.5047606999999</v>
      </c>
      <c r="J161">
        <v>1211.0595702999999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14.566336</v>
      </c>
      <c r="B162" s="1">
        <f>DATE(2010,5,15) + TIME(13,35,31)</f>
        <v>40313.566331018519</v>
      </c>
      <c r="C162">
        <v>80</v>
      </c>
      <c r="D162">
        <v>79.900871276999993</v>
      </c>
      <c r="E162">
        <v>50</v>
      </c>
      <c r="F162">
        <v>14.996376991</v>
      </c>
      <c r="G162">
        <v>1398.456543</v>
      </c>
      <c r="H162">
        <v>1384.1923827999999</v>
      </c>
      <c r="I162">
        <v>1250.5081786999999</v>
      </c>
      <c r="J162">
        <v>1211.0628661999999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14.836658</v>
      </c>
      <c r="B163" s="1">
        <f>DATE(2010,5,15) + TIME(20,4,47)</f>
        <v>40313.836655092593</v>
      </c>
      <c r="C163">
        <v>80</v>
      </c>
      <c r="D163">
        <v>79.900939941000004</v>
      </c>
      <c r="E163">
        <v>50</v>
      </c>
      <c r="F163">
        <v>14.996397018</v>
      </c>
      <c r="G163">
        <v>1398.3394774999999</v>
      </c>
      <c r="H163">
        <v>1384.0786132999999</v>
      </c>
      <c r="I163">
        <v>1250.5115966999999</v>
      </c>
      <c r="J163">
        <v>1211.0661620999999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15.110188000000001</v>
      </c>
      <c r="B164" s="1">
        <f>DATE(2010,5,16) + TIME(2,38,40)</f>
        <v>40314.110185185185</v>
      </c>
      <c r="C164">
        <v>80</v>
      </c>
      <c r="D164">
        <v>79.901008606000005</v>
      </c>
      <c r="E164">
        <v>50</v>
      </c>
      <c r="F164">
        <v>14.996417045999999</v>
      </c>
      <c r="G164">
        <v>1398.2232666</v>
      </c>
      <c r="H164">
        <v>1383.9656981999999</v>
      </c>
      <c r="I164">
        <v>1250.5151367000001</v>
      </c>
      <c r="J164">
        <v>1211.0695800999999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15.386281</v>
      </c>
      <c r="B165" s="1">
        <f>DATE(2010,5,16) + TIME(9,16,14)</f>
        <v>40314.386273148149</v>
      </c>
      <c r="C165">
        <v>80</v>
      </c>
      <c r="D165">
        <v>79.901069641000007</v>
      </c>
      <c r="E165">
        <v>50</v>
      </c>
      <c r="F165">
        <v>14.996437072999999</v>
      </c>
      <c r="G165">
        <v>1398.1077881000001</v>
      </c>
      <c r="H165">
        <v>1383.8535156</v>
      </c>
      <c r="I165">
        <v>1250.5186768000001</v>
      </c>
      <c r="J165">
        <v>1211.0729980000001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15.665353</v>
      </c>
      <c r="B166" s="1">
        <f>DATE(2010,5,16) + TIME(15,58,6)</f>
        <v>40314.665347222224</v>
      </c>
      <c r="C166">
        <v>80</v>
      </c>
      <c r="D166">
        <v>79.901130675999994</v>
      </c>
      <c r="E166">
        <v>50</v>
      </c>
      <c r="F166">
        <v>14.996456146</v>
      </c>
      <c r="G166">
        <v>1397.9931641000001</v>
      </c>
      <c r="H166">
        <v>1383.7423096</v>
      </c>
      <c r="I166">
        <v>1250.5222168</v>
      </c>
      <c r="J166">
        <v>1211.0764160000001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15.947827</v>
      </c>
      <c r="B167" s="1">
        <f>DATE(2010,5,16) + TIME(22,44,52)</f>
        <v>40314.947824074072</v>
      </c>
      <c r="C167">
        <v>80</v>
      </c>
      <c r="D167">
        <v>79.901191710999996</v>
      </c>
      <c r="E167">
        <v>50</v>
      </c>
      <c r="F167">
        <v>14.996476173</v>
      </c>
      <c r="G167">
        <v>1397.8792725000001</v>
      </c>
      <c r="H167">
        <v>1383.6318358999999</v>
      </c>
      <c r="I167">
        <v>1250.5258789</v>
      </c>
      <c r="J167">
        <v>1211.0799560999999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16.23414</v>
      </c>
      <c r="B168" s="1">
        <f>DATE(2010,5,17) + TIME(5,37,9)</f>
        <v>40315.234131944446</v>
      </c>
      <c r="C168">
        <v>80</v>
      </c>
      <c r="D168">
        <v>79.901245117000002</v>
      </c>
      <c r="E168">
        <v>50</v>
      </c>
      <c r="F168">
        <v>14.996495247</v>
      </c>
      <c r="G168">
        <v>1397.7661132999999</v>
      </c>
      <c r="H168">
        <v>1383.5220947</v>
      </c>
      <c r="I168">
        <v>1250.5295410000001</v>
      </c>
      <c r="J168">
        <v>1211.0834961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16.524813000000002</v>
      </c>
      <c r="B169" s="1">
        <f>DATE(2010,5,17) + TIME(12,35,43)</f>
        <v>40315.52480324074</v>
      </c>
      <c r="C169">
        <v>80</v>
      </c>
      <c r="D169">
        <v>79.901290893999999</v>
      </c>
      <c r="E169">
        <v>50</v>
      </c>
      <c r="F169">
        <v>14.996515274</v>
      </c>
      <c r="G169">
        <v>1397.6533202999999</v>
      </c>
      <c r="H169">
        <v>1383.4128418</v>
      </c>
      <c r="I169">
        <v>1250.5332031</v>
      </c>
      <c r="J169">
        <v>1211.0871582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16.820353000000001</v>
      </c>
      <c r="B170" s="1">
        <f>DATE(2010,5,17) + TIME(19,41,18)</f>
        <v>40315.820347222223</v>
      </c>
      <c r="C170">
        <v>80</v>
      </c>
      <c r="D170">
        <v>79.901344299000002</v>
      </c>
      <c r="E170">
        <v>50</v>
      </c>
      <c r="F170">
        <v>14.996534348000001</v>
      </c>
      <c r="G170">
        <v>1397.5406493999999</v>
      </c>
      <c r="H170">
        <v>1383.3038329999999</v>
      </c>
      <c r="I170">
        <v>1250.5369873</v>
      </c>
      <c r="J170">
        <v>1211.0908202999999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17.121210000000001</v>
      </c>
      <c r="B171" s="1">
        <f>DATE(2010,5,18) + TIME(2,54,32)</f>
        <v>40316.121203703704</v>
      </c>
      <c r="C171">
        <v>80</v>
      </c>
      <c r="D171">
        <v>79.901390075999998</v>
      </c>
      <c r="E171">
        <v>50</v>
      </c>
      <c r="F171">
        <v>14.996554375000001</v>
      </c>
      <c r="G171">
        <v>1397.4281006000001</v>
      </c>
      <c r="H171">
        <v>1383.1949463000001</v>
      </c>
      <c r="I171">
        <v>1250.5408935999999</v>
      </c>
      <c r="J171">
        <v>1211.0944824000001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17.427931000000001</v>
      </c>
      <c r="B172" s="1">
        <f>DATE(2010,5,18) + TIME(10,16,13)</f>
        <v>40316.427928240744</v>
      </c>
      <c r="C172">
        <v>80</v>
      </c>
      <c r="D172">
        <v>79.901435852000006</v>
      </c>
      <c r="E172">
        <v>50</v>
      </c>
      <c r="F172">
        <v>14.996573447999999</v>
      </c>
      <c r="G172">
        <v>1397.3154297000001</v>
      </c>
      <c r="H172">
        <v>1383.0859375</v>
      </c>
      <c r="I172">
        <v>1250.5447998</v>
      </c>
      <c r="J172">
        <v>1211.0982666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17.741137999999999</v>
      </c>
      <c r="B173" s="1">
        <f>DATE(2010,5,18) + TIME(17,47,14)</f>
        <v>40316.74113425926</v>
      </c>
      <c r="C173">
        <v>80</v>
      </c>
      <c r="D173">
        <v>79.901481627999999</v>
      </c>
      <c r="E173">
        <v>50</v>
      </c>
      <c r="F173">
        <v>14.996593474999999</v>
      </c>
      <c r="G173">
        <v>1397.2026367000001</v>
      </c>
      <c r="H173">
        <v>1382.9769286999999</v>
      </c>
      <c r="I173">
        <v>1250.5487060999999</v>
      </c>
      <c r="J173">
        <v>1211.1021728999999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18.061195000000001</v>
      </c>
      <c r="B174" s="1">
        <f>DATE(2010,5,19) + TIME(1,28,7)</f>
        <v>40317.061192129629</v>
      </c>
      <c r="C174">
        <v>80</v>
      </c>
      <c r="D174">
        <v>79.901527404999996</v>
      </c>
      <c r="E174">
        <v>50</v>
      </c>
      <c r="F174">
        <v>14.996612549</v>
      </c>
      <c r="G174">
        <v>1397.0892334</v>
      </c>
      <c r="H174">
        <v>1382.8674315999999</v>
      </c>
      <c r="I174">
        <v>1250.5528564000001</v>
      </c>
      <c r="J174">
        <v>1211.1060791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18.388058999999998</v>
      </c>
      <c r="B175" s="1">
        <f>DATE(2010,5,19) + TIME(9,18,48)</f>
        <v>40317.388055555559</v>
      </c>
      <c r="C175">
        <v>80</v>
      </c>
      <c r="D175">
        <v>79.901573181000003</v>
      </c>
      <c r="E175">
        <v>50</v>
      </c>
      <c r="F175">
        <v>14.996632576</v>
      </c>
      <c r="G175">
        <v>1396.9754639</v>
      </c>
      <c r="H175">
        <v>1382.7575684000001</v>
      </c>
      <c r="I175">
        <v>1250.5570068</v>
      </c>
      <c r="J175">
        <v>1211.1102295000001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18.72184</v>
      </c>
      <c r="B176" s="1">
        <f>DATE(2010,5,19) + TIME(17,19,26)</f>
        <v>40317.721828703703</v>
      </c>
      <c r="C176">
        <v>80</v>
      </c>
      <c r="D176">
        <v>79.901618958</v>
      </c>
      <c r="E176">
        <v>50</v>
      </c>
      <c r="F176">
        <v>14.996652602999999</v>
      </c>
      <c r="G176">
        <v>1396.8612060999999</v>
      </c>
      <c r="H176">
        <v>1382.6473389</v>
      </c>
      <c r="I176">
        <v>1250.5612793</v>
      </c>
      <c r="J176">
        <v>1211.1143798999999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19.058049</v>
      </c>
      <c r="B177" s="1">
        <f>DATE(2010,5,20) + TIME(1,23,35)</f>
        <v>40318.05804398148</v>
      </c>
      <c r="C177">
        <v>80</v>
      </c>
      <c r="D177">
        <v>79.901657103999995</v>
      </c>
      <c r="E177">
        <v>50</v>
      </c>
      <c r="F177">
        <v>14.996672630000001</v>
      </c>
      <c r="G177">
        <v>1396.7464600000001</v>
      </c>
      <c r="H177">
        <v>1382.5367432</v>
      </c>
      <c r="I177">
        <v>1250.5656738</v>
      </c>
      <c r="J177">
        <v>1211.1185303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19.394907</v>
      </c>
      <c r="B178" s="1">
        <f>DATE(2010,5,20) + TIME(9,28,39)</f>
        <v>40318.394895833335</v>
      </c>
      <c r="C178">
        <v>80</v>
      </c>
      <c r="D178">
        <v>79.901702881000006</v>
      </c>
      <c r="E178">
        <v>50</v>
      </c>
      <c r="F178">
        <v>14.996691704</v>
      </c>
      <c r="G178">
        <v>1396.6328125</v>
      </c>
      <c r="H178">
        <v>1382.4272461</v>
      </c>
      <c r="I178">
        <v>1250.5700684000001</v>
      </c>
      <c r="J178">
        <v>1211.1228027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19.733032999999999</v>
      </c>
      <c r="B179" s="1">
        <f>DATE(2010,5,20) + TIME(17,35,34)</f>
        <v>40318.733032407406</v>
      </c>
      <c r="C179">
        <v>80</v>
      </c>
      <c r="D179">
        <v>79.901741028000004</v>
      </c>
      <c r="E179">
        <v>50</v>
      </c>
      <c r="F179">
        <v>14.996710777000001</v>
      </c>
      <c r="G179">
        <v>1396.520874</v>
      </c>
      <c r="H179">
        <v>1382.3194579999999</v>
      </c>
      <c r="I179">
        <v>1250.5744629000001</v>
      </c>
      <c r="J179">
        <v>1211.1270752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20.072979</v>
      </c>
      <c r="B180" s="1">
        <f>DATE(2010,5,21) + TIME(1,45,5)</f>
        <v>40319.072974537034</v>
      </c>
      <c r="C180">
        <v>80</v>
      </c>
      <c r="D180">
        <v>79.901779175000001</v>
      </c>
      <c r="E180">
        <v>50</v>
      </c>
      <c r="F180">
        <v>14.996729851</v>
      </c>
      <c r="G180">
        <v>1396.4105225000001</v>
      </c>
      <c r="H180">
        <v>1382.2131348</v>
      </c>
      <c r="I180">
        <v>1250.5788574000001</v>
      </c>
      <c r="J180">
        <v>1211.1313477000001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20.415295</v>
      </c>
      <c r="B181" s="1">
        <f>DATE(2010,5,21) + TIME(9,58,1)</f>
        <v>40319.415289351855</v>
      </c>
      <c r="C181">
        <v>80</v>
      </c>
      <c r="D181">
        <v>79.901824950999995</v>
      </c>
      <c r="E181">
        <v>50</v>
      </c>
      <c r="F181">
        <v>14.996748924</v>
      </c>
      <c r="G181">
        <v>1396.3012695</v>
      </c>
      <c r="H181">
        <v>1382.1080322</v>
      </c>
      <c r="I181">
        <v>1250.583374</v>
      </c>
      <c r="J181">
        <v>1211.1356201000001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20.760542000000001</v>
      </c>
      <c r="B182" s="1">
        <f>DATE(2010,5,21) + TIME(18,15,10)</f>
        <v>40319.76053240741</v>
      </c>
      <c r="C182">
        <v>80</v>
      </c>
      <c r="D182">
        <v>79.901863098000007</v>
      </c>
      <c r="E182">
        <v>50</v>
      </c>
      <c r="F182">
        <v>14.996767997999999</v>
      </c>
      <c r="G182">
        <v>1396.1929932</v>
      </c>
      <c r="H182">
        <v>1382.0040283000001</v>
      </c>
      <c r="I182">
        <v>1250.5878906</v>
      </c>
      <c r="J182">
        <v>1211.1400146000001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21.107879000000001</v>
      </c>
      <c r="B183" s="1">
        <f>DATE(2010,5,22) + TIME(2,35,20)</f>
        <v>40320.107870370368</v>
      </c>
      <c r="C183">
        <v>80</v>
      </c>
      <c r="D183">
        <v>79.901901245000005</v>
      </c>
      <c r="E183">
        <v>50</v>
      </c>
      <c r="F183">
        <v>14.996787071</v>
      </c>
      <c r="G183">
        <v>1396.0856934000001</v>
      </c>
      <c r="H183">
        <v>1381.9007568</v>
      </c>
      <c r="I183">
        <v>1250.5924072</v>
      </c>
      <c r="J183">
        <v>1211.1444091999999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21.457539000000001</v>
      </c>
      <c r="B184" s="1">
        <f>DATE(2010,5,22) + TIME(10,58,51)</f>
        <v>40320.45753472222</v>
      </c>
      <c r="C184">
        <v>80</v>
      </c>
      <c r="D184">
        <v>79.901939392000003</v>
      </c>
      <c r="E184">
        <v>50</v>
      </c>
      <c r="F184">
        <v>14.996805191</v>
      </c>
      <c r="G184">
        <v>1395.9793701000001</v>
      </c>
      <c r="H184">
        <v>1381.7987060999999</v>
      </c>
      <c r="I184">
        <v>1250.5970459</v>
      </c>
      <c r="J184">
        <v>1211.1488036999999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21.810040000000001</v>
      </c>
      <c r="B185" s="1">
        <f>DATE(2010,5,22) + TIME(19,26,27)</f>
        <v>40320.810034722221</v>
      </c>
      <c r="C185">
        <v>80</v>
      </c>
      <c r="D185">
        <v>79.901977539000001</v>
      </c>
      <c r="E185">
        <v>50</v>
      </c>
      <c r="F185">
        <v>14.996824265000001</v>
      </c>
      <c r="G185">
        <v>1395.8740233999999</v>
      </c>
      <c r="H185">
        <v>1381.6976318</v>
      </c>
      <c r="I185">
        <v>1250.6015625</v>
      </c>
      <c r="J185">
        <v>1211.1533202999999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22.165908999999999</v>
      </c>
      <c r="B186" s="1">
        <f>DATE(2010,5,23) + TIME(3,58,54)</f>
        <v>40321.165902777779</v>
      </c>
      <c r="C186">
        <v>80</v>
      </c>
      <c r="D186">
        <v>79.902015685999999</v>
      </c>
      <c r="E186">
        <v>50</v>
      </c>
      <c r="F186">
        <v>14.996842384000001</v>
      </c>
      <c r="G186">
        <v>1395.7695312000001</v>
      </c>
      <c r="H186">
        <v>1381.5972899999999</v>
      </c>
      <c r="I186">
        <v>1250.6063231999999</v>
      </c>
      <c r="J186">
        <v>1211.1578368999999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22.525689</v>
      </c>
      <c r="B187" s="1">
        <f>DATE(2010,5,23) + TIME(12,36,59)</f>
        <v>40321.525682870371</v>
      </c>
      <c r="C187">
        <v>80</v>
      </c>
      <c r="D187">
        <v>79.902053832999997</v>
      </c>
      <c r="E187">
        <v>50</v>
      </c>
      <c r="F187">
        <v>14.996860504000001</v>
      </c>
      <c r="G187">
        <v>1395.6656493999999</v>
      </c>
      <c r="H187">
        <v>1381.4976807</v>
      </c>
      <c r="I187">
        <v>1250.6109618999999</v>
      </c>
      <c r="J187">
        <v>1211.1623535000001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22.889941</v>
      </c>
      <c r="B188" s="1">
        <f>DATE(2010,5,23) + TIME(21,21,30)</f>
        <v>40321.889930555553</v>
      </c>
      <c r="C188">
        <v>80</v>
      </c>
      <c r="D188">
        <v>79.902091979999994</v>
      </c>
      <c r="E188">
        <v>50</v>
      </c>
      <c r="F188">
        <v>14.996878624000001</v>
      </c>
      <c r="G188">
        <v>1395.5622559000001</v>
      </c>
      <c r="H188">
        <v>1381.3985596</v>
      </c>
      <c r="I188">
        <v>1250.6157227000001</v>
      </c>
      <c r="J188">
        <v>1211.1669922000001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23.259331</v>
      </c>
      <c r="B189" s="1">
        <f>DATE(2010,5,24) + TIME(6,13,26)</f>
        <v>40322.259328703702</v>
      </c>
      <c r="C189">
        <v>80</v>
      </c>
      <c r="D189">
        <v>79.902130127000007</v>
      </c>
      <c r="E189">
        <v>50</v>
      </c>
      <c r="F189">
        <v>14.996896744000001</v>
      </c>
      <c r="G189">
        <v>1395.4591064000001</v>
      </c>
      <c r="H189">
        <v>1381.2998047000001</v>
      </c>
      <c r="I189">
        <v>1250.6206055</v>
      </c>
      <c r="J189">
        <v>1211.1716309000001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23.634494</v>
      </c>
      <c r="B190" s="1">
        <f>DATE(2010,5,24) + TIME(15,13,40)</f>
        <v>40322.63449074074</v>
      </c>
      <c r="C190">
        <v>80</v>
      </c>
      <c r="D190">
        <v>79.902175903</v>
      </c>
      <c r="E190">
        <v>50</v>
      </c>
      <c r="F190">
        <v>14.996914864000001</v>
      </c>
      <c r="G190">
        <v>1395.3562012</v>
      </c>
      <c r="H190">
        <v>1381.2012939000001</v>
      </c>
      <c r="I190">
        <v>1250.6254882999999</v>
      </c>
      <c r="J190">
        <v>1211.1763916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24.015996999999999</v>
      </c>
      <c r="B191" s="1">
        <f>DATE(2010,5,25) + TIME(0,23,2)</f>
        <v>40323.01599537037</v>
      </c>
      <c r="C191">
        <v>80</v>
      </c>
      <c r="D191">
        <v>79.902214049999998</v>
      </c>
      <c r="E191">
        <v>50</v>
      </c>
      <c r="F191">
        <v>14.996932983000001</v>
      </c>
      <c r="G191">
        <v>1395.2531738</v>
      </c>
      <c r="H191">
        <v>1381.1027832</v>
      </c>
      <c r="I191">
        <v>1250.6304932</v>
      </c>
      <c r="J191">
        <v>1211.1811522999999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24.404544000000001</v>
      </c>
      <c r="B192" s="1">
        <f>DATE(2010,5,25) + TIME(9,42,32)</f>
        <v>40323.404537037037</v>
      </c>
      <c r="C192">
        <v>80</v>
      </c>
      <c r="D192">
        <v>79.902259826999995</v>
      </c>
      <c r="E192">
        <v>50</v>
      </c>
      <c r="F192">
        <v>14.996951103000001</v>
      </c>
      <c r="G192">
        <v>1395.1501464999999</v>
      </c>
      <c r="H192">
        <v>1381.0041504000001</v>
      </c>
      <c r="I192">
        <v>1250.6356201000001</v>
      </c>
      <c r="J192">
        <v>1211.1860352000001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24.800926</v>
      </c>
      <c r="B193" s="1">
        <f>DATE(2010,5,25) + TIME(19,13,19)</f>
        <v>40323.80091435185</v>
      </c>
      <c r="C193">
        <v>80</v>
      </c>
      <c r="D193">
        <v>79.902297974000007</v>
      </c>
      <c r="E193">
        <v>50</v>
      </c>
      <c r="F193">
        <v>14.996969223000001</v>
      </c>
      <c r="G193">
        <v>1395.0467529</v>
      </c>
      <c r="H193">
        <v>1380.9052733999999</v>
      </c>
      <c r="I193">
        <v>1250.6407471</v>
      </c>
      <c r="J193">
        <v>1211.1910399999999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25.205102</v>
      </c>
      <c r="B194" s="1">
        <f>DATE(2010,5,26) + TIME(4,55,20)</f>
        <v>40324.205092592594</v>
      </c>
      <c r="C194">
        <v>80</v>
      </c>
      <c r="D194">
        <v>79.90234375</v>
      </c>
      <c r="E194">
        <v>50</v>
      </c>
      <c r="F194">
        <v>14.996988297</v>
      </c>
      <c r="G194">
        <v>1394.9428711</v>
      </c>
      <c r="H194">
        <v>1380.8061522999999</v>
      </c>
      <c r="I194">
        <v>1250.6461182</v>
      </c>
      <c r="J194">
        <v>1211.1961670000001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25.617058</v>
      </c>
      <c r="B195" s="1">
        <f>DATE(2010,5,26) + TIME(14,48,33)</f>
        <v>40324.617048611108</v>
      </c>
      <c r="C195">
        <v>80</v>
      </c>
      <c r="D195">
        <v>79.902381896999998</v>
      </c>
      <c r="E195">
        <v>50</v>
      </c>
      <c r="F195">
        <v>14.997006416</v>
      </c>
      <c r="G195">
        <v>1394.8386230000001</v>
      </c>
      <c r="H195">
        <v>1380.706543</v>
      </c>
      <c r="I195">
        <v>1250.6514893000001</v>
      </c>
      <c r="J195">
        <v>1211.2014160000001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26.036792999999999</v>
      </c>
      <c r="B196" s="1">
        <f>DATE(2010,5,27) + TIME(0,52,58)</f>
        <v>40325.036782407406</v>
      </c>
      <c r="C196">
        <v>80</v>
      </c>
      <c r="D196">
        <v>79.902427673000005</v>
      </c>
      <c r="E196">
        <v>50</v>
      </c>
      <c r="F196">
        <v>14.997024536</v>
      </c>
      <c r="G196">
        <v>1394.7340088000001</v>
      </c>
      <c r="H196">
        <v>1380.6066894999999</v>
      </c>
      <c r="I196">
        <v>1250.6571045000001</v>
      </c>
      <c r="J196">
        <v>1211.2067870999999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26.458288</v>
      </c>
      <c r="B197" s="1">
        <f>DATE(2010,5,27) + TIME(10,59,56)</f>
        <v>40325.458287037036</v>
      </c>
      <c r="C197">
        <v>80</v>
      </c>
      <c r="D197">
        <v>79.902473450000002</v>
      </c>
      <c r="E197">
        <v>50</v>
      </c>
      <c r="F197">
        <v>14.99704361</v>
      </c>
      <c r="G197">
        <v>1394.6291504000001</v>
      </c>
      <c r="H197">
        <v>1380.5065918</v>
      </c>
      <c r="I197">
        <v>1250.6627197</v>
      </c>
      <c r="J197">
        <v>1211.2121582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26.881557999999998</v>
      </c>
      <c r="B198" s="1">
        <f>DATE(2010,5,27) + TIME(21,9,26)</f>
        <v>40325.881550925929</v>
      </c>
      <c r="C198">
        <v>80</v>
      </c>
      <c r="D198">
        <v>79.902519225999995</v>
      </c>
      <c r="E198">
        <v>50</v>
      </c>
      <c r="F198">
        <v>14.997061729</v>
      </c>
      <c r="G198">
        <v>1394.5252685999999</v>
      </c>
      <c r="H198">
        <v>1380.4075928</v>
      </c>
      <c r="I198">
        <v>1250.668457</v>
      </c>
      <c r="J198">
        <v>1211.2176514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27.307324000000001</v>
      </c>
      <c r="B199" s="1">
        <f>DATE(2010,5,28) + TIME(7,22,32)</f>
        <v>40326.307314814818</v>
      </c>
      <c r="C199">
        <v>80</v>
      </c>
      <c r="D199">
        <v>79.902565002000003</v>
      </c>
      <c r="E199">
        <v>50</v>
      </c>
      <c r="F199">
        <v>14.997079849</v>
      </c>
      <c r="G199">
        <v>1394.4227295000001</v>
      </c>
      <c r="H199">
        <v>1380.3098144999999</v>
      </c>
      <c r="I199">
        <v>1250.6741943</v>
      </c>
      <c r="J199">
        <v>1211.2232666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27.734027999999999</v>
      </c>
      <c r="B200" s="1">
        <f>DATE(2010,5,28) + TIME(17,36,59)</f>
        <v>40326.734016203707</v>
      </c>
      <c r="C200">
        <v>80</v>
      </c>
      <c r="D200">
        <v>79.902610779</v>
      </c>
      <c r="E200">
        <v>50</v>
      </c>
      <c r="F200">
        <v>14.997097969</v>
      </c>
      <c r="G200">
        <v>1394.3210449000001</v>
      </c>
      <c r="H200">
        <v>1380.2128906</v>
      </c>
      <c r="I200">
        <v>1250.6799315999999</v>
      </c>
      <c r="J200">
        <v>1211.2287598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28.16216</v>
      </c>
      <c r="B201" s="1">
        <f>DATE(2010,5,29) + TIME(3,53,30)</f>
        <v>40327.162152777775</v>
      </c>
      <c r="C201">
        <v>80</v>
      </c>
      <c r="D201">
        <v>79.902656554999993</v>
      </c>
      <c r="E201">
        <v>50</v>
      </c>
      <c r="F201">
        <v>14.997115135</v>
      </c>
      <c r="G201">
        <v>1394.2207031</v>
      </c>
      <c r="H201">
        <v>1380.1173096</v>
      </c>
      <c r="I201">
        <v>1250.6857910000001</v>
      </c>
      <c r="J201">
        <v>1211.234375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28.592371</v>
      </c>
      <c r="B202" s="1">
        <f>DATE(2010,5,29) + TIME(14,13,0)</f>
        <v>40327.592361111114</v>
      </c>
      <c r="C202">
        <v>80</v>
      </c>
      <c r="D202">
        <v>79.902702332000004</v>
      </c>
      <c r="E202">
        <v>50</v>
      </c>
      <c r="F202">
        <v>14.997133255</v>
      </c>
      <c r="G202">
        <v>1394.1214600000001</v>
      </c>
      <c r="H202">
        <v>1380.0228271000001</v>
      </c>
      <c r="I202">
        <v>1250.6915283000001</v>
      </c>
      <c r="J202">
        <v>1211.2399902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29.025307000000002</v>
      </c>
      <c r="B203" s="1">
        <f>DATE(2010,5,30) + TIME(0,36,26)</f>
        <v>40328.025300925925</v>
      </c>
      <c r="C203">
        <v>80</v>
      </c>
      <c r="D203">
        <v>79.902748107999997</v>
      </c>
      <c r="E203">
        <v>50</v>
      </c>
      <c r="F203">
        <v>14.997150421000001</v>
      </c>
      <c r="G203">
        <v>1394.0231934000001</v>
      </c>
      <c r="H203">
        <v>1379.9294434000001</v>
      </c>
      <c r="I203">
        <v>1250.6975098</v>
      </c>
      <c r="J203">
        <v>1211.2456055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29.461613</v>
      </c>
      <c r="B204" s="1">
        <f>DATE(2010,5,30) + TIME(11,4,43)</f>
        <v>40328.461608796293</v>
      </c>
      <c r="C204">
        <v>80</v>
      </c>
      <c r="D204">
        <v>79.902793884000005</v>
      </c>
      <c r="E204">
        <v>50</v>
      </c>
      <c r="F204">
        <v>14.997167587</v>
      </c>
      <c r="G204">
        <v>1393.9257812000001</v>
      </c>
      <c r="H204">
        <v>1379.8366699000001</v>
      </c>
      <c r="I204">
        <v>1250.7033690999999</v>
      </c>
      <c r="J204">
        <v>1211.2513428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29.901952999999999</v>
      </c>
      <c r="B205" s="1">
        <f>DATE(2010,5,30) + TIME(21,38,48)</f>
        <v>40328.901944444442</v>
      </c>
      <c r="C205">
        <v>80</v>
      </c>
      <c r="D205">
        <v>79.902839661000002</v>
      </c>
      <c r="E205">
        <v>50</v>
      </c>
      <c r="F205">
        <v>14.997184753000001</v>
      </c>
      <c r="G205">
        <v>1393.8289795000001</v>
      </c>
      <c r="H205">
        <v>1379.744751</v>
      </c>
      <c r="I205">
        <v>1250.7093506000001</v>
      </c>
      <c r="J205">
        <v>1211.2570800999999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30.347007000000001</v>
      </c>
      <c r="B206" s="1">
        <f>DATE(2010,5,31) + TIME(8,19,41)</f>
        <v>40329.347002314818</v>
      </c>
      <c r="C206">
        <v>80</v>
      </c>
      <c r="D206">
        <v>79.902885436999995</v>
      </c>
      <c r="E206">
        <v>50</v>
      </c>
      <c r="F206">
        <v>14.99720192</v>
      </c>
      <c r="G206">
        <v>1393.7326660000001</v>
      </c>
      <c r="H206">
        <v>1379.6531981999999</v>
      </c>
      <c r="I206">
        <v>1250.7154541</v>
      </c>
      <c r="J206">
        <v>1211.2629394999999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30.797483</v>
      </c>
      <c r="B207" s="1">
        <f>DATE(2010,5,31) + TIME(19,8,22)</f>
        <v>40329.797476851854</v>
      </c>
      <c r="C207">
        <v>80</v>
      </c>
      <c r="D207">
        <v>79.902938843000001</v>
      </c>
      <c r="E207">
        <v>50</v>
      </c>
      <c r="F207">
        <v>14.997219085999999</v>
      </c>
      <c r="G207">
        <v>1393.6367187999999</v>
      </c>
      <c r="H207">
        <v>1379.5620117000001</v>
      </c>
      <c r="I207">
        <v>1250.7216797000001</v>
      </c>
      <c r="J207">
        <v>1211.2689209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31</v>
      </c>
      <c r="B208" s="1">
        <f>DATE(2010,6,1) + TIME(0,0,0)</f>
        <v>40330</v>
      </c>
      <c r="C208">
        <v>80</v>
      </c>
      <c r="D208">
        <v>79.902946471999996</v>
      </c>
      <c r="E208">
        <v>50</v>
      </c>
      <c r="F208">
        <v>14.997228622</v>
      </c>
      <c r="G208">
        <v>1393.5396728999999</v>
      </c>
      <c r="H208">
        <v>1379.4698486</v>
      </c>
      <c r="I208">
        <v>1250.7274170000001</v>
      </c>
      <c r="J208">
        <v>1211.2744141000001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31.456786000000001</v>
      </c>
      <c r="B209" s="1">
        <f>DATE(2010,6,1) + TIME(10,57,46)</f>
        <v>40330.456782407404</v>
      </c>
      <c r="C209">
        <v>80</v>
      </c>
      <c r="D209">
        <v>79.903007506999998</v>
      </c>
      <c r="E209">
        <v>50</v>
      </c>
      <c r="F209">
        <v>14.997245789000001</v>
      </c>
      <c r="G209">
        <v>1393.4982910000001</v>
      </c>
      <c r="H209">
        <v>1379.4305420000001</v>
      </c>
      <c r="I209">
        <v>1250.7307129000001</v>
      </c>
      <c r="J209">
        <v>1211.2775879000001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31.923967999999999</v>
      </c>
      <c r="B210" s="1">
        <f>DATE(2010,6,1) + TIME(22,10,30)</f>
        <v>40330.923958333333</v>
      </c>
      <c r="C210">
        <v>80</v>
      </c>
      <c r="D210">
        <v>79.903060913000004</v>
      </c>
      <c r="E210">
        <v>50</v>
      </c>
      <c r="F210">
        <v>14.997262000999999</v>
      </c>
      <c r="G210">
        <v>1393.4031981999999</v>
      </c>
      <c r="H210">
        <v>1379.3404541</v>
      </c>
      <c r="I210">
        <v>1250.7370605000001</v>
      </c>
      <c r="J210">
        <v>1211.2836914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32.399228999999998</v>
      </c>
      <c r="B211" s="1">
        <f>DATE(2010,6,2) + TIME(9,34,53)</f>
        <v>40331.399224537039</v>
      </c>
      <c r="C211">
        <v>80</v>
      </c>
      <c r="D211">
        <v>79.903114318999997</v>
      </c>
      <c r="E211">
        <v>50</v>
      </c>
      <c r="F211">
        <v>14.997279167</v>
      </c>
      <c r="G211">
        <v>1393.3073730000001</v>
      </c>
      <c r="H211">
        <v>1379.2495117000001</v>
      </c>
      <c r="I211">
        <v>1250.7435303</v>
      </c>
      <c r="J211">
        <v>1211.2899170000001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32.883606</v>
      </c>
      <c r="B212" s="1">
        <f>DATE(2010,6,2) + TIME(21,12,23)</f>
        <v>40331.883599537039</v>
      </c>
      <c r="C212">
        <v>80</v>
      </c>
      <c r="D212">
        <v>79.903167725000003</v>
      </c>
      <c r="E212">
        <v>50</v>
      </c>
      <c r="F212">
        <v>14.997296333</v>
      </c>
      <c r="G212">
        <v>1393.2111815999999</v>
      </c>
      <c r="H212">
        <v>1379.1583252</v>
      </c>
      <c r="I212">
        <v>1250.7502440999999</v>
      </c>
      <c r="J212">
        <v>1211.2963867000001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33.376938000000003</v>
      </c>
      <c r="B213" s="1">
        <f>DATE(2010,6,3) + TIME(9,2,47)</f>
        <v>40332.376932870371</v>
      </c>
      <c r="C213">
        <v>80</v>
      </c>
      <c r="D213">
        <v>79.903221130000006</v>
      </c>
      <c r="E213">
        <v>50</v>
      </c>
      <c r="F213">
        <v>14.997313499000001</v>
      </c>
      <c r="G213">
        <v>1393.1145019999999</v>
      </c>
      <c r="H213">
        <v>1379.0667725000001</v>
      </c>
      <c r="I213">
        <v>1250.7570800999999</v>
      </c>
      <c r="J213">
        <v>1211.3028564000001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33.879423000000003</v>
      </c>
      <c r="B214" s="1">
        <f>DATE(2010,6,3) + TIME(21,6,22)</f>
        <v>40332.879421296297</v>
      </c>
      <c r="C214">
        <v>80</v>
      </c>
      <c r="D214">
        <v>79.903274535999998</v>
      </c>
      <c r="E214">
        <v>50</v>
      </c>
      <c r="F214">
        <v>14.997330666</v>
      </c>
      <c r="G214">
        <v>1393.0175781</v>
      </c>
      <c r="H214">
        <v>1378.9748535000001</v>
      </c>
      <c r="I214">
        <v>1250.7640381000001</v>
      </c>
      <c r="J214">
        <v>1211.3095702999999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34.384627999999999</v>
      </c>
      <c r="B215" s="1">
        <f>DATE(2010,6,4) + TIME(9,13,51)</f>
        <v>40333.384618055556</v>
      </c>
      <c r="C215">
        <v>80</v>
      </c>
      <c r="D215">
        <v>79.903327942000004</v>
      </c>
      <c r="E215">
        <v>50</v>
      </c>
      <c r="F215">
        <v>14.997347832000001</v>
      </c>
      <c r="G215">
        <v>1392.9200439000001</v>
      </c>
      <c r="H215">
        <v>1378.8825684000001</v>
      </c>
      <c r="I215">
        <v>1250.7711182</v>
      </c>
      <c r="J215">
        <v>1211.3164062000001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34.890130999999997</v>
      </c>
      <c r="B216" s="1">
        <f>DATE(2010,6,4) + TIME(21,21,47)</f>
        <v>40333.890127314815</v>
      </c>
      <c r="C216">
        <v>80</v>
      </c>
      <c r="D216">
        <v>79.903388977000006</v>
      </c>
      <c r="E216">
        <v>50</v>
      </c>
      <c r="F216">
        <v>14.997364998</v>
      </c>
      <c r="G216">
        <v>1392.8234863</v>
      </c>
      <c r="H216">
        <v>1378.7911377</v>
      </c>
      <c r="I216">
        <v>1250.7783202999999</v>
      </c>
      <c r="J216">
        <v>1211.3232422000001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35.395780000000002</v>
      </c>
      <c r="B217" s="1">
        <f>DATE(2010,6,5) + TIME(9,29,55)</f>
        <v>40334.395775462966</v>
      </c>
      <c r="C217">
        <v>80</v>
      </c>
      <c r="D217">
        <v>79.903442382999998</v>
      </c>
      <c r="E217">
        <v>50</v>
      </c>
      <c r="F217">
        <v>14.997382163999999</v>
      </c>
      <c r="G217">
        <v>1392.7282714999999</v>
      </c>
      <c r="H217">
        <v>1378.7009277</v>
      </c>
      <c r="I217">
        <v>1250.7855225000001</v>
      </c>
      <c r="J217">
        <v>1211.3302002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35.902371000000002</v>
      </c>
      <c r="B218" s="1">
        <f>DATE(2010,6,5) + TIME(21,39,24)</f>
        <v>40334.902361111112</v>
      </c>
      <c r="C218">
        <v>80</v>
      </c>
      <c r="D218">
        <v>79.903495789000004</v>
      </c>
      <c r="E218">
        <v>50</v>
      </c>
      <c r="F218">
        <v>14.99739933</v>
      </c>
      <c r="G218">
        <v>1392.6342772999999</v>
      </c>
      <c r="H218">
        <v>1378.6120605000001</v>
      </c>
      <c r="I218">
        <v>1250.7927245999999</v>
      </c>
      <c r="J218">
        <v>1211.3370361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36.410685000000001</v>
      </c>
      <c r="B219" s="1">
        <f>DATE(2010,6,6) + TIME(9,51,23)</f>
        <v>40335.410682870373</v>
      </c>
      <c r="C219">
        <v>80</v>
      </c>
      <c r="D219">
        <v>79.903556824000006</v>
      </c>
      <c r="E219">
        <v>50</v>
      </c>
      <c r="F219">
        <v>14.997415543000001</v>
      </c>
      <c r="G219">
        <v>1392.5413818</v>
      </c>
      <c r="H219">
        <v>1378.5241699000001</v>
      </c>
      <c r="I219">
        <v>1250.7999268000001</v>
      </c>
      <c r="J219">
        <v>1211.3439940999999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36.921478</v>
      </c>
      <c r="B220" s="1">
        <f>DATE(2010,6,6) + TIME(22,6,55)</f>
        <v>40335.921469907407</v>
      </c>
      <c r="C220">
        <v>80</v>
      </c>
      <c r="D220">
        <v>79.903610228999995</v>
      </c>
      <c r="E220">
        <v>50</v>
      </c>
      <c r="F220">
        <v>14.997432709</v>
      </c>
      <c r="G220">
        <v>1392.4494629000001</v>
      </c>
      <c r="H220">
        <v>1378.4373779</v>
      </c>
      <c r="I220">
        <v>1250.807251</v>
      </c>
      <c r="J220">
        <v>1211.3510742000001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37.435519999999997</v>
      </c>
      <c r="B221" s="1">
        <f>DATE(2010,6,7) + TIME(10,27,8)</f>
        <v>40336.43550925926</v>
      </c>
      <c r="C221">
        <v>80</v>
      </c>
      <c r="D221">
        <v>79.903663635000001</v>
      </c>
      <c r="E221">
        <v>50</v>
      </c>
      <c r="F221">
        <v>14.997448921</v>
      </c>
      <c r="G221">
        <v>1392.3582764</v>
      </c>
      <c r="H221">
        <v>1378.3511963000001</v>
      </c>
      <c r="I221">
        <v>1250.8145752</v>
      </c>
      <c r="J221">
        <v>1211.3580322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37.953592</v>
      </c>
      <c r="B222" s="1">
        <f>DATE(2010,6,7) + TIME(22,53,10)</f>
        <v>40336.953587962962</v>
      </c>
      <c r="C222">
        <v>80</v>
      </c>
      <c r="D222">
        <v>79.903724670000003</v>
      </c>
      <c r="E222">
        <v>50</v>
      </c>
      <c r="F222">
        <v>14.997465134</v>
      </c>
      <c r="G222">
        <v>1392.2678223</v>
      </c>
      <c r="H222">
        <v>1378.2657471</v>
      </c>
      <c r="I222">
        <v>1250.8220214999999</v>
      </c>
      <c r="J222">
        <v>1211.3652344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38.476495999999997</v>
      </c>
      <c r="B223" s="1">
        <f>DATE(2010,6,8) + TIME(11,26,9)</f>
        <v>40337.476493055554</v>
      </c>
      <c r="C223">
        <v>80</v>
      </c>
      <c r="D223">
        <v>79.903785705999994</v>
      </c>
      <c r="E223">
        <v>50</v>
      </c>
      <c r="F223">
        <v>14.9974823</v>
      </c>
      <c r="G223">
        <v>1392.1777344</v>
      </c>
      <c r="H223">
        <v>1378.1806641000001</v>
      </c>
      <c r="I223">
        <v>1250.8295897999999</v>
      </c>
      <c r="J223">
        <v>1211.3724365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39.005051000000002</v>
      </c>
      <c r="B224" s="1">
        <f>DATE(2010,6,9) + TIME(0,7,16)</f>
        <v>40338.005046296297</v>
      </c>
      <c r="C224">
        <v>80</v>
      </c>
      <c r="D224">
        <v>79.903846740999995</v>
      </c>
      <c r="E224">
        <v>50</v>
      </c>
      <c r="F224">
        <v>14.997498512</v>
      </c>
      <c r="G224">
        <v>1392.0881348</v>
      </c>
      <c r="H224">
        <v>1378.0960693</v>
      </c>
      <c r="I224">
        <v>1250.8372803</v>
      </c>
      <c r="J224">
        <v>1211.3797606999999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39.540230000000001</v>
      </c>
      <c r="B225" s="1">
        <f>DATE(2010,6,9) + TIME(12,57,55)</f>
        <v>40338.540219907409</v>
      </c>
      <c r="C225">
        <v>80</v>
      </c>
      <c r="D225">
        <v>79.903900145999998</v>
      </c>
      <c r="E225">
        <v>50</v>
      </c>
      <c r="F225">
        <v>14.997514725</v>
      </c>
      <c r="G225">
        <v>1391.9986572</v>
      </c>
      <c r="H225">
        <v>1378.0117187999999</v>
      </c>
      <c r="I225">
        <v>1250.8449707</v>
      </c>
      <c r="J225">
        <v>1211.3870850000001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40.082956000000003</v>
      </c>
      <c r="B226" s="1">
        <f>DATE(2010,6,10) + TIME(1,59,27)</f>
        <v>40339.082951388889</v>
      </c>
      <c r="C226">
        <v>80</v>
      </c>
      <c r="D226">
        <v>79.903968810999999</v>
      </c>
      <c r="E226">
        <v>50</v>
      </c>
      <c r="F226">
        <v>14.997530937000001</v>
      </c>
      <c r="G226">
        <v>1391.9093018000001</v>
      </c>
      <c r="H226">
        <v>1377.9273682</v>
      </c>
      <c r="I226">
        <v>1250.8527832</v>
      </c>
      <c r="J226">
        <v>1211.3946533000001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40.634050999999999</v>
      </c>
      <c r="B227" s="1">
        <f>DATE(2010,6,10) + TIME(15,13,2)</f>
        <v>40339.634050925924</v>
      </c>
      <c r="C227">
        <v>80</v>
      </c>
      <c r="D227">
        <v>79.904029846</v>
      </c>
      <c r="E227">
        <v>50</v>
      </c>
      <c r="F227">
        <v>14.997547150000001</v>
      </c>
      <c r="G227">
        <v>1391.8198242000001</v>
      </c>
      <c r="H227">
        <v>1377.8430175999999</v>
      </c>
      <c r="I227">
        <v>1250.8608397999999</v>
      </c>
      <c r="J227">
        <v>1211.4023437999999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41.194471</v>
      </c>
      <c r="B228" s="1">
        <f>DATE(2010,6,11) + TIME(4,40,2)</f>
        <v>40340.194467592592</v>
      </c>
      <c r="C228">
        <v>80</v>
      </c>
      <c r="D228">
        <v>79.904090881000002</v>
      </c>
      <c r="E228">
        <v>50</v>
      </c>
      <c r="F228">
        <v>14.997563361999999</v>
      </c>
      <c r="G228">
        <v>1391.7301024999999</v>
      </c>
      <c r="H228">
        <v>1377.7585449000001</v>
      </c>
      <c r="I228">
        <v>1250.8690185999999</v>
      </c>
      <c r="J228">
        <v>1211.4101562000001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41.765441000000003</v>
      </c>
      <c r="B229" s="1">
        <f>DATE(2010,6,11) + TIME(18,22,14)</f>
        <v>40340.765439814815</v>
      </c>
      <c r="C229">
        <v>80</v>
      </c>
      <c r="D229">
        <v>79.904159546000002</v>
      </c>
      <c r="E229">
        <v>50</v>
      </c>
      <c r="F229">
        <v>14.997579575</v>
      </c>
      <c r="G229">
        <v>1391.6401367000001</v>
      </c>
      <c r="H229">
        <v>1377.6737060999999</v>
      </c>
      <c r="I229">
        <v>1250.8773193</v>
      </c>
      <c r="J229">
        <v>1211.4180908000001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42.345908000000001</v>
      </c>
      <c r="B230" s="1">
        <f>DATE(2010,6,12) + TIME(8,18,6)</f>
        <v>40341.345902777779</v>
      </c>
      <c r="C230">
        <v>80</v>
      </c>
      <c r="D230">
        <v>79.904220581000004</v>
      </c>
      <c r="E230">
        <v>50</v>
      </c>
      <c r="F230">
        <v>14.997596741000001</v>
      </c>
      <c r="G230">
        <v>1391.5496826000001</v>
      </c>
      <c r="H230">
        <v>1377.588501</v>
      </c>
      <c r="I230">
        <v>1250.8858643000001</v>
      </c>
      <c r="J230">
        <v>1211.4262695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42.640172999999997</v>
      </c>
      <c r="B231" s="1">
        <f>DATE(2010,6,12) + TIME(15,21,50)</f>
        <v>40341.640162037038</v>
      </c>
      <c r="C231">
        <v>80</v>
      </c>
      <c r="D231">
        <v>79.904251099000007</v>
      </c>
      <c r="E231">
        <v>50</v>
      </c>
      <c r="F231">
        <v>14.997607231</v>
      </c>
      <c r="G231">
        <v>1391.4577637</v>
      </c>
      <c r="H231">
        <v>1377.5017089999999</v>
      </c>
      <c r="I231">
        <v>1250.8941649999999</v>
      </c>
      <c r="J231">
        <v>1211.4342041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42.934438999999998</v>
      </c>
      <c r="B232" s="1">
        <f>DATE(2010,6,12) + TIME(22,25,35)</f>
        <v>40341.934432870374</v>
      </c>
      <c r="C232">
        <v>80</v>
      </c>
      <c r="D232">
        <v>79.904281616000006</v>
      </c>
      <c r="E232">
        <v>50</v>
      </c>
      <c r="F232">
        <v>14.997616768</v>
      </c>
      <c r="G232">
        <v>1391.4119873</v>
      </c>
      <c r="H232">
        <v>1377.4586182</v>
      </c>
      <c r="I232">
        <v>1250.8986815999999</v>
      </c>
      <c r="J232">
        <v>1211.4383545000001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43.228704</v>
      </c>
      <c r="B233" s="1">
        <f>DATE(2010,6,13) + TIME(5,29,20)</f>
        <v>40342.228703703702</v>
      </c>
      <c r="C233">
        <v>80</v>
      </c>
      <c r="D233">
        <v>79.904312133999994</v>
      </c>
      <c r="E233">
        <v>50</v>
      </c>
      <c r="F233">
        <v>14.997626305000001</v>
      </c>
      <c r="G233">
        <v>1391.3666992000001</v>
      </c>
      <c r="H233">
        <v>1377.4158935999999</v>
      </c>
      <c r="I233">
        <v>1250.9030762</v>
      </c>
      <c r="J233">
        <v>1211.4426269999999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43.522969000000003</v>
      </c>
      <c r="B234" s="1">
        <f>DATE(2010,6,13) + TIME(12,33,4)</f>
        <v>40342.522962962961</v>
      </c>
      <c r="C234">
        <v>80</v>
      </c>
      <c r="D234">
        <v>79.904342650999993</v>
      </c>
      <c r="E234">
        <v>50</v>
      </c>
      <c r="F234">
        <v>14.997635840999999</v>
      </c>
      <c r="G234">
        <v>1391.3216553</v>
      </c>
      <c r="H234">
        <v>1377.3735352000001</v>
      </c>
      <c r="I234">
        <v>1250.9075928</v>
      </c>
      <c r="J234">
        <v>1211.4468993999999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43.817234999999997</v>
      </c>
      <c r="B235" s="1">
        <f>DATE(2010,6,13) + TIME(19,36,49)</f>
        <v>40342.817233796297</v>
      </c>
      <c r="C235">
        <v>80</v>
      </c>
      <c r="D235">
        <v>79.904380798000005</v>
      </c>
      <c r="E235">
        <v>50</v>
      </c>
      <c r="F235">
        <v>14.997644424000001</v>
      </c>
      <c r="G235">
        <v>1391.2769774999999</v>
      </c>
      <c r="H235">
        <v>1377.3314209</v>
      </c>
      <c r="I235">
        <v>1250.9119873</v>
      </c>
      <c r="J235">
        <v>1211.4511719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44.111499999999999</v>
      </c>
      <c r="B236" s="1">
        <f>DATE(2010,6,14) + TIME(2,40,33)</f>
        <v>40343.111493055556</v>
      </c>
      <c r="C236">
        <v>80</v>
      </c>
      <c r="D236">
        <v>79.904411315999994</v>
      </c>
      <c r="E236">
        <v>50</v>
      </c>
      <c r="F236">
        <v>14.997653008</v>
      </c>
      <c r="G236">
        <v>1391.2325439000001</v>
      </c>
      <c r="H236">
        <v>1377.2895507999999</v>
      </c>
      <c r="I236">
        <v>1250.9165039</v>
      </c>
      <c r="J236">
        <v>1211.4554443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44.405765000000002</v>
      </c>
      <c r="B237" s="1">
        <f>DATE(2010,6,14) + TIME(9,44,18)</f>
        <v>40343.405763888892</v>
      </c>
      <c r="C237">
        <v>80</v>
      </c>
      <c r="D237">
        <v>79.904441833000007</v>
      </c>
      <c r="E237">
        <v>50</v>
      </c>
      <c r="F237">
        <v>14.997661591</v>
      </c>
      <c r="G237">
        <v>1391.1884766000001</v>
      </c>
      <c r="H237">
        <v>1377.2480469</v>
      </c>
      <c r="I237">
        <v>1250.9210204999999</v>
      </c>
      <c r="J237">
        <v>1211.4597168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44.700031000000003</v>
      </c>
      <c r="B238" s="1">
        <f>DATE(2010,6,14) + TIME(16,48,2)</f>
        <v>40343.700023148151</v>
      </c>
      <c r="C238">
        <v>80</v>
      </c>
      <c r="D238">
        <v>79.904479980000005</v>
      </c>
      <c r="E238">
        <v>50</v>
      </c>
      <c r="F238">
        <v>14.997669220000001</v>
      </c>
      <c r="G238">
        <v>1391.1445312000001</v>
      </c>
      <c r="H238">
        <v>1377.2067870999999</v>
      </c>
      <c r="I238">
        <v>1250.9254149999999</v>
      </c>
      <c r="J238">
        <v>1211.4639893000001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45.288561000000001</v>
      </c>
      <c r="B239" s="1">
        <f>DATE(2010,6,15) + TIME(6,55,31)</f>
        <v>40344.288553240738</v>
      </c>
      <c r="C239">
        <v>80</v>
      </c>
      <c r="D239">
        <v>79.904556274000001</v>
      </c>
      <c r="E239">
        <v>50</v>
      </c>
      <c r="F239">
        <v>14.997682571</v>
      </c>
      <c r="G239">
        <v>1391.1021728999999</v>
      </c>
      <c r="H239">
        <v>1377.1669922000001</v>
      </c>
      <c r="I239">
        <v>1250.9302978999999</v>
      </c>
      <c r="J239">
        <v>1211.46875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45.877398999999997</v>
      </c>
      <c r="B240" s="1">
        <f>DATE(2010,6,15) + TIME(21,3,27)</f>
        <v>40344.877395833333</v>
      </c>
      <c r="C240">
        <v>80</v>
      </c>
      <c r="D240">
        <v>79.904632567999997</v>
      </c>
      <c r="E240">
        <v>50</v>
      </c>
      <c r="F240">
        <v>14.997696876999999</v>
      </c>
      <c r="G240">
        <v>1391.0159911999999</v>
      </c>
      <c r="H240">
        <v>1377.0859375</v>
      </c>
      <c r="I240">
        <v>1250.9393310999999</v>
      </c>
      <c r="J240">
        <v>1211.4772949000001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46.469872000000002</v>
      </c>
      <c r="B241" s="1">
        <f>DATE(2010,6,16) + TIME(11,16,36)</f>
        <v>40345.469861111109</v>
      </c>
      <c r="C241">
        <v>80</v>
      </c>
      <c r="D241">
        <v>79.904701232999997</v>
      </c>
      <c r="E241">
        <v>50</v>
      </c>
      <c r="F241">
        <v>14.997711182</v>
      </c>
      <c r="G241">
        <v>1390.9307861</v>
      </c>
      <c r="H241">
        <v>1377.0057373</v>
      </c>
      <c r="I241">
        <v>1250.9483643000001</v>
      </c>
      <c r="J241">
        <v>1211.4859618999999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47.066848</v>
      </c>
      <c r="B242" s="1">
        <f>DATE(2010,6,17) + TIME(1,36,15)</f>
        <v>40346.066840277781</v>
      </c>
      <c r="C242">
        <v>80</v>
      </c>
      <c r="D242">
        <v>79.904769896999994</v>
      </c>
      <c r="E242">
        <v>50</v>
      </c>
      <c r="F242">
        <v>14.997726439999999</v>
      </c>
      <c r="G242">
        <v>1390.8459473</v>
      </c>
      <c r="H242">
        <v>1376.9260254000001</v>
      </c>
      <c r="I242">
        <v>1250.9575195</v>
      </c>
      <c r="J242">
        <v>1211.4946289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47.669234000000003</v>
      </c>
      <c r="B243" s="1">
        <f>DATE(2010,6,17) + TIME(16,3,41)</f>
        <v>40346.669224537036</v>
      </c>
      <c r="C243">
        <v>80</v>
      </c>
      <c r="D243">
        <v>79.904838561999995</v>
      </c>
      <c r="E243">
        <v>50</v>
      </c>
      <c r="F243">
        <v>14.997741699000001</v>
      </c>
      <c r="G243">
        <v>1390.7615966999999</v>
      </c>
      <c r="H243">
        <v>1376.8468018000001</v>
      </c>
      <c r="I243">
        <v>1250.9667969</v>
      </c>
      <c r="J243">
        <v>1211.503418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48.277963</v>
      </c>
      <c r="B244" s="1">
        <f>DATE(2010,6,18) + TIME(6,40,16)</f>
        <v>40347.277962962966</v>
      </c>
      <c r="C244">
        <v>80</v>
      </c>
      <c r="D244">
        <v>79.904914856000005</v>
      </c>
      <c r="E244">
        <v>50</v>
      </c>
      <c r="F244">
        <v>14.997756958</v>
      </c>
      <c r="G244">
        <v>1390.6776123</v>
      </c>
      <c r="H244">
        <v>1376.7678223</v>
      </c>
      <c r="I244">
        <v>1250.9761963000001</v>
      </c>
      <c r="J244">
        <v>1211.5124512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48.894098999999997</v>
      </c>
      <c r="B245" s="1">
        <f>DATE(2010,6,18) + TIME(21,27,30)</f>
        <v>40347.894097222219</v>
      </c>
      <c r="C245">
        <v>80</v>
      </c>
      <c r="D245">
        <v>79.904983521000005</v>
      </c>
      <c r="E245">
        <v>50</v>
      </c>
      <c r="F245">
        <v>14.997772217</v>
      </c>
      <c r="G245">
        <v>1390.5936279</v>
      </c>
      <c r="H245">
        <v>1376.6889647999999</v>
      </c>
      <c r="I245">
        <v>1250.9857178</v>
      </c>
      <c r="J245">
        <v>1211.5214844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49.518770000000004</v>
      </c>
      <c r="B246" s="1">
        <f>DATE(2010,6,19) + TIME(12,27,1)</f>
        <v>40348.518761574072</v>
      </c>
      <c r="C246">
        <v>80</v>
      </c>
      <c r="D246">
        <v>79.905059813999998</v>
      </c>
      <c r="E246">
        <v>50</v>
      </c>
      <c r="F246">
        <v>14.997787475999999</v>
      </c>
      <c r="G246">
        <v>1390.5097656</v>
      </c>
      <c r="H246">
        <v>1376.6102295000001</v>
      </c>
      <c r="I246">
        <v>1250.9953613</v>
      </c>
      <c r="J246">
        <v>1211.5307617000001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50.152875000000002</v>
      </c>
      <c r="B247" s="1">
        <f>DATE(2010,6,20) + TIME(3,40,8)</f>
        <v>40349.152870370373</v>
      </c>
      <c r="C247">
        <v>80</v>
      </c>
      <c r="D247">
        <v>79.905136107999994</v>
      </c>
      <c r="E247">
        <v>50</v>
      </c>
      <c r="F247">
        <v>14.997802734</v>
      </c>
      <c r="G247">
        <v>1390.4256591999999</v>
      </c>
      <c r="H247">
        <v>1376.53125</v>
      </c>
      <c r="I247">
        <v>1251.005249</v>
      </c>
      <c r="J247">
        <v>1211.5401611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50.797493000000003</v>
      </c>
      <c r="B248" s="1">
        <f>DATE(2010,6,20) + TIME(19,8,23)</f>
        <v>40349.797488425924</v>
      </c>
      <c r="C248">
        <v>80</v>
      </c>
      <c r="D248">
        <v>79.905212402000004</v>
      </c>
      <c r="E248">
        <v>50</v>
      </c>
      <c r="F248">
        <v>14.997818947000001</v>
      </c>
      <c r="G248">
        <v>1390.3414307</v>
      </c>
      <c r="H248">
        <v>1376.4521483999999</v>
      </c>
      <c r="I248">
        <v>1251.0153809000001</v>
      </c>
      <c r="J248">
        <v>1211.5496826000001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51.453964999999997</v>
      </c>
      <c r="B249" s="1">
        <f>DATE(2010,6,21) + TIME(10,53,42)</f>
        <v>40350.453958333332</v>
      </c>
      <c r="C249">
        <v>80</v>
      </c>
      <c r="D249">
        <v>79.905288696</v>
      </c>
      <c r="E249">
        <v>50</v>
      </c>
      <c r="F249">
        <v>14.997834206</v>
      </c>
      <c r="G249">
        <v>1390.2567139</v>
      </c>
      <c r="H249">
        <v>1376.3726807</v>
      </c>
      <c r="I249">
        <v>1251.0256348</v>
      </c>
      <c r="J249">
        <v>1211.5594481999999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52.123089999999998</v>
      </c>
      <c r="B250" s="1">
        <f>DATE(2010,6,22) + TIME(2,57,14)</f>
        <v>40351.123078703706</v>
      </c>
      <c r="C250">
        <v>80</v>
      </c>
      <c r="D250">
        <v>79.905364989999995</v>
      </c>
      <c r="E250">
        <v>50</v>
      </c>
      <c r="F250">
        <v>14.997850418000001</v>
      </c>
      <c r="G250">
        <v>1390.1716309000001</v>
      </c>
      <c r="H250">
        <v>1376.2928466999999</v>
      </c>
      <c r="I250">
        <v>1251.0361327999999</v>
      </c>
      <c r="J250">
        <v>1211.5695800999999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52.460242000000001</v>
      </c>
      <c r="B251" s="1">
        <f>DATE(2010,6,22) + TIME(11,2,44)</f>
        <v>40351.460231481484</v>
      </c>
      <c r="C251">
        <v>80</v>
      </c>
      <c r="D251">
        <v>79.905395507999998</v>
      </c>
      <c r="E251">
        <v>50</v>
      </c>
      <c r="F251">
        <v>14.997860909</v>
      </c>
      <c r="G251">
        <v>1390.0847168</v>
      </c>
      <c r="H251">
        <v>1376.2113036999999</v>
      </c>
      <c r="I251">
        <v>1251.0465088000001</v>
      </c>
      <c r="J251">
        <v>1211.5793457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52.797395000000002</v>
      </c>
      <c r="B252" s="1">
        <f>DATE(2010,6,22) + TIME(19,8,14)</f>
        <v>40351.797384259262</v>
      </c>
      <c r="C252">
        <v>80</v>
      </c>
      <c r="D252">
        <v>79.905433654999996</v>
      </c>
      <c r="E252">
        <v>50</v>
      </c>
      <c r="F252">
        <v>14.997870445</v>
      </c>
      <c r="G252">
        <v>1390.0417480000001</v>
      </c>
      <c r="H252">
        <v>1376.1708983999999</v>
      </c>
      <c r="I252">
        <v>1251.0520019999999</v>
      </c>
      <c r="J252">
        <v>1211.5845947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53.134548000000002</v>
      </c>
      <c r="B253" s="1">
        <f>DATE(2010,6,23) + TIME(3,13,44)</f>
        <v>40352.13453703704</v>
      </c>
      <c r="C253">
        <v>80</v>
      </c>
      <c r="D253">
        <v>79.905471801999994</v>
      </c>
      <c r="E253">
        <v>50</v>
      </c>
      <c r="F253">
        <v>14.997879028</v>
      </c>
      <c r="G253">
        <v>1389.9991454999999</v>
      </c>
      <c r="H253">
        <v>1376.1309814000001</v>
      </c>
      <c r="I253">
        <v>1251.0574951000001</v>
      </c>
      <c r="J253">
        <v>1211.5898437999999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53.471701000000003</v>
      </c>
      <c r="B254" s="1">
        <f>DATE(2010,6,23) + TIME(11,19,14)</f>
        <v>40352.471689814818</v>
      </c>
      <c r="C254">
        <v>80</v>
      </c>
      <c r="D254">
        <v>79.905509949000006</v>
      </c>
      <c r="E254">
        <v>50</v>
      </c>
      <c r="F254">
        <v>14.997887610999999</v>
      </c>
      <c r="G254">
        <v>1389.9567870999999</v>
      </c>
      <c r="H254">
        <v>1376.0911865</v>
      </c>
      <c r="I254">
        <v>1251.0629882999999</v>
      </c>
      <c r="J254">
        <v>1211.5950928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53.808853999999997</v>
      </c>
      <c r="B255" s="1">
        <f>DATE(2010,6,23) + TIME(19,24,45)</f>
        <v>40352.808854166666</v>
      </c>
      <c r="C255">
        <v>80</v>
      </c>
      <c r="D255">
        <v>79.905548096000004</v>
      </c>
      <c r="E255">
        <v>50</v>
      </c>
      <c r="F255">
        <v>14.997896194000001</v>
      </c>
      <c r="G255">
        <v>1389.9147949000001</v>
      </c>
      <c r="H255">
        <v>1376.0517577999999</v>
      </c>
      <c r="I255">
        <v>1251.0684814000001</v>
      </c>
      <c r="J255">
        <v>1211.6003418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54.146006999999997</v>
      </c>
      <c r="B256" s="1">
        <f>DATE(2010,6,24) + TIME(3,30,15)</f>
        <v>40353.146006944444</v>
      </c>
      <c r="C256">
        <v>80</v>
      </c>
      <c r="D256">
        <v>79.905593871999997</v>
      </c>
      <c r="E256">
        <v>50</v>
      </c>
      <c r="F256">
        <v>14.997904778000001</v>
      </c>
      <c r="G256">
        <v>1389.8729248</v>
      </c>
      <c r="H256">
        <v>1376.0124512</v>
      </c>
      <c r="I256">
        <v>1251.0740966999999</v>
      </c>
      <c r="J256">
        <v>1211.6055908000001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54.483159999999998</v>
      </c>
      <c r="B257" s="1">
        <f>DATE(2010,6,24) + TIME(11,35,45)</f>
        <v>40353.483159722222</v>
      </c>
      <c r="C257">
        <v>80</v>
      </c>
      <c r="D257">
        <v>79.905632018999995</v>
      </c>
      <c r="E257">
        <v>50</v>
      </c>
      <c r="F257">
        <v>14.997912406999999</v>
      </c>
      <c r="G257">
        <v>1389.8314209</v>
      </c>
      <c r="H257">
        <v>1375.9735106999999</v>
      </c>
      <c r="I257">
        <v>1251.0795897999999</v>
      </c>
      <c r="J257">
        <v>1211.6108397999999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54.820312999999999</v>
      </c>
      <c r="B258" s="1">
        <f>DATE(2010,6,24) + TIME(19,41,15)</f>
        <v>40353.8203125</v>
      </c>
      <c r="C258">
        <v>80</v>
      </c>
      <c r="D258">
        <v>79.905670165999993</v>
      </c>
      <c r="E258">
        <v>50</v>
      </c>
      <c r="F258">
        <v>14.997920990000001</v>
      </c>
      <c r="G258">
        <v>1389.7900391000001</v>
      </c>
      <c r="H258">
        <v>1375.9346923999999</v>
      </c>
      <c r="I258">
        <v>1251.0852050999999</v>
      </c>
      <c r="J258">
        <v>1211.6160889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55.494619</v>
      </c>
      <c r="B259" s="1">
        <f>DATE(2010,6,25) + TIME(11,52,15)</f>
        <v>40354.494618055556</v>
      </c>
      <c r="C259">
        <v>80</v>
      </c>
      <c r="D259">
        <v>79.905761718999997</v>
      </c>
      <c r="E259">
        <v>50</v>
      </c>
      <c r="F259">
        <v>14.997932434000001</v>
      </c>
      <c r="G259">
        <v>1389.7501221</v>
      </c>
      <c r="H259">
        <v>1375.8973389</v>
      </c>
      <c r="I259">
        <v>1251.0910644999999</v>
      </c>
      <c r="J259">
        <v>1211.6217041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56.169806999999999</v>
      </c>
      <c r="B260" s="1">
        <f>DATE(2010,6,26) + TIME(4,4,31)</f>
        <v>40355.169803240744</v>
      </c>
      <c r="C260">
        <v>80</v>
      </c>
      <c r="D260">
        <v>79.905845642000003</v>
      </c>
      <c r="E260">
        <v>50</v>
      </c>
      <c r="F260">
        <v>14.997945786000001</v>
      </c>
      <c r="G260">
        <v>1389.6687012</v>
      </c>
      <c r="H260">
        <v>1375.8210449000001</v>
      </c>
      <c r="I260">
        <v>1251.1021728999999</v>
      </c>
      <c r="J260">
        <v>1211.6323242000001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56.849516000000001</v>
      </c>
      <c r="B261" s="1">
        <f>DATE(2010,6,26) + TIME(20,23,18)</f>
        <v>40355.84951388889</v>
      </c>
      <c r="C261">
        <v>80</v>
      </c>
      <c r="D261">
        <v>79.905929564999994</v>
      </c>
      <c r="E261">
        <v>50</v>
      </c>
      <c r="F261">
        <v>14.997960090999999</v>
      </c>
      <c r="G261">
        <v>1389.5881348</v>
      </c>
      <c r="H261">
        <v>1375.7456055</v>
      </c>
      <c r="I261">
        <v>1251.1134033000001</v>
      </c>
      <c r="J261">
        <v>1211.6429443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57.534773000000001</v>
      </c>
      <c r="B262" s="1">
        <f>DATE(2010,6,27) + TIME(12,50,4)</f>
        <v>40356.534768518519</v>
      </c>
      <c r="C262">
        <v>80</v>
      </c>
      <c r="D262">
        <v>79.906013489000003</v>
      </c>
      <c r="E262">
        <v>50</v>
      </c>
      <c r="F262">
        <v>14.997974396</v>
      </c>
      <c r="G262">
        <v>1389.5079346</v>
      </c>
      <c r="H262">
        <v>1375.6704102000001</v>
      </c>
      <c r="I262">
        <v>1251.1247559000001</v>
      </c>
      <c r="J262">
        <v>1211.6538086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58.226643000000003</v>
      </c>
      <c r="B263" s="1">
        <f>DATE(2010,6,28) + TIME(5,26,21)</f>
        <v>40357.226631944446</v>
      </c>
      <c r="C263">
        <v>80</v>
      </c>
      <c r="D263">
        <v>79.906097411999994</v>
      </c>
      <c r="E263">
        <v>50</v>
      </c>
      <c r="F263">
        <v>14.997989655</v>
      </c>
      <c r="G263">
        <v>1389.4281006000001</v>
      </c>
      <c r="H263">
        <v>1375.5955810999999</v>
      </c>
      <c r="I263">
        <v>1251.1363524999999</v>
      </c>
      <c r="J263">
        <v>1211.6646728999999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58.926231999999999</v>
      </c>
      <c r="B264" s="1">
        <f>DATE(2010,6,28) + TIME(22,13,46)</f>
        <v>40357.926226851851</v>
      </c>
      <c r="C264">
        <v>80</v>
      </c>
      <c r="D264">
        <v>79.906181334999999</v>
      </c>
      <c r="E264">
        <v>50</v>
      </c>
      <c r="F264">
        <v>14.99800396</v>
      </c>
      <c r="G264">
        <v>1389.3482666</v>
      </c>
      <c r="H264">
        <v>1375.520874</v>
      </c>
      <c r="I264">
        <v>1251.1479492000001</v>
      </c>
      <c r="J264">
        <v>1211.6757812000001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59.634996999999998</v>
      </c>
      <c r="B265" s="1">
        <f>DATE(2010,6,29) + TIME(15,14,23)</f>
        <v>40358.634988425925</v>
      </c>
      <c r="C265">
        <v>80</v>
      </c>
      <c r="D265">
        <v>79.906265258999994</v>
      </c>
      <c r="E265">
        <v>50</v>
      </c>
      <c r="F265">
        <v>14.998019218</v>
      </c>
      <c r="G265">
        <v>1389.2685547000001</v>
      </c>
      <c r="H265">
        <v>1375.4461670000001</v>
      </c>
      <c r="I265">
        <v>1251.1599120999999</v>
      </c>
      <c r="J265">
        <v>1211.6870117000001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60.353898999999998</v>
      </c>
      <c r="B266" s="1">
        <f>DATE(2010,6,30) + TIME(8,29,36)</f>
        <v>40359.353888888887</v>
      </c>
      <c r="C266">
        <v>80</v>
      </c>
      <c r="D266">
        <v>79.906349182</v>
      </c>
      <c r="E266">
        <v>50</v>
      </c>
      <c r="F266">
        <v>14.998034476999999</v>
      </c>
      <c r="G266">
        <v>1389.1885986</v>
      </c>
      <c r="H266">
        <v>1375.3714600000001</v>
      </c>
      <c r="I266">
        <v>1251.1719971</v>
      </c>
      <c r="J266">
        <v>1211.6984863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61</v>
      </c>
      <c r="B267" s="1">
        <f>DATE(2010,7,1) + TIME(0,0,0)</f>
        <v>40360</v>
      </c>
      <c r="C267">
        <v>80</v>
      </c>
      <c r="D267">
        <v>79.906425475999995</v>
      </c>
      <c r="E267">
        <v>50</v>
      </c>
      <c r="F267">
        <v>14.998048782</v>
      </c>
      <c r="G267">
        <v>1389.1082764</v>
      </c>
      <c r="H267">
        <v>1375.2961425999999</v>
      </c>
      <c r="I267">
        <v>1251.1842041</v>
      </c>
      <c r="J267">
        <v>1211.7100829999999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61.730248000000003</v>
      </c>
      <c r="B268" s="1">
        <f>DATE(2010,7,1) + TIME(17,31,33)</f>
        <v>40360.730243055557</v>
      </c>
      <c r="C268">
        <v>80</v>
      </c>
      <c r="D268">
        <v>79.906517029</v>
      </c>
      <c r="E268">
        <v>50</v>
      </c>
      <c r="F268">
        <v>14.998063087</v>
      </c>
      <c r="G268">
        <v>1389.0372314000001</v>
      </c>
      <c r="H268">
        <v>1375.2297363</v>
      </c>
      <c r="I268">
        <v>1251.1955565999999</v>
      </c>
      <c r="J268">
        <v>1211.7208252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62.485168000000002</v>
      </c>
      <c r="B269" s="1">
        <f>DATE(2010,7,2) + TIME(11,38,38)</f>
        <v>40361.485162037039</v>
      </c>
      <c r="C269">
        <v>80</v>
      </c>
      <c r="D269">
        <v>79.906608582000004</v>
      </c>
      <c r="E269">
        <v>50</v>
      </c>
      <c r="F269">
        <v>14.998078346</v>
      </c>
      <c r="G269">
        <v>1388.9576416</v>
      </c>
      <c r="H269">
        <v>1375.1551514</v>
      </c>
      <c r="I269">
        <v>1251.2082519999999</v>
      </c>
      <c r="J269">
        <v>1211.7327881000001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62.864806999999999</v>
      </c>
      <c r="B270" s="1">
        <f>DATE(2010,7,2) + TIME(20,45,19)</f>
        <v>40361.864803240744</v>
      </c>
      <c r="C270">
        <v>80</v>
      </c>
      <c r="D270">
        <v>79.906646729000002</v>
      </c>
      <c r="E270">
        <v>50</v>
      </c>
      <c r="F270">
        <v>14.998088836999999</v>
      </c>
      <c r="G270">
        <v>1388.8751221</v>
      </c>
      <c r="H270">
        <v>1375.0778809000001</v>
      </c>
      <c r="I270">
        <v>1251.2210693</v>
      </c>
      <c r="J270">
        <v>1211.7448730000001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63.244444999999999</v>
      </c>
      <c r="B271" s="1">
        <f>DATE(2010,7,3) + TIME(5,52,0)</f>
        <v>40362.244444444441</v>
      </c>
      <c r="C271">
        <v>80</v>
      </c>
      <c r="D271">
        <v>79.906692504999995</v>
      </c>
      <c r="E271">
        <v>50</v>
      </c>
      <c r="F271">
        <v>14.998098372999999</v>
      </c>
      <c r="G271">
        <v>1388.8343506000001</v>
      </c>
      <c r="H271">
        <v>1375.0397949000001</v>
      </c>
      <c r="I271">
        <v>1251.2277832</v>
      </c>
      <c r="J271">
        <v>1211.7512207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63.624084000000003</v>
      </c>
      <c r="B272" s="1">
        <f>DATE(2010,7,3) + TIME(14,58,40)</f>
        <v>40362.624074074076</v>
      </c>
      <c r="C272">
        <v>80</v>
      </c>
      <c r="D272">
        <v>79.906730651999993</v>
      </c>
      <c r="E272">
        <v>50</v>
      </c>
      <c r="F272">
        <v>14.998106956000001</v>
      </c>
      <c r="G272">
        <v>1388.7939452999999</v>
      </c>
      <c r="H272">
        <v>1375.0019531</v>
      </c>
      <c r="I272">
        <v>1251.2344971</v>
      </c>
      <c r="J272">
        <v>1211.7575684000001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64.003721999999996</v>
      </c>
      <c r="B273" s="1">
        <f>DATE(2010,7,4) + TIME(0,5,21)</f>
        <v>40363.00371527778</v>
      </c>
      <c r="C273">
        <v>80</v>
      </c>
      <c r="D273">
        <v>79.906776428000001</v>
      </c>
      <c r="E273">
        <v>50</v>
      </c>
      <c r="F273">
        <v>14.998115540000001</v>
      </c>
      <c r="G273">
        <v>1388.7537841999999</v>
      </c>
      <c r="H273">
        <v>1374.9642334</v>
      </c>
      <c r="I273">
        <v>1251.2412108999999</v>
      </c>
      <c r="J273">
        <v>1211.7640381000001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64.383359999999996</v>
      </c>
      <c r="B274" s="1">
        <f>DATE(2010,7,4) + TIME(9,12,2)</f>
        <v>40363.383356481485</v>
      </c>
      <c r="C274">
        <v>80</v>
      </c>
      <c r="D274">
        <v>79.906822204999997</v>
      </c>
      <c r="E274">
        <v>50</v>
      </c>
      <c r="F274">
        <v>14.998123168999999</v>
      </c>
      <c r="G274">
        <v>1388.7138672000001</v>
      </c>
      <c r="H274">
        <v>1374.9268798999999</v>
      </c>
      <c r="I274">
        <v>1251.2479248</v>
      </c>
      <c r="J274">
        <v>1211.7703856999999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64.762998999999994</v>
      </c>
      <c r="B275" s="1">
        <f>DATE(2010,7,4) + TIME(18,18,43)</f>
        <v>40363.762997685182</v>
      </c>
      <c r="C275">
        <v>80</v>
      </c>
      <c r="D275">
        <v>79.906867981000005</v>
      </c>
      <c r="E275">
        <v>50</v>
      </c>
      <c r="F275">
        <v>14.998131752000001</v>
      </c>
      <c r="G275">
        <v>1388.6740723</v>
      </c>
      <c r="H275">
        <v>1374.8896483999999</v>
      </c>
      <c r="I275">
        <v>1251.2547606999999</v>
      </c>
      <c r="J275">
        <v>1211.7768555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65.142636999999993</v>
      </c>
      <c r="B276" s="1">
        <f>DATE(2010,7,5) + TIME(3,25,23)</f>
        <v>40364.142627314817</v>
      </c>
      <c r="C276">
        <v>80</v>
      </c>
      <c r="D276">
        <v>79.906913756999998</v>
      </c>
      <c r="E276">
        <v>50</v>
      </c>
      <c r="F276">
        <v>14.998139381</v>
      </c>
      <c r="G276">
        <v>1388.6346435999999</v>
      </c>
      <c r="H276">
        <v>1374.8526611</v>
      </c>
      <c r="I276">
        <v>1251.2614745999999</v>
      </c>
      <c r="J276">
        <v>1211.7832031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65.522276000000005</v>
      </c>
      <c r="B277" s="1">
        <f>DATE(2010,7,5) + TIME(12,32,4)</f>
        <v>40364.522268518522</v>
      </c>
      <c r="C277">
        <v>80</v>
      </c>
      <c r="D277">
        <v>79.906959533999995</v>
      </c>
      <c r="E277">
        <v>50</v>
      </c>
      <c r="F277">
        <v>14.998147011</v>
      </c>
      <c r="G277">
        <v>1388.5953368999999</v>
      </c>
      <c r="H277">
        <v>1374.815918</v>
      </c>
      <c r="I277">
        <v>1251.2683105000001</v>
      </c>
      <c r="J277">
        <v>1211.7896728999999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66.281552000000005</v>
      </c>
      <c r="B278" s="1">
        <f>DATE(2010,7,6) + TIME(6,45,26)</f>
        <v>40365.281550925924</v>
      </c>
      <c r="C278">
        <v>80</v>
      </c>
      <c r="D278">
        <v>79.907066345000004</v>
      </c>
      <c r="E278">
        <v>50</v>
      </c>
      <c r="F278">
        <v>14.998158455</v>
      </c>
      <c r="G278">
        <v>1388.557251</v>
      </c>
      <c r="H278">
        <v>1374.7803954999999</v>
      </c>
      <c r="I278">
        <v>1251.2755127</v>
      </c>
      <c r="J278">
        <v>1211.7965088000001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67.042123000000004</v>
      </c>
      <c r="B279" s="1">
        <f>DATE(2010,7,7) + TIME(1,0,39)</f>
        <v>40366.042118055557</v>
      </c>
      <c r="C279">
        <v>80</v>
      </c>
      <c r="D279">
        <v>79.907157897999994</v>
      </c>
      <c r="E279">
        <v>50</v>
      </c>
      <c r="F279">
        <v>14.998170853</v>
      </c>
      <c r="G279">
        <v>1388.4798584</v>
      </c>
      <c r="H279">
        <v>1374.7080077999999</v>
      </c>
      <c r="I279">
        <v>1251.2891846</v>
      </c>
      <c r="J279">
        <v>1211.8094481999999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67.808053999999998</v>
      </c>
      <c r="B280" s="1">
        <f>DATE(2010,7,7) + TIME(19,23,35)</f>
        <v>40366.80804398148</v>
      </c>
      <c r="C280">
        <v>80</v>
      </c>
      <c r="D280">
        <v>79.907257079999994</v>
      </c>
      <c r="E280">
        <v>50</v>
      </c>
      <c r="F280">
        <v>14.998185158</v>
      </c>
      <c r="G280">
        <v>1388.4030762</v>
      </c>
      <c r="H280">
        <v>1374.6362305</v>
      </c>
      <c r="I280">
        <v>1251.3031006000001</v>
      </c>
      <c r="J280">
        <v>1211.8225098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68.580477000000002</v>
      </c>
      <c r="B281" s="1">
        <f>DATE(2010,7,8) + TIME(13,55,53)</f>
        <v>40367.580474537041</v>
      </c>
      <c r="C281">
        <v>80</v>
      </c>
      <c r="D281">
        <v>79.907348632999998</v>
      </c>
      <c r="E281">
        <v>50</v>
      </c>
      <c r="F281">
        <v>14.998199463000001</v>
      </c>
      <c r="G281">
        <v>1388.3265381000001</v>
      </c>
      <c r="H281">
        <v>1374.5646973</v>
      </c>
      <c r="I281">
        <v>1251.3170166</v>
      </c>
      <c r="J281">
        <v>1211.8356934000001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69.360611000000006</v>
      </c>
      <c r="B282" s="1">
        <f>DATE(2010,7,9) + TIME(8,39,16)</f>
        <v>40368.360601851855</v>
      </c>
      <c r="C282">
        <v>80</v>
      </c>
      <c r="D282">
        <v>79.907447814999998</v>
      </c>
      <c r="E282">
        <v>50</v>
      </c>
      <c r="F282">
        <v>14.998213767999999</v>
      </c>
      <c r="G282">
        <v>1388.2502440999999</v>
      </c>
      <c r="H282">
        <v>1374.4932861</v>
      </c>
      <c r="I282">
        <v>1251.3312988</v>
      </c>
      <c r="J282">
        <v>1211.8491211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70.149867999999998</v>
      </c>
      <c r="B283" s="1">
        <f>DATE(2010,7,10) + TIME(3,35,48)</f>
        <v>40369.149861111109</v>
      </c>
      <c r="C283">
        <v>80</v>
      </c>
      <c r="D283">
        <v>79.907539368000002</v>
      </c>
      <c r="E283">
        <v>50</v>
      </c>
      <c r="F283">
        <v>14.998228073</v>
      </c>
      <c r="G283">
        <v>1388.1739502</v>
      </c>
      <c r="H283">
        <v>1374.4219971</v>
      </c>
      <c r="I283">
        <v>1251.3457031</v>
      </c>
      <c r="J283">
        <v>1211.8626709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70.949650000000005</v>
      </c>
      <c r="B284" s="1">
        <f>DATE(2010,7,10) + TIME(22,47,29)</f>
        <v>40369.949641203704</v>
      </c>
      <c r="C284">
        <v>80</v>
      </c>
      <c r="D284">
        <v>79.907638550000001</v>
      </c>
      <c r="E284">
        <v>50</v>
      </c>
      <c r="F284">
        <v>14.998242378</v>
      </c>
      <c r="G284">
        <v>1388.0976562000001</v>
      </c>
      <c r="H284">
        <v>1374.3507079999999</v>
      </c>
      <c r="I284">
        <v>1251.3604736</v>
      </c>
      <c r="J284">
        <v>1211.8765868999999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71.761161999999999</v>
      </c>
      <c r="B285" s="1">
        <f>DATE(2010,7,11) + TIME(18,16,4)</f>
        <v>40370.761157407411</v>
      </c>
      <c r="C285">
        <v>80</v>
      </c>
      <c r="D285">
        <v>79.907737732000001</v>
      </c>
      <c r="E285">
        <v>50</v>
      </c>
      <c r="F285">
        <v>14.998257637</v>
      </c>
      <c r="G285">
        <v>1388.0211182</v>
      </c>
      <c r="H285">
        <v>1374.2790527</v>
      </c>
      <c r="I285">
        <v>1251.3754882999999</v>
      </c>
      <c r="J285">
        <v>1211.8907471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72.584625000000003</v>
      </c>
      <c r="B286" s="1">
        <f>DATE(2010,7,12) + TIME(14,1,51)</f>
        <v>40371.584618055553</v>
      </c>
      <c r="C286">
        <v>80</v>
      </c>
      <c r="D286">
        <v>79.907836914000001</v>
      </c>
      <c r="E286">
        <v>50</v>
      </c>
      <c r="F286">
        <v>14.998271942000001</v>
      </c>
      <c r="G286">
        <v>1387.9443358999999</v>
      </c>
      <c r="H286">
        <v>1374.2072754000001</v>
      </c>
      <c r="I286">
        <v>1251.3907471</v>
      </c>
      <c r="J286">
        <v>1211.9051514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73.415395000000004</v>
      </c>
      <c r="B287" s="1">
        <f>DATE(2010,7,13) + TIME(9,58,10)</f>
        <v>40372.415393518517</v>
      </c>
      <c r="C287">
        <v>80</v>
      </c>
      <c r="D287">
        <v>79.907936096</v>
      </c>
      <c r="E287">
        <v>50</v>
      </c>
      <c r="F287">
        <v>14.998287201</v>
      </c>
      <c r="G287">
        <v>1387.8670654</v>
      </c>
      <c r="H287">
        <v>1374.1351318</v>
      </c>
      <c r="I287">
        <v>1251.4064940999999</v>
      </c>
      <c r="J287">
        <v>1211.9199219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74.250811999999996</v>
      </c>
      <c r="B288" s="1">
        <f>DATE(2010,7,14) + TIME(6,1,10)</f>
        <v>40373.250810185185</v>
      </c>
      <c r="C288">
        <v>80</v>
      </c>
      <c r="D288">
        <v>79.908042907999999</v>
      </c>
      <c r="E288">
        <v>50</v>
      </c>
      <c r="F288">
        <v>14.99830246</v>
      </c>
      <c r="G288">
        <v>1387.7900391000001</v>
      </c>
      <c r="H288">
        <v>1374.0631103999999</v>
      </c>
      <c r="I288">
        <v>1251.4223632999999</v>
      </c>
      <c r="J288">
        <v>1211.9349365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75.090137999999996</v>
      </c>
      <c r="B289" s="1">
        <f>DATE(2010,7,15) + TIME(2,9,47)</f>
        <v>40374.090127314812</v>
      </c>
      <c r="C289">
        <v>80</v>
      </c>
      <c r="D289">
        <v>79.908142089999998</v>
      </c>
      <c r="E289">
        <v>50</v>
      </c>
      <c r="F289">
        <v>14.998316765</v>
      </c>
      <c r="G289">
        <v>1387.7133789</v>
      </c>
      <c r="H289">
        <v>1373.9915771000001</v>
      </c>
      <c r="I289">
        <v>1251.4384766000001</v>
      </c>
      <c r="J289">
        <v>1211.9500731999999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75.929640000000006</v>
      </c>
      <c r="B290" s="1">
        <f>DATE(2010,7,15) + TIME(22,18,40)</f>
        <v>40374.929629629631</v>
      </c>
      <c r="C290">
        <v>80</v>
      </c>
      <c r="D290">
        <v>79.908248900999993</v>
      </c>
      <c r="E290">
        <v>50</v>
      </c>
      <c r="F290">
        <v>14.998332024</v>
      </c>
      <c r="G290">
        <v>1387.637207</v>
      </c>
      <c r="H290">
        <v>1373.9202881000001</v>
      </c>
      <c r="I290">
        <v>1251.4548339999999</v>
      </c>
      <c r="J290">
        <v>1211.9654541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76.770711000000006</v>
      </c>
      <c r="B291" s="1">
        <f>DATE(2010,7,16) + TIME(18,29,49)</f>
        <v>40375.77070601852</v>
      </c>
      <c r="C291">
        <v>80</v>
      </c>
      <c r="D291">
        <v>79.908348083000007</v>
      </c>
      <c r="E291">
        <v>50</v>
      </c>
      <c r="F291">
        <v>14.998347281999999</v>
      </c>
      <c r="G291">
        <v>1387.5617675999999</v>
      </c>
      <c r="H291">
        <v>1373.8497314000001</v>
      </c>
      <c r="I291">
        <v>1251.4713135</v>
      </c>
      <c r="J291">
        <v>1211.980957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77.614722</v>
      </c>
      <c r="B292" s="1">
        <f>DATE(2010,7,17) + TIME(14,45,11)</f>
        <v>40376.614710648151</v>
      </c>
      <c r="C292">
        <v>80</v>
      </c>
      <c r="D292">
        <v>79.908447265999996</v>
      </c>
      <c r="E292">
        <v>50</v>
      </c>
      <c r="F292">
        <v>14.998361588</v>
      </c>
      <c r="G292">
        <v>1387.4869385</v>
      </c>
      <c r="H292">
        <v>1373.7799072</v>
      </c>
      <c r="I292">
        <v>1251.4879149999999</v>
      </c>
      <c r="J292">
        <v>1211.996582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78.463026999999997</v>
      </c>
      <c r="B293" s="1">
        <f>DATE(2010,7,18) + TIME(11,6,45)</f>
        <v>40377.463020833333</v>
      </c>
      <c r="C293">
        <v>80</v>
      </c>
      <c r="D293">
        <v>79.908554077000005</v>
      </c>
      <c r="E293">
        <v>50</v>
      </c>
      <c r="F293">
        <v>14.998376845999999</v>
      </c>
      <c r="G293">
        <v>1387.4125977000001</v>
      </c>
      <c r="H293">
        <v>1373.7104492000001</v>
      </c>
      <c r="I293">
        <v>1251.5047606999999</v>
      </c>
      <c r="J293">
        <v>1212.0123291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79.316986</v>
      </c>
      <c r="B294" s="1">
        <f>DATE(2010,7,19) + TIME(7,36,27)</f>
        <v>40378.316979166666</v>
      </c>
      <c r="C294">
        <v>80</v>
      </c>
      <c r="D294">
        <v>79.908660889000004</v>
      </c>
      <c r="E294">
        <v>50</v>
      </c>
      <c r="F294">
        <v>14.998391151</v>
      </c>
      <c r="G294">
        <v>1387.3387451000001</v>
      </c>
      <c r="H294">
        <v>1373.6413574000001</v>
      </c>
      <c r="I294">
        <v>1251.5218506000001</v>
      </c>
      <c r="J294">
        <v>1212.0283202999999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80.177953000000002</v>
      </c>
      <c r="B295" s="1">
        <f>DATE(2010,7,20) + TIME(4,16,15)</f>
        <v>40379.177951388891</v>
      </c>
      <c r="C295">
        <v>80</v>
      </c>
      <c r="D295">
        <v>79.908760071000003</v>
      </c>
      <c r="E295">
        <v>50</v>
      </c>
      <c r="F295">
        <v>14.998405457</v>
      </c>
      <c r="G295">
        <v>1387.2650146000001</v>
      </c>
      <c r="H295">
        <v>1373.5725098</v>
      </c>
      <c r="I295">
        <v>1251.5390625</v>
      </c>
      <c r="J295">
        <v>1212.0445557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81.047319999999999</v>
      </c>
      <c r="B296" s="1">
        <f>DATE(2010,7,21) + TIME(1,8,8)</f>
        <v>40380.047314814816</v>
      </c>
      <c r="C296">
        <v>80</v>
      </c>
      <c r="D296">
        <v>79.908866881999998</v>
      </c>
      <c r="E296">
        <v>50</v>
      </c>
      <c r="F296">
        <v>14.998420715</v>
      </c>
      <c r="G296">
        <v>1387.1914062000001</v>
      </c>
      <c r="H296">
        <v>1373.5036620999999</v>
      </c>
      <c r="I296">
        <v>1251.5566406</v>
      </c>
      <c r="J296">
        <v>1212.0609131000001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81.925646999999998</v>
      </c>
      <c r="B297" s="1">
        <f>DATE(2010,7,21) + TIME(22,12,55)</f>
        <v>40380.925636574073</v>
      </c>
      <c r="C297">
        <v>80</v>
      </c>
      <c r="D297">
        <v>79.908973693999997</v>
      </c>
      <c r="E297">
        <v>50</v>
      </c>
      <c r="F297">
        <v>14.998435020000001</v>
      </c>
      <c r="G297">
        <v>1387.1179199000001</v>
      </c>
      <c r="H297">
        <v>1373.4349365</v>
      </c>
      <c r="I297">
        <v>1251.5744629000001</v>
      </c>
      <c r="J297">
        <v>1212.0777588000001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82.809736999999998</v>
      </c>
      <c r="B298" s="1">
        <f>DATE(2010,7,22) + TIME(19,26,1)</f>
        <v>40381.809733796297</v>
      </c>
      <c r="C298">
        <v>80</v>
      </c>
      <c r="D298">
        <v>79.909080505000006</v>
      </c>
      <c r="E298">
        <v>50</v>
      </c>
      <c r="F298">
        <v>14.998450279</v>
      </c>
      <c r="G298">
        <v>1387.0443115</v>
      </c>
      <c r="H298">
        <v>1373.3662108999999</v>
      </c>
      <c r="I298">
        <v>1251.5927733999999</v>
      </c>
      <c r="J298">
        <v>1212.0947266000001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83.695751999999999</v>
      </c>
      <c r="B299" s="1">
        <f>DATE(2010,7,23) + TIME(16,41,53)</f>
        <v>40382.695752314816</v>
      </c>
      <c r="C299">
        <v>80</v>
      </c>
      <c r="D299">
        <v>79.909194946</v>
      </c>
      <c r="E299">
        <v>50</v>
      </c>
      <c r="F299">
        <v>14.998464584000001</v>
      </c>
      <c r="G299">
        <v>1386.9709473</v>
      </c>
      <c r="H299">
        <v>1373.2977295000001</v>
      </c>
      <c r="I299">
        <v>1251.6112060999999</v>
      </c>
      <c r="J299">
        <v>1212.1120605000001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84.585194000000001</v>
      </c>
      <c r="B300" s="1">
        <f>DATE(2010,7,24) + TIME(14,2,40)</f>
        <v>40383.585185185184</v>
      </c>
      <c r="C300">
        <v>80</v>
      </c>
      <c r="D300">
        <v>79.909301757999998</v>
      </c>
      <c r="E300">
        <v>50</v>
      </c>
      <c r="F300">
        <v>14.998479843</v>
      </c>
      <c r="G300">
        <v>1386.8981934000001</v>
      </c>
      <c r="H300">
        <v>1373.2296143000001</v>
      </c>
      <c r="I300">
        <v>1251.6298827999999</v>
      </c>
      <c r="J300">
        <v>1212.1295166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85.479533000000004</v>
      </c>
      <c r="B301" s="1">
        <f>DATE(2010,7,25) + TIME(11,30,31)</f>
        <v>40384.479525462964</v>
      </c>
      <c r="C301">
        <v>80</v>
      </c>
      <c r="D301">
        <v>79.909408568999993</v>
      </c>
      <c r="E301">
        <v>50</v>
      </c>
      <c r="F301">
        <v>14.998495102</v>
      </c>
      <c r="G301">
        <v>1386.8258057</v>
      </c>
      <c r="H301">
        <v>1373.1619873</v>
      </c>
      <c r="I301">
        <v>1251.6488036999999</v>
      </c>
      <c r="J301">
        <v>1212.1472168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86.380234000000002</v>
      </c>
      <c r="B302" s="1">
        <f>DATE(2010,7,26) + TIME(9,7,32)</f>
        <v>40385.380231481482</v>
      </c>
      <c r="C302">
        <v>80</v>
      </c>
      <c r="D302">
        <v>79.909515381000006</v>
      </c>
      <c r="E302">
        <v>50</v>
      </c>
      <c r="F302">
        <v>14.998509407</v>
      </c>
      <c r="G302">
        <v>1386.7537841999999</v>
      </c>
      <c r="H302">
        <v>1373.0947266000001</v>
      </c>
      <c r="I302">
        <v>1251.6679687999999</v>
      </c>
      <c r="J302">
        <v>1212.1651611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87.288820000000001</v>
      </c>
      <c r="B303" s="1">
        <f>DATE(2010,7,27) + TIME(6,55,54)</f>
        <v>40386.288819444446</v>
      </c>
      <c r="C303">
        <v>80</v>
      </c>
      <c r="D303">
        <v>79.909629821999999</v>
      </c>
      <c r="E303">
        <v>50</v>
      </c>
      <c r="F303">
        <v>14.998524666</v>
      </c>
      <c r="G303">
        <v>1386.6818848</v>
      </c>
      <c r="H303">
        <v>1373.0274658000001</v>
      </c>
      <c r="I303">
        <v>1251.6875</v>
      </c>
      <c r="J303">
        <v>1212.1833495999999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88.206828000000002</v>
      </c>
      <c r="B304" s="1">
        <f>DATE(2010,7,28) + TIME(4,57,49)</f>
        <v>40387.206817129627</v>
      </c>
      <c r="C304">
        <v>80</v>
      </c>
      <c r="D304">
        <v>79.909744262999993</v>
      </c>
      <c r="E304">
        <v>50</v>
      </c>
      <c r="F304">
        <v>14.998539924999999</v>
      </c>
      <c r="G304">
        <v>1386.6099853999999</v>
      </c>
      <c r="H304">
        <v>1372.9604492000001</v>
      </c>
      <c r="I304">
        <v>1251.7073975000001</v>
      </c>
      <c r="J304">
        <v>1212.2017822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89.128420000000006</v>
      </c>
      <c r="B305" s="1">
        <f>DATE(2010,7,29) + TIME(3,4,55)</f>
        <v>40388.12841435185</v>
      </c>
      <c r="C305">
        <v>80</v>
      </c>
      <c r="D305">
        <v>79.909851074000002</v>
      </c>
      <c r="E305">
        <v>50</v>
      </c>
      <c r="F305">
        <v>14.998555183000001</v>
      </c>
      <c r="G305">
        <v>1386.5380858999999</v>
      </c>
      <c r="H305">
        <v>1372.8931885</v>
      </c>
      <c r="I305">
        <v>1251.7275391000001</v>
      </c>
      <c r="J305">
        <v>1212.2207031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90.054236000000003</v>
      </c>
      <c r="B306" s="1">
        <f>DATE(2010,7,30) + TIME(1,18,5)</f>
        <v>40389.054224537038</v>
      </c>
      <c r="C306">
        <v>80</v>
      </c>
      <c r="D306">
        <v>79.909965514999996</v>
      </c>
      <c r="E306">
        <v>50</v>
      </c>
      <c r="F306">
        <v>14.998571395999999</v>
      </c>
      <c r="G306">
        <v>1386.4666748</v>
      </c>
      <c r="H306">
        <v>1372.8264160000001</v>
      </c>
      <c r="I306">
        <v>1251.7480469</v>
      </c>
      <c r="J306">
        <v>1212.2397461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90.985778999999994</v>
      </c>
      <c r="B307" s="1">
        <f>DATE(2010,7,30) + TIME(23,39,31)</f>
        <v>40389.985775462963</v>
      </c>
      <c r="C307">
        <v>80</v>
      </c>
      <c r="D307">
        <v>79.910079956000004</v>
      </c>
      <c r="E307">
        <v>50</v>
      </c>
      <c r="F307">
        <v>14.998586655</v>
      </c>
      <c r="G307">
        <v>1386.3955077999999</v>
      </c>
      <c r="H307">
        <v>1372.7598877</v>
      </c>
      <c r="I307">
        <v>1251.7689209</v>
      </c>
      <c r="J307">
        <v>1212.2591553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91.452957999999995</v>
      </c>
      <c r="B308" s="1">
        <f>DATE(2010,7,31) + TIME(10,52,15)</f>
        <v>40390.452951388892</v>
      </c>
      <c r="C308">
        <v>80</v>
      </c>
      <c r="D308">
        <v>79.910125731999997</v>
      </c>
      <c r="E308">
        <v>50</v>
      </c>
      <c r="F308">
        <v>14.998598099000001</v>
      </c>
      <c r="G308">
        <v>1386.3237305</v>
      </c>
      <c r="H308">
        <v>1372.6926269999999</v>
      </c>
      <c r="I308">
        <v>1251.7896728999999</v>
      </c>
      <c r="J308">
        <v>1212.2784423999999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92</v>
      </c>
      <c r="B309" s="1">
        <f>DATE(2010,8,1) + TIME(0,0,0)</f>
        <v>40391</v>
      </c>
      <c r="C309">
        <v>80</v>
      </c>
      <c r="D309">
        <v>79.910194396999998</v>
      </c>
      <c r="E309">
        <v>50</v>
      </c>
      <c r="F309">
        <v>14.998609543000001</v>
      </c>
      <c r="G309">
        <v>1386.2884521000001</v>
      </c>
      <c r="H309">
        <v>1372.659668</v>
      </c>
      <c r="I309">
        <v>1251.8004149999999</v>
      </c>
      <c r="J309">
        <v>1212.2884521000001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92.467179000000002</v>
      </c>
      <c r="B310" s="1">
        <f>DATE(2010,8,1) + TIME(11,12,44)</f>
        <v>40391.467175925929</v>
      </c>
      <c r="C310">
        <v>80</v>
      </c>
      <c r="D310">
        <v>79.910247803000004</v>
      </c>
      <c r="E310">
        <v>50</v>
      </c>
      <c r="F310">
        <v>14.998619079999999</v>
      </c>
      <c r="G310">
        <v>1386.2470702999999</v>
      </c>
      <c r="H310">
        <v>1372.6209716999999</v>
      </c>
      <c r="I310">
        <v>1251.8129882999999</v>
      </c>
      <c r="J310">
        <v>1212.3001709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92.934358000000003</v>
      </c>
      <c r="B311" s="1">
        <f>DATE(2010,8,1) + TIME(22,25,28)</f>
        <v>40391.934351851851</v>
      </c>
      <c r="C311">
        <v>80</v>
      </c>
      <c r="D311">
        <v>79.910301208000007</v>
      </c>
      <c r="E311">
        <v>50</v>
      </c>
      <c r="F311">
        <v>14.998628616</v>
      </c>
      <c r="G311">
        <v>1386.2120361</v>
      </c>
      <c r="H311">
        <v>1372.5881348</v>
      </c>
      <c r="I311">
        <v>1251.8238524999999</v>
      </c>
      <c r="J311">
        <v>1212.3103027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93.401538000000002</v>
      </c>
      <c r="B312" s="1">
        <f>DATE(2010,8,2) + TIME(9,38,12)</f>
        <v>40392.40152777778</v>
      </c>
      <c r="C312">
        <v>80</v>
      </c>
      <c r="D312">
        <v>79.910354613999999</v>
      </c>
      <c r="E312">
        <v>50</v>
      </c>
      <c r="F312">
        <v>14.998638153</v>
      </c>
      <c r="G312">
        <v>1386.177124</v>
      </c>
      <c r="H312">
        <v>1372.5555420000001</v>
      </c>
      <c r="I312">
        <v>1251.8347168</v>
      </c>
      <c r="J312">
        <v>1212.3203125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93.868717000000004</v>
      </c>
      <c r="B313" s="1">
        <f>DATE(2010,8,2) + TIME(20,50,57)</f>
        <v>40392.868715277778</v>
      </c>
      <c r="C313">
        <v>80</v>
      </c>
      <c r="D313">
        <v>79.910415649000001</v>
      </c>
      <c r="E313">
        <v>50</v>
      </c>
      <c r="F313">
        <v>14.998646736</v>
      </c>
      <c r="G313">
        <v>1386.1424560999999</v>
      </c>
      <c r="H313">
        <v>1372.5230713000001</v>
      </c>
      <c r="I313">
        <v>1251.8457031</v>
      </c>
      <c r="J313">
        <v>1212.3305664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94.335896000000005</v>
      </c>
      <c r="B314" s="1">
        <f>DATE(2010,8,3) + TIME(8,3,41)</f>
        <v>40393.3358912037</v>
      </c>
      <c r="C314">
        <v>80</v>
      </c>
      <c r="D314">
        <v>79.910469054999993</v>
      </c>
      <c r="E314">
        <v>50</v>
      </c>
      <c r="F314">
        <v>14.998655318999999</v>
      </c>
      <c r="G314">
        <v>1386.1079102000001</v>
      </c>
      <c r="H314">
        <v>1372.4907227000001</v>
      </c>
      <c r="I314">
        <v>1251.8566894999999</v>
      </c>
      <c r="J314">
        <v>1212.3406981999999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94.803075000000007</v>
      </c>
      <c r="B315" s="1">
        <f>DATE(2010,8,3) + TIME(19,16,25)</f>
        <v>40393.803067129629</v>
      </c>
      <c r="C315">
        <v>80</v>
      </c>
      <c r="D315">
        <v>79.910530089999995</v>
      </c>
      <c r="E315">
        <v>50</v>
      </c>
      <c r="F315">
        <v>14.998664856</v>
      </c>
      <c r="G315">
        <v>1386.0734863</v>
      </c>
      <c r="H315">
        <v>1372.4584961</v>
      </c>
      <c r="I315">
        <v>1251.8676757999999</v>
      </c>
      <c r="J315">
        <v>1212.3509521000001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95.270253999999994</v>
      </c>
      <c r="B316" s="1">
        <f>DATE(2010,8,4) + TIME(6,29,9)</f>
        <v>40394.270243055558</v>
      </c>
      <c r="C316">
        <v>80</v>
      </c>
      <c r="D316">
        <v>79.910583496000001</v>
      </c>
      <c r="E316">
        <v>50</v>
      </c>
      <c r="F316">
        <v>14.998674393</v>
      </c>
      <c r="G316">
        <v>1386.0393065999999</v>
      </c>
      <c r="H316">
        <v>1372.4265137</v>
      </c>
      <c r="I316">
        <v>1251.8787841999999</v>
      </c>
      <c r="J316">
        <v>1212.3613281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96.204612999999995</v>
      </c>
      <c r="B317" s="1">
        <f>DATE(2010,8,5) + TIME(4,54,38)</f>
        <v>40395.204606481479</v>
      </c>
      <c r="C317">
        <v>80</v>
      </c>
      <c r="D317">
        <v>79.910705566000004</v>
      </c>
      <c r="E317">
        <v>50</v>
      </c>
      <c r="F317">
        <v>14.998686790000001</v>
      </c>
      <c r="G317">
        <v>1386.0059814000001</v>
      </c>
      <c r="H317">
        <v>1372.3955077999999</v>
      </c>
      <c r="I317">
        <v>1251.8902588000001</v>
      </c>
      <c r="J317">
        <v>1212.3719481999999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97.140173000000004</v>
      </c>
      <c r="B318" s="1">
        <f>DATE(2010,8,6) + TIME(3,21,50)</f>
        <v>40396.140162037038</v>
      </c>
      <c r="C318">
        <v>80</v>
      </c>
      <c r="D318">
        <v>79.910820006999998</v>
      </c>
      <c r="E318">
        <v>50</v>
      </c>
      <c r="F318">
        <v>14.998703957</v>
      </c>
      <c r="G318">
        <v>1385.9383545000001</v>
      </c>
      <c r="H318">
        <v>1372.3321533000001</v>
      </c>
      <c r="I318">
        <v>1251.9125977000001</v>
      </c>
      <c r="J318">
        <v>1212.3927002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98.0839</v>
      </c>
      <c r="B319" s="1">
        <f>DATE(2010,8,7) + TIME(2,0,48)</f>
        <v>40397.08388888889</v>
      </c>
      <c r="C319">
        <v>80</v>
      </c>
      <c r="D319">
        <v>79.910942078000005</v>
      </c>
      <c r="E319">
        <v>50</v>
      </c>
      <c r="F319">
        <v>14.998722076</v>
      </c>
      <c r="G319">
        <v>1385.8712158000001</v>
      </c>
      <c r="H319">
        <v>1372.2694091999999</v>
      </c>
      <c r="I319">
        <v>1251.9353027</v>
      </c>
      <c r="J319">
        <v>1212.4136963000001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99.037302999999994</v>
      </c>
      <c r="B320" s="1">
        <f>DATE(2010,8,8) + TIME(0,53,42)</f>
        <v>40398.037291666667</v>
      </c>
      <c r="C320">
        <v>80</v>
      </c>
      <c r="D320">
        <v>79.911056518999999</v>
      </c>
      <c r="E320">
        <v>50</v>
      </c>
      <c r="F320">
        <v>14.998742104</v>
      </c>
      <c r="G320">
        <v>1385.8039550999999</v>
      </c>
      <c r="H320">
        <v>1372.206543</v>
      </c>
      <c r="I320">
        <v>1251.958374</v>
      </c>
      <c r="J320">
        <v>1212.4350586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100.001936</v>
      </c>
      <c r="B321" s="1">
        <f>DATE(2010,8,9) + TIME(0,2,47)</f>
        <v>40399.001932870371</v>
      </c>
      <c r="C321">
        <v>80</v>
      </c>
      <c r="D321">
        <v>79.911170959000003</v>
      </c>
      <c r="E321">
        <v>50</v>
      </c>
      <c r="F321">
        <v>14.998764992</v>
      </c>
      <c r="G321">
        <v>1385.7366943</v>
      </c>
      <c r="H321">
        <v>1372.1435547000001</v>
      </c>
      <c r="I321">
        <v>1251.9819336</v>
      </c>
      <c r="J321">
        <v>1212.4569091999999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100.979418</v>
      </c>
      <c r="B322" s="1">
        <f>DATE(2010,8,9) + TIME(23,30,21)</f>
        <v>40399.979409722226</v>
      </c>
      <c r="C322">
        <v>80</v>
      </c>
      <c r="D322">
        <v>79.911293029999996</v>
      </c>
      <c r="E322">
        <v>50</v>
      </c>
      <c r="F322">
        <v>14.998788834000001</v>
      </c>
      <c r="G322">
        <v>1385.6691894999999</v>
      </c>
      <c r="H322">
        <v>1372.0804443</v>
      </c>
      <c r="I322">
        <v>1252.0061035000001</v>
      </c>
      <c r="J322">
        <v>1212.479126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101.474097</v>
      </c>
      <c r="B323" s="1">
        <f>DATE(2010,8,10) + TIME(11,22,41)</f>
        <v>40400.474085648151</v>
      </c>
      <c r="C323">
        <v>80</v>
      </c>
      <c r="D323">
        <v>79.911338806000003</v>
      </c>
      <c r="E323">
        <v>50</v>
      </c>
      <c r="F323">
        <v>14.998806953000001</v>
      </c>
      <c r="G323">
        <v>1385.6005858999999</v>
      </c>
      <c r="H323">
        <v>1372.0162353999999</v>
      </c>
      <c r="I323">
        <v>1252.0305175999999</v>
      </c>
      <c r="J323">
        <v>1212.5015868999999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101.96877499999999</v>
      </c>
      <c r="B324" s="1">
        <f>DATE(2010,8,10) + TIME(23,15,2)</f>
        <v>40400.968773148146</v>
      </c>
      <c r="C324">
        <v>80</v>
      </c>
      <c r="D324">
        <v>79.911399841000005</v>
      </c>
      <c r="E324">
        <v>50</v>
      </c>
      <c r="F324">
        <v>14.99882412</v>
      </c>
      <c r="G324">
        <v>1385.5662841999999</v>
      </c>
      <c r="H324">
        <v>1371.9841309000001</v>
      </c>
      <c r="I324">
        <v>1252.0432129000001</v>
      </c>
      <c r="J324">
        <v>1212.5133057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102.463454</v>
      </c>
      <c r="B325" s="1">
        <f>DATE(2010,8,11) + TIME(11,7,22)</f>
        <v>40401.463449074072</v>
      </c>
      <c r="C325">
        <v>80</v>
      </c>
      <c r="D325">
        <v>79.911453246999997</v>
      </c>
      <c r="E325">
        <v>50</v>
      </c>
      <c r="F325">
        <v>14.998840332</v>
      </c>
      <c r="G325">
        <v>1385.5323486</v>
      </c>
      <c r="H325">
        <v>1371.9522704999999</v>
      </c>
      <c r="I325">
        <v>1252.0559082</v>
      </c>
      <c r="J325">
        <v>1212.5251464999999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102.958133</v>
      </c>
      <c r="B326" s="1">
        <f>DATE(2010,8,11) + TIME(22,59,42)</f>
        <v>40401.958124999997</v>
      </c>
      <c r="C326">
        <v>80</v>
      </c>
      <c r="D326">
        <v>79.911514281999999</v>
      </c>
      <c r="E326">
        <v>50</v>
      </c>
      <c r="F326">
        <v>14.998857498</v>
      </c>
      <c r="G326">
        <v>1385.4984131000001</v>
      </c>
      <c r="H326">
        <v>1371.9205322</v>
      </c>
      <c r="I326">
        <v>1252.0687256000001</v>
      </c>
      <c r="J326">
        <v>1212.5368652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103.45281199999999</v>
      </c>
      <c r="B327" s="1">
        <f>DATE(2010,8,12) + TIME(10,52,2)</f>
        <v>40402.452800925923</v>
      </c>
      <c r="C327">
        <v>80</v>
      </c>
      <c r="D327">
        <v>79.911575317</v>
      </c>
      <c r="E327">
        <v>50</v>
      </c>
      <c r="F327">
        <v>14.998874664000001</v>
      </c>
      <c r="G327">
        <v>1385.4647216999999</v>
      </c>
      <c r="H327">
        <v>1371.8889160000001</v>
      </c>
      <c r="I327">
        <v>1252.0816649999999</v>
      </c>
      <c r="J327">
        <v>1212.5488281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103.947491</v>
      </c>
      <c r="B328" s="1">
        <f>DATE(2010,8,12) + TIME(22,44,23)</f>
        <v>40402.947488425925</v>
      </c>
      <c r="C328">
        <v>80</v>
      </c>
      <c r="D328">
        <v>79.911636353000006</v>
      </c>
      <c r="E328">
        <v>50</v>
      </c>
      <c r="F328">
        <v>14.998892784000001</v>
      </c>
      <c r="G328">
        <v>1385.4311522999999</v>
      </c>
      <c r="H328">
        <v>1371.8575439000001</v>
      </c>
      <c r="I328">
        <v>1252.0946045000001</v>
      </c>
      <c r="J328">
        <v>1212.5607910000001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104.44217</v>
      </c>
      <c r="B329" s="1">
        <f>DATE(2010,8,13) + TIME(10,36,43)</f>
        <v>40403.442164351851</v>
      </c>
      <c r="C329">
        <v>80</v>
      </c>
      <c r="D329">
        <v>79.911689757999994</v>
      </c>
      <c r="E329">
        <v>50</v>
      </c>
      <c r="F329">
        <v>14.998910904000001</v>
      </c>
      <c r="G329">
        <v>1385.3977050999999</v>
      </c>
      <c r="H329">
        <v>1371.8261719</v>
      </c>
      <c r="I329">
        <v>1252.1076660000001</v>
      </c>
      <c r="J329">
        <v>1212.5727539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104.936848</v>
      </c>
      <c r="B330" s="1">
        <f>DATE(2010,8,13) + TIME(22,29,3)</f>
        <v>40403.936840277776</v>
      </c>
      <c r="C330">
        <v>80</v>
      </c>
      <c r="D330">
        <v>79.911750792999996</v>
      </c>
      <c r="E330">
        <v>50</v>
      </c>
      <c r="F330">
        <v>14.998929977</v>
      </c>
      <c r="G330">
        <v>1385.3643798999999</v>
      </c>
      <c r="H330">
        <v>1371.7949219</v>
      </c>
      <c r="I330">
        <v>1252.1207274999999</v>
      </c>
      <c r="J330">
        <v>1212.5848389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105.431527</v>
      </c>
      <c r="B331" s="1">
        <f>DATE(2010,8,14) + TIME(10,21,23)</f>
        <v>40404.431516203702</v>
      </c>
      <c r="C331">
        <v>80</v>
      </c>
      <c r="D331">
        <v>79.911811829000001</v>
      </c>
      <c r="E331">
        <v>50</v>
      </c>
      <c r="F331">
        <v>14.998950958</v>
      </c>
      <c r="G331">
        <v>1385.3311768000001</v>
      </c>
      <c r="H331">
        <v>1371.7639160000001</v>
      </c>
      <c r="I331">
        <v>1252.1340332</v>
      </c>
      <c r="J331">
        <v>1212.5969238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105.92620599999999</v>
      </c>
      <c r="B332" s="1">
        <f>DATE(2010,8,14) + TIME(22,13,44)</f>
        <v>40404.926203703704</v>
      </c>
      <c r="C332">
        <v>80</v>
      </c>
      <c r="D332">
        <v>79.911872864000003</v>
      </c>
      <c r="E332">
        <v>50</v>
      </c>
      <c r="F332">
        <v>14.998971939</v>
      </c>
      <c r="G332">
        <v>1385.2980957</v>
      </c>
      <c r="H332">
        <v>1371.7329102000001</v>
      </c>
      <c r="I332">
        <v>1252.1472168</v>
      </c>
      <c r="J332">
        <v>1212.6092529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106.420885</v>
      </c>
      <c r="B333" s="1">
        <f>DATE(2010,8,15) + TIME(10,6,4)</f>
        <v>40405.42087962963</v>
      </c>
      <c r="C333">
        <v>80</v>
      </c>
      <c r="D333">
        <v>79.911933899000005</v>
      </c>
      <c r="E333">
        <v>50</v>
      </c>
      <c r="F333">
        <v>14.998994827000001</v>
      </c>
      <c r="G333">
        <v>1385.2652588000001</v>
      </c>
      <c r="H333">
        <v>1371.7021483999999</v>
      </c>
      <c r="I333">
        <v>1252.1606445</v>
      </c>
      <c r="J333">
        <v>1212.6214600000001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106.915564</v>
      </c>
      <c r="B334" s="1">
        <f>DATE(2010,8,15) + TIME(21,58,24)</f>
        <v>40405.915555555555</v>
      </c>
      <c r="C334">
        <v>80</v>
      </c>
      <c r="D334">
        <v>79.911987304999997</v>
      </c>
      <c r="E334">
        <v>50</v>
      </c>
      <c r="F334">
        <v>14.999018669</v>
      </c>
      <c r="G334">
        <v>1385.2324219</v>
      </c>
      <c r="H334">
        <v>1371.6713867000001</v>
      </c>
      <c r="I334">
        <v>1252.1740723</v>
      </c>
      <c r="J334">
        <v>1212.6337891000001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107.410242</v>
      </c>
      <c r="B335" s="1">
        <f>DATE(2010,8,16) + TIME(9,50,44)</f>
        <v>40406.410231481481</v>
      </c>
      <c r="C335">
        <v>80</v>
      </c>
      <c r="D335">
        <v>79.912048339999998</v>
      </c>
      <c r="E335">
        <v>50</v>
      </c>
      <c r="F335">
        <v>14.999044418</v>
      </c>
      <c r="G335">
        <v>1385.1998291</v>
      </c>
      <c r="H335">
        <v>1371.6407471</v>
      </c>
      <c r="I335">
        <v>1252.1876221</v>
      </c>
      <c r="J335">
        <v>1212.6462402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107.904921</v>
      </c>
      <c r="B336" s="1">
        <f>DATE(2010,8,16) + TIME(21,43,5)</f>
        <v>40406.904918981483</v>
      </c>
      <c r="C336">
        <v>80</v>
      </c>
      <c r="D336">
        <v>79.912109375</v>
      </c>
      <c r="E336">
        <v>50</v>
      </c>
      <c r="F336">
        <v>14.999071121</v>
      </c>
      <c r="G336">
        <v>1385.1672363</v>
      </c>
      <c r="H336">
        <v>1371.6103516000001</v>
      </c>
      <c r="I336">
        <v>1252.2011719</v>
      </c>
      <c r="J336">
        <v>1212.6586914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108.39960000000001</v>
      </c>
      <c r="B337" s="1">
        <f>DATE(2010,8,17) + TIME(9,35,25)</f>
        <v>40407.399594907409</v>
      </c>
      <c r="C337">
        <v>80</v>
      </c>
      <c r="D337">
        <v>79.912170410000002</v>
      </c>
      <c r="E337">
        <v>50</v>
      </c>
      <c r="F337">
        <v>14.999100685</v>
      </c>
      <c r="G337">
        <v>1385.1348877</v>
      </c>
      <c r="H337">
        <v>1371.5799560999999</v>
      </c>
      <c r="I337">
        <v>1252.2148437999999</v>
      </c>
      <c r="J337">
        <v>1212.6712646000001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108.894279</v>
      </c>
      <c r="B338" s="1">
        <f>DATE(2010,8,17) + TIME(21,27,45)</f>
        <v>40407.894270833334</v>
      </c>
      <c r="C338">
        <v>80</v>
      </c>
      <c r="D338">
        <v>79.912223815999994</v>
      </c>
      <c r="E338">
        <v>50</v>
      </c>
      <c r="F338">
        <v>14.999131202999999</v>
      </c>
      <c r="G338">
        <v>1385.1026611</v>
      </c>
      <c r="H338">
        <v>1371.5496826000001</v>
      </c>
      <c r="I338">
        <v>1252.2286377</v>
      </c>
      <c r="J338">
        <v>1212.6839600000001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109.388958</v>
      </c>
      <c r="B339" s="1">
        <f>DATE(2010,8,18) + TIME(9,20,5)</f>
        <v>40408.38894675926</v>
      </c>
      <c r="C339">
        <v>80</v>
      </c>
      <c r="D339">
        <v>79.912284850999995</v>
      </c>
      <c r="E339">
        <v>50</v>
      </c>
      <c r="F339">
        <v>14.999163628</v>
      </c>
      <c r="G339">
        <v>1385.0704346</v>
      </c>
      <c r="H339">
        <v>1371.5196533000001</v>
      </c>
      <c r="I339">
        <v>1252.2425536999999</v>
      </c>
      <c r="J339">
        <v>1212.6966553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110.378315</v>
      </c>
      <c r="B340" s="1">
        <f>DATE(2010,8,19) + TIME(9,4,46)</f>
        <v>40409.378310185188</v>
      </c>
      <c r="C340">
        <v>80</v>
      </c>
      <c r="D340">
        <v>79.912414550999998</v>
      </c>
      <c r="E340">
        <v>50</v>
      </c>
      <c r="F340">
        <v>14.999214172</v>
      </c>
      <c r="G340">
        <v>1385.0391846</v>
      </c>
      <c r="H340">
        <v>1371.4903564000001</v>
      </c>
      <c r="I340">
        <v>1252.2568358999999</v>
      </c>
      <c r="J340">
        <v>1212.7097168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111.37155199999999</v>
      </c>
      <c r="B341" s="1">
        <f>DATE(2010,8,20) + TIME(8,55,2)</f>
        <v>40410.371550925927</v>
      </c>
      <c r="C341">
        <v>80</v>
      </c>
      <c r="D341">
        <v>79.912536621000001</v>
      </c>
      <c r="E341">
        <v>50</v>
      </c>
      <c r="F341">
        <v>14.999281883</v>
      </c>
      <c r="G341">
        <v>1384.9757079999999</v>
      </c>
      <c r="H341">
        <v>1371.4309082</v>
      </c>
      <c r="I341">
        <v>1252.2847899999999</v>
      </c>
      <c r="J341">
        <v>1212.7354736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112.379036</v>
      </c>
      <c r="B342" s="1">
        <f>DATE(2010,8,21) + TIME(9,5,48)</f>
        <v>40411.379027777781</v>
      </c>
      <c r="C342">
        <v>80</v>
      </c>
      <c r="D342">
        <v>79.912651061999995</v>
      </c>
      <c r="E342">
        <v>50</v>
      </c>
      <c r="F342">
        <v>14.999364852999999</v>
      </c>
      <c r="G342">
        <v>1384.9123535000001</v>
      </c>
      <c r="H342">
        <v>1371.3714600000001</v>
      </c>
      <c r="I342">
        <v>1252.3133545000001</v>
      </c>
      <c r="J342">
        <v>1212.7615966999999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113.402558</v>
      </c>
      <c r="B343" s="1">
        <f>DATE(2010,8,22) + TIME(9,39,41)</f>
        <v>40412.402557870373</v>
      </c>
      <c r="C343">
        <v>80</v>
      </c>
      <c r="D343">
        <v>79.912773131999998</v>
      </c>
      <c r="E343">
        <v>50</v>
      </c>
      <c r="F343">
        <v>14.999462127999999</v>
      </c>
      <c r="G343">
        <v>1384.8485106999999</v>
      </c>
      <c r="H343">
        <v>1371.3117675999999</v>
      </c>
      <c r="I343">
        <v>1252.3426514</v>
      </c>
      <c r="J343">
        <v>1212.7883300999999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113.919962</v>
      </c>
      <c r="B344" s="1">
        <f>DATE(2010,8,22) + TIME(22,4,44)</f>
        <v>40412.919953703706</v>
      </c>
      <c r="C344">
        <v>80</v>
      </c>
      <c r="D344">
        <v>79.912834167</v>
      </c>
      <c r="E344">
        <v>50</v>
      </c>
      <c r="F344">
        <v>14.999541282999999</v>
      </c>
      <c r="G344">
        <v>1384.7834473</v>
      </c>
      <c r="H344">
        <v>1371.2507324000001</v>
      </c>
      <c r="I344">
        <v>1252.3725586</v>
      </c>
      <c r="J344">
        <v>1212.8155518000001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114.43736699999999</v>
      </c>
      <c r="B345" s="1">
        <f>DATE(2010,8,23) + TIME(10,29,48)</f>
        <v>40413.437361111108</v>
      </c>
      <c r="C345">
        <v>80</v>
      </c>
      <c r="D345">
        <v>79.912887573000006</v>
      </c>
      <c r="E345">
        <v>50</v>
      </c>
      <c r="F345">
        <v>14.999617577</v>
      </c>
      <c r="G345">
        <v>1384.7509766000001</v>
      </c>
      <c r="H345">
        <v>1371.2203368999999</v>
      </c>
      <c r="I345">
        <v>1252.3881836</v>
      </c>
      <c r="J345">
        <v>1212.8298339999999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114.95477099999999</v>
      </c>
      <c r="B346" s="1">
        <f>DATE(2010,8,23) + TIME(22,54,52)</f>
        <v>40413.954768518517</v>
      </c>
      <c r="C346">
        <v>80</v>
      </c>
      <c r="D346">
        <v>79.912948607999994</v>
      </c>
      <c r="E346">
        <v>50</v>
      </c>
      <c r="F346">
        <v>14.999695778</v>
      </c>
      <c r="G346">
        <v>1384.71875</v>
      </c>
      <c r="H346">
        <v>1371.1900635</v>
      </c>
      <c r="I346">
        <v>1252.4036865</v>
      </c>
      <c r="J346">
        <v>1212.8441161999999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115.47217499999999</v>
      </c>
      <c r="B347" s="1">
        <f>DATE(2010,8,24) + TIME(11,19,55)</f>
        <v>40414.47216435185</v>
      </c>
      <c r="C347">
        <v>80</v>
      </c>
      <c r="D347">
        <v>79.913009643999999</v>
      </c>
      <c r="E347">
        <v>50</v>
      </c>
      <c r="F347">
        <v>14.999775887</v>
      </c>
      <c r="G347">
        <v>1384.6866454999999</v>
      </c>
      <c r="H347">
        <v>1371.1599120999999</v>
      </c>
      <c r="I347">
        <v>1252.4194336</v>
      </c>
      <c r="J347">
        <v>1212.8583983999999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115.98958</v>
      </c>
      <c r="B348" s="1">
        <f>DATE(2010,8,24) + TIME(23,44,59)</f>
        <v>40414.989571759259</v>
      </c>
      <c r="C348">
        <v>80</v>
      </c>
      <c r="D348">
        <v>79.913070679</v>
      </c>
      <c r="E348">
        <v>50</v>
      </c>
      <c r="F348">
        <v>14.999860763999999</v>
      </c>
      <c r="G348">
        <v>1384.6546631000001</v>
      </c>
      <c r="H348">
        <v>1371.1298827999999</v>
      </c>
      <c r="I348">
        <v>1252.4353027</v>
      </c>
      <c r="J348">
        <v>1212.8728027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116.506984</v>
      </c>
      <c r="B349" s="1">
        <f>DATE(2010,8,25) + TIME(12,10,3)</f>
        <v>40415.506979166668</v>
      </c>
      <c r="C349">
        <v>80</v>
      </c>
      <c r="D349">
        <v>79.913131714000002</v>
      </c>
      <c r="E349">
        <v>50</v>
      </c>
      <c r="F349">
        <v>14.999950409</v>
      </c>
      <c r="G349">
        <v>1384.6226807</v>
      </c>
      <c r="H349">
        <v>1371.0999756000001</v>
      </c>
      <c r="I349">
        <v>1252.4512939000001</v>
      </c>
      <c r="J349">
        <v>1212.8874512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117.024388</v>
      </c>
      <c r="B350" s="1">
        <f>DATE(2010,8,26) + TIME(0,35,7)</f>
        <v>40416.024386574078</v>
      </c>
      <c r="C350">
        <v>80</v>
      </c>
      <c r="D350">
        <v>79.913192749000004</v>
      </c>
      <c r="E350">
        <v>50</v>
      </c>
      <c r="F350">
        <v>15.000045776</v>
      </c>
      <c r="G350">
        <v>1384.5909423999999</v>
      </c>
      <c r="H350">
        <v>1371.0700684000001</v>
      </c>
      <c r="I350">
        <v>1252.4674072</v>
      </c>
      <c r="J350">
        <v>1212.9020995999999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117.541793</v>
      </c>
      <c r="B351" s="1">
        <f>DATE(2010,8,26) + TIME(13,0,10)</f>
        <v>40416.54178240741</v>
      </c>
      <c r="C351">
        <v>80</v>
      </c>
      <c r="D351">
        <v>79.913253784000005</v>
      </c>
      <c r="E351">
        <v>50</v>
      </c>
      <c r="F351">
        <v>15.000148772999999</v>
      </c>
      <c r="G351">
        <v>1384.5592041</v>
      </c>
      <c r="H351">
        <v>1371.0404053</v>
      </c>
      <c r="I351">
        <v>1252.4835204999999</v>
      </c>
      <c r="J351">
        <v>1212.9167480000001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118.059197</v>
      </c>
      <c r="B352" s="1">
        <f>DATE(2010,8,27) + TIME(1,25,14)</f>
        <v>40417.059189814812</v>
      </c>
      <c r="C352">
        <v>80</v>
      </c>
      <c r="D352">
        <v>79.913314818999993</v>
      </c>
      <c r="E352">
        <v>50</v>
      </c>
      <c r="F352">
        <v>15.000258446</v>
      </c>
      <c r="G352">
        <v>1384.5277100000001</v>
      </c>
      <c r="H352">
        <v>1371.0107422000001</v>
      </c>
      <c r="I352">
        <v>1252.4998779</v>
      </c>
      <c r="J352">
        <v>1212.9316406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118.576601</v>
      </c>
      <c r="B353" s="1">
        <f>DATE(2010,8,27) + TIME(13,50,18)</f>
        <v>40417.576597222222</v>
      </c>
      <c r="C353">
        <v>80</v>
      </c>
      <c r="D353">
        <v>79.913375853999995</v>
      </c>
      <c r="E353">
        <v>50</v>
      </c>
      <c r="F353">
        <v>15.000375748</v>
      </c>
      <c r="G353">
        <v>1384.4962158000001</v>
      </c>
      <c r="H353">
        <v>1370.9813231999999</v>
      </c>
      <c r="I353">
        <v>1252.5163574000001</v>
      </c>
      <c r="J353">
        <v>1212.9466553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119.09400599999999</v>
      </c>
      <c r="B354" s="1">
        <f>DATE(2010,8,28) + TIME(2,15,22)</f>
        <v>40418.094004629631</v>
      </c>
      <c r="C354">
        <v>80</v>
      </c>
      <c r="D354">
        <v>79.91343689</v>
      </c>
      <c r="E354">
        <v>50</v>
      </c>
      <c r="F354">
        <v>15.000501633000001</v>
      </c>
      <c r="G354">
        <v>1384.4649658000001</v>
      </c>
      <c r="H354">
        <v>1370.9519043</v>
      </c>
      <c r="I354">
        <v>1252.5329589999999</v>
      </c>
      <c r="J354">
        <v>1212.9616699000001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119.61141000000001</v>
      </c>
      <c r="B355" s="1">
        <f>DATE(2010,8,28) + TIME(14,40,25)</f>
        <v>40418.611400462964</v>
      </c>
      <c r="C355">
        <v>80</v>
      </c>
      <c r="D355">
        <v>79.913497925000001</v>
      </c>
      <c r="E355">
        <v>50</v>
      </c>
      <c r="F355">
        <v>15.000637054</v>
      </c>
      <c r="G355">
        <v>1384.4337158000001</v>
      </c>
      <c r="H355">
        <v>1370.9224853999999</v>
      </c>
      <c r="I355">
        <v>1252.5496826000001</v>
      </c>
      <c r="J355">
        <v>1212.9769286999999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120.12881400000001</v>
      </c>
      <c r="B356" s="1">
        <f>DATE(2010,8,29) + TIME(3,5,29)</f>
        <v>40419.128807870373</v>
      </c>
      <c r="C356">
        <v>80</v>
      </c>
      <c r="D356">
        <v>79.913558960000003</v>
      </c>
      <c r="E356">
        <v>50</v>
      </c>
      <c r="F356">
        <v>15.000782966999999</v>
      </c>
      <c r="G356">
        <v>1384.4025879000001</v>
      </c>
      <c r="H356">
        <v>1370.8933105000001</v>
      </c>
      <c r="I356">
        <v>1252.5665283000001</v>
      </c>
      <c r="J356">
        <v>1212.9921875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120.646219</v>
      </c>
      <c r="B357" s="1">
        <f>DATE(2010,8,29) + TIME(15,30,33)</f>
        <v>40419.646215277775</v>
      </c>
      <c r="C357">
        <v>80</v>
      </c>
      <c r="D357">
        <v>79.913619995000005</v>
      </c>
      <c r="E357">
        <v>50</v>
      </c>
      <c r="F357">
        <v>15.000939368999999</v>
      </c>
      <c r="G357">
        <v>1384.371582</v>
      </c>
      <c r="H357">
        <v>1370.8642577999999</v>
      </c>
      <c r="I357">
        <v>1252.5834961</v>
      </c>
      <c r="J357">
        <v>1213.0075684000001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121.163623</v>
      </c>
      <c r="B358" s="1">
        <f>DATE(2010,8,30) + TIME(3,55,37)</f>
        <v>40420.163622685184</v>
      </c>
      <c r="C358">
        <v>80</v>
      </c>
      <c r="D358">
        <v>79.913681030000006</v>
      </c>
      <c r="E358">
        <v>50</v>
      </c>
      <c r="F358">
        <v>15.001107215999999</v>
      </c>
      <c r="G358">
        <v>1384.3406981999999</v>
      </c>
      <c r="H358">
        <v>1370.8352050999999</v>
      </c>
      <c r="I358">
        <v>1252.6005858999999</v>
      </c>
      <c r="J358">
        <v>1213.0231934000001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122.198432</v>
      </c>
      <c r="B359" s="1">
        <f>DATE(2010,8,31) + TIME(4,45,44)</f>
        <v>40421.198425925926</v>
      </c>
      <c r="C359">
        <v>80</v>
      </c>
      <c r="D359">
        <v>79.913810729999994</v>
      </c>
      <c r="E359">
        <v>50</v>
      </c>
      <c r="F359">
        <v>15.001368523</v>
      </c>
      <c r="G359">
        <v>1384.3105469</v>
      </c>
      <c r="H359">
        <v>1370.8070068</v>
      </c>
      <c r="I359">
        <v>1252.6180420000001</v>
      </c>
      <c r="J359">
        <v>1213.0391846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123</v>
      </c>
      <c r="B360" s="1">
        <f>DATE(2010,9,1) + TIME(0,0,0)</f>
        <v>40422</v>
      </c>
      <c r="C360">
        <v>80</v>
      </c>
      <c r="D360">
        <v>79.913902282999999</v>
      </c>
      <c r="E360">
        <v>50</v>
      </c>
      <c r="F360">
        <v>15.001680373999999</v>
      </c>
      <c r="G360">
        <v>1384.2491454999999</v>
      </c>
      <c r="H360">
        <v>1370.7492675999999</v>
      </c>
      <c r="I360">
        <v>1252.6525879000001</v>
      </c>
      <c r="J360">
        <v>1213.0704346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124.036275</v>
      </c>
      <c r="B361" s="1">
        <f>DATE(2010,9,2) + TIME(0,52,14)</f>
        <v>40423.036273148151</v>
      </c>
      <c r="C361">
        <v>80</v>
      </c>
      <c r="D361">
        <v>79.914024353000002</v>
      </c>
      <c r="E361">
        <v>50</v>
      </c>
      <c r="F361">
        <v>15.002071381</v>
      </c>
      <c r="G361">
        <v>1384.2021483999999</v>
      </c>
      <c r="H361">
        <v>1370.7053223</v>
      </c>
      <c r="I361">
        <v>1252.6801757999999</v>
      </c>
      <c r="J361">
        <v>1213.0954589999999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124.569215</v>
      </c>
      <c r="B362" s="1">
        <f>DATE(2010,9,2) + TIME(13,39,40)</f>
        <v>40423.569212962961</v>
      </c>
      <c r="C362">
        <v>80</v>
      </c>
      <c r="D362">
        <v>79.914085388000004</v>
      </c>
      <c r="E362">
        <v>50</v>
      </c>
      <c r="F362">
        <v>15.002404213</v>
      </c>
      <c r="G362">
        <v>1384.1409911999999</v>
      </c>
      <c r="H362">
        <v>1370.6477050999999</v>
      </c>
      <c r="I362">
        <v>1252.7158202999999</v>
      </c>
      <c r="J362">
        <v>1213.1275635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125.102155</v>
      </c>
      <c r="B363" s="1">
        <f>DATE(2010,9,3) + TIME(2,27,6)</f>
        <v>40424.102152777778</v>
      </c>
      <c r="C363">
        <v>80</v>
      </c>
      <c r="D363">
        <v>79.914146423000005</v>
      </c>
      <c r="E363">
        <v>50</v>
      </c>
      <c r="F363">
        <v>15.002733231000001</v>
      </c>
      <c r="G363">
        <v>1384.1098632999999</v>
      </c>
      <c r="H363">
        <v>1370.6185303</v>
      </c>
      <c r="I363">
        <v>1252.7344971</v>
      </c>
      <c r="J363">
        <v>1213.1446533000001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125.63509500000001</v>
      </c>
      <c r="B364" s="1">
        <f>DATE(2010,9,3) + TIME(15,14,32)</f>
        <v>40424.635092592594</v>
      </c>
      <c r="C364">
        <v>80</v>
      </c>
      <c r="D364">
        <v>79.914207458000007</v>
      </c>
      <c r="E364">
        <v>50</v>
      </c>
      <c r="F364">
        <v>15.003068924000001</v>
      </c>
      <c r="G364">
        <v>1384.0788574000001</v>
      </c>
      <c r="H364">
        <v>1370.5893555</v>
      </c>
      <c r="I364">
        <v>1252.753418</v>
      </c>
      <c r="J364">
        <v>1213.1617432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126.16803400000001</v>
      </c>
      <c r="B365" s="1">
        <f>DATE(2010,9,4) + TIME(4,1,58)</f>
        <v>40425.168032407404</v>
      </c>
      <c r="C365">
        <v>80</v>
      </c>
      <c r="D365">
        <v>79.914268493999998</v>
      </c>
      <c r="E365">
        <v>50</v>
      </c>
      <c r="F365">
        <v>15.003417015</v>
      </c>
      <c r="G365">
        <v>1384.0479736</v>
      </c>
      <c r="H365">
        <v>1370.5604248</v>
      </c>
      <c r="I365">
        <v>1252.7725829999999</v>
      </c>
      <c r="J365">
        <v>1213.1790771000001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126.700974</v>
      </c>
      <c r="B366" s="1">
        <f>DATE(2010,9,4) + TIME(16,49,24)</f>
        <v>40425.700972222221</v>
      </c>
      <c r="C366">
        <v>80</v>
      </c>
      <c r="D366">
        <v>79.914329529</v>
      </c>
      <c r="E366">
        <v>50</v>
      </c>
      <c r="F366">
        <v>15.00378418</v>
      </c>
      <c r="G366">
        <v>1384.0172118999999</v>
      </c>
      <c r="H366">
        <v>1370.5314940999999</v>
      </c>
      <c r="I366">
        <v>1252.7918701000001</v>
      </c>
      <c r="J366">
        <v>1213.1965332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127.233914</v>
      </c>
      <c r="B367" s="1">
        <f>DATE(2010,9,5) + TIME(5,36,50)</f>
        <v>40426.233912037038</v>
      </c>
      <c r="C367">
        <v>80</v>
      </c>
      <c r="D367">
        <v>79.914390564000001</v>
      </c>
      <c r="E367">
        <v>50</v>
      </c>
      <c r="F367">
        <v>15.004174232</v>
      </c>
      <c r="G367">
        <v>1383.9865723</v>
      </c>
      <c r="H367">
        <v>1370.5026855000001</v>
      </c>
      <c r="I367">
        <v>1252.8112793</v>
      </c>
      <c r="J367">
        <v>1213.2142334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127.766854</v>
      </c>
      <c r="B368" s="1">
        <f>DATE(2010,9,5) + TIME(18,24,16)</f>
        <v>40426.766851851855</v>
      </c>
      <c r="C368">
        <v>80</v>
      </c>
      <c r="D368">
        <v>79.914451599000003</v>
      </c>
      <c r="E368">
        <v>50</v>
      </c>
      <c r="F368">
        <v>15.004589081000001</v>
      </c>
      <c r="G368">
        <v>1383.9560547000001</v>
      </c>
      <c r="H368">
        <v>1370.473999</v>
      </c>
      <c r="I368">
        <v>1252.8309326000001</v>
      </c>
      <c r="J368">
        <v>1213.2319336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128.29979399999999</v>
      </c>
      <c r="B369" s="1">
        <f>DATE(2010,9,6) + TIME(7,11,42)</f>
        <v>40427.299791666665</v>
      </c>
      <c r="C369">
        <v>80</v>
      </c>
      <c r="D369">
        <v>79.914512634000005</v>
      </c>
      <c r="E369">
        <v>50</v>
      </c>
      <c r="F369">
        <v>15.005031585999999</v>
      </c>
      <c r="G369">
        <v>1383.9255370999999</v>
      </c>
      <c r="H369">
        <v>1370.4453125</v>
      </c>
      <c r="I369">
        <v>1252.8508300999999</v>
      </c>
      <c r="J369">
        <v>1213.2498779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128.83188899999999</v>
      </c>
      <c r="B370" s="1">
        <f>DATE(2010,9,6) + TIME(19,57,55)</f>
        <v>40427.831886574073</v>
      </c>
      <c r="C370">
        <v>80</v>
      </c>
      <c r="D370">
        <v>79.914573669000006</v>
      </c>
      <c r="E370">
        <v>50</v>
      </c>
      <c r="F370">
        <v>15.005504608000001</v>
      </c>
      <c r="G370">
        <v>1383.8952637</v>
      </c>
      <c r="H370">
        <v>1370.4167480000001</v>
      </c>
      <c r="I370">
        <v>1252.8708495999999</v>
      </c>
      <c r="J370">
        <v>1213.2680664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129.36266800000001</v>
      </c>
      <c r="B371" s="1">
        <f>DATE(2010,9,7) + TIME(8,42,14)</f>
        <v>40428.362662037034</v>
      </c>
      <c r="C371">
        <v>80</v>
      </c>
      <c r="D371">
        <v>79.914634704999997</v>
      </c>
      <c r="E371">
        <v>50</v>
      </c>
      <c r="F371">
        <v>15.006010055999999</v>
      </c>
      <c r="G371">
        <v>1383.8649902</v>
      </c>
      <c r="H371">
        <v>1370.3883057</v>
      </c>
      <c r="I371">
        <v>1252.8909911999999</v>
      </c>
      <c r="J371">
        <v>1213.2863769999999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129.89227299999999</v>
      </c>
      <c r="B372" s="1">
        <f>DATE(2010,9,7) + TIME(21,24,52)</f>
        <v>40428.892268518517</v>
      </c>
      <c r="C372">
        <v>80</v>
      </c>
      <c r="D372">
        <v>79.914695739999999</v>
      </c>
      <c r="E372">
        <v>50</v>
      </c>
      <c r="F372">
        <v>15.006548882000001</v>
      </c>
      <c r="G372">
        <v>1383.8349608999999</v>
      </c>
      <c r="H372">
        <v>1370.3601074000001</v>
      </c>
      <c r="I372">
        <v>1252.9112548999999</v>
      </c>
      <c r="J372">
        <v>1213.3046875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130.42082500000001</v>
      </c>
      <c r="B373" s="1">
        <f>DATE(2010,9,8) + TIME(10,5,59)</f>
        <v>40429.42082175926</v>
      </c>
      <c r="C373">
        <v>80</v>
      </c>
      <c r="D373">
        <v>79.914756775000001</v>
      </c>
      <c r="E373">
        <v>50</v>
      </c>
      <c r="F373">
        <v>15.007123947</v>
      </c>
      <c r="G373">
        <v>1383.8050536999999</v>
      </c>
      <c r="H373">
        <v>1370.3319091999999</v>
      </c>
      <c r="I373">
        <v>1252.9317627</v>
      </c>
      <c r="J373">
        <v>1213.3232422000001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130.94845599999999</v>
      </c>
      <c r="B374" s="1">
        <f>DATE(2010,9,8) + TIME(22,45,46)</f>
        <v>40429.948449074072</v>
      </c>
      <c r="C374">
        <v>80</v>
      </c>
      <c r="D374">
        <v>79.914817810000002</v>
      </c>
      <c r="E374">
        <v>50</v>
      </c>
      <c r="F374">
        <v>15.00773716</v>
      </c>
      <c r="G374">
        <v>1383.7752685999999</v>
      </c>
      <c r="H374">
        <v>1370.3039550999999</v>
      </c>
      <c r="I374">
        <v>1252.9523925999999</v>
      </c>
      <c r="J374">
        <v>1213.3419189000001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131.47530800000001</v>
      </c>
      <c r="B375" s="1">
        <f>DATE(2010,9,9) + TIME(11,24,26)</f>
        <v>40430.475300925929</v>
      </c>
      <c r="C375">
        <v>80</v>
      </c>
      <c r="D375">
        <v>79.914878845000004</v>
      </c>
      <c r="E375">
        <v>50</v>
      </c>
      <c r="F375">
        <v>15.008392334</v>
      </c>
      <c r="G375">
        <v>1383.7456055</v>
      </c>
      <c r="H375">
        <v>1370.2761230000001</v>
      </c>
      <c r="I375">
        <v>1252.9732666</v>
      </c>
      <c r="J375">
        <v>1213.3608397999999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132.52775</v>
      </c>
      <c r="B376" s="1">
        <f>DATE(2010,9,10) + TIME(12,39,57)</f>
        <v>40431.527743055558</v>
      </c>
      <c r="C376">
        <v>80</v>
      </c>
      <c r="D376">
        <v>79.915008545000006</v>
      </c>
      <c r="E376">
        <v>50</v>
      </c>
      <c r="F376">
        <v>15.009407043</v>
      </c>
      <c r="G376">
        <v>1383.7167969</v>
      </c>
      <c r="H376">
        <v>1370.2490233999999</v>
      </c>
      <c r="I376">
        <v>1252.9943848</v>
      </c>
      <c r="J376">
        <v>1213.380249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133.58506399999999</v>
      </c>
      <c r="B377" s="1">
        <f>DATE(2010,9,11) + TIME(14,2,29)</f>
        <v>40432.585057870368</v>
      </c>
      <c r="C377">
        <v>80</v>
      </c>
      <c r="D377">
        <v>79.915130614999995</v>
      </c>
      <c r="E377">
        <v>50</v>
      </c>
      <c r="F377">
        <v>15.01076889</v>
      </c>
      <c r="G377">
        <v>1383.6583252</v>
      </c>
      <c r="H377">
        <v>1370.1939697</v>
      </c>
      <c r="I377">
        <v>1253.0366211</v>
      </c>
      <c r="J377">
        <v>1213.4185791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134.657948</v>
      </c>
      <c r="B378" s="1">
        <f>DATE(2010,9,12) + TIME(15,47,26)</f>
        <v>40433.657939814817</v>
      </c>
      <c r="C378">
        <v>80</v>
      </c>
      <c r="D378">
        <v>79.915252686000002</v>
      </c>
      <c r="E378">
        <v>50</v>
      </c>
      <c r="F378">
        <v>15.012419701000001</v>
      </c>
      <c r="G378">
        <v>1383.5997314000001</v>
      </c>
      <c r="H378">
        <v>1370.1389160000001</v>
      </c>
      <c r="I378">
        <v>1253.0800781</v>
      </c>
      <c r="J378">
        <v>1213.4578856999999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135.20013499999999</v>
      </c>
      <c r="B379" s="1">
        <f>DATE(2010,9,13) + TIME(4,48,11)</f>
        <v>40434.200127314813</v>
      </c>
      <c r="C379">
        <v>80</v>
      </c>
      <c r="D379">
        <v>79.915313721000004</v>
      </c>
      <c r="E379">
        <v>50</v>
      </c>
      <c r="F379">
        <v>15.013758659000001</v>
      </c>
      <c r="G379">
        <v>1383.5401611</v>
      </c>
      <c r="H379">
        <v>1370.0827637</v>
      </c>
      <c r="I379">
        <v>1253.125</v>
      </c>
      <c r="J379">
        <v>1213.4981689000001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135.73606599999999</v>
      </c>
      <c r="B380" s="1">
        <f>DATE(2010,9,13) + TIME(17,39,56)</f>
        <v>40434.736064814817</v>
      </c>
      <c r="C380">
        <v>80</v>
      </c>
      <c r="D380">
        <v>79.915367126000007</v>
      </c>
      <c r="E380">
        <v>50</v>
      </c>
      <c r="F380">
        <v>15.015048027000001</v>
      </c>
      <c r="G380">
        <v>1383.5102539</v>
      </c>
      <c r="H380">
        <v>1370.0545654</v>
      </c>
      <c r="I380">
        <v>1253.1481934000001</v>
      </c>
      <c r="J380">
        <v>1213.5194091999999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136.27138299999999</v>
      </c>
      <c r="B381" s="1">
        <f>DATE(2010,9,14) + TIME(6,30,47)</f>
        <v>40435.271377314813</v>
      </c>
      <c r="C381">
        <v>80</v>
      </c>
      <c r="D381">
        <v>79.915428161999998</v>
      </c>
      <c r="E381">
        <v>50</v>
      </c>
      <c r="F381">
        <v>15.016340255999999</v>
      </c>
      <c r="G381">
        <v>1383.4808350000001</v>
      </c>
      <c r="H381">
        <v>1370.0269774999999</v>
      </c>
      <c r="I381">
        <v>1253.1713867000001</v>
      </c>
      <c r="J381">
        <v>1213.5405272999999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136.805722</v>
      </c>
      <c r="B382" s="1">
        <f>DATE(2010,9,14) + TIME(19,20,14)</f>
        <v>40435.805717592593</v>
      </c>
      <c r="C382">
        <v>80</v>
      </c>
      <c r="D382">
        <v>79.915489196999999</v>
      </c>
      <c r="E382">
        <v>50</v>
      </c>
      <c r="F382">
        <v>15.017665863</v>
      </c>
      <c r="G382">
        <v>1383.4516602000001</v>
      </c>
      <c r="H382">
        <v>1369.9993896000001</v>
      </c>
      <c r="I382">
        <v>1253.1949463000001</v>
      </c>
      <c r="J382">
        <v>1213.5620117000001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137.339088</v>
      </c>
      <c r="B383" s="1">
        <f>DATE(2010,9,15) + TIME(8,8,17)</f>
        <v>40436.339085648149</v>
      </c>
      <c r="C383">
        <v>80</v>
      </c>
      <c r="D383">
        <v>79.915550232000001</v>
      </c>
      <c r="E383">
        <v>50</v>
      </c>
      <c r="F383">
        <v>15.019044876000001</v>
      </c>
      <c r="G383">
        <v>1383.4226074000001</v>
      </c>
      <c r="H383">
        <v>1369.9719238</v>
      </c>
      <c r="I383">
        <v>1253.2186279</v>
      </c>
      <c r="J383">
        <v>1213.5836182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137.871488</v>
      </c>
      <c r="B384" s="1">
        <f>DATE(2010,9,15) + TIME(20,54,56)</f>
        <v>40436.871481481481</v>
      </c>
      <c r="C384">
        <v>80</v>
      </c>
      <c r="D384">
        <v>79.915611267000003</v>
      </c>
      <c r="E384">
        <v>50</v>
      </c>
      <c r="F384">
        <v>15.020492554</v>
      </c>
      <c r="G384">
        <v>1383.3935547000001</v>
      </c>
      <c r="H384">
        <v>1369.9447021000001</v>
      </c>
      <c r="I384">
        <v>1253.2424315999999</v>
      </c>
      <c r="J384">
        <v>1213.6054687999999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138.402961</v>
      </c>
      <c r="B385" s="1">
        <f>DATE(2010,9,16) + TIME(9,40,15)</f>
        <v>40437.402951388889</v>
      </c>
      <c r="C385">
        <v>80</v>
      </c>
      <c r="D385">
        <v>79.915672302000004</v>
      </c>
      <c r="E385">
        <v>50</v>
      </c>
      <c r="F385">
        <v>15.022019386</v>
      </c>
      <c r="G385">
        <v>1383.3647461</v>
      </c>
      <c r="H385">
        <v>1369.9174805</v>
      </c>
      <c r="I385">
        <v>1253.2666016000001</v>
      </c>
      <c r="J385">
        <v>1213.6275635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138.933582</v>
      </c>
      <c r="B386" s="1">
        <f>DATE(2010,9,16) + TIME(22,24,21)</f>
        <v>40437.933576388888</v>
      </c>
      <c r="C386">
        <v>80</v>
      </c>
      <c r="D386">
        <v>79.915733337000006</v>
      </c>
      <c r="E386">
        <v>50</v>
      </c>
      <c r="F386">
        <v>15.023633003</v>
      </c>
      <c r="G386">
        <v>1383.3360596</v>
      </c>
      <c r="H386">
        <v>1369.8903809000001</v>
      </c>
      <c r="I386">
        <v>1253.2910156</v>
      </c>
      <c r="J386">
        <v>1213.6497803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139.993323</v>
      </c>
      <c r="B387" s="1">
        <f>DATE(2010,9,17) + TIME(23,50,23)</f>
        <v>40438.993321759262</v>
      </c>
      <c r="C387">
        <v>80</v>
      </c>
      <c r="D387">
        <v>79.915863036999994</v>
      </c>
      <c r="E387">
        <v>50</v>
      </c>
      <c r="F387">
        <v>15.026117325</v>
      </c>
      <c r="G387">
        <v>1383.3079834</v>
      </c>
      <c r="H387">
        <v>1369.8640137</v>
      </c>
      <c r="I387">
        <v>1253.3156738</v>
      </c>
      <c r="J387">
        <v>1213.6729736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141.053978</v>
      </c>
      <c r="B388" s="1">
        <f>DATE(2010,9,19) + TIME(1,17,43)</f>
        <v>40440.053969907407</v>
      </c>
      <c r="C388">
        <v>80</v>
      </c>
      <c r="D388">
        <v>79.915985106999997</v>
      </c>
      <c r="E388">
        <v>50</v>
      </c>
      <c r="F388">
        <v>15.029416083999999</v>
      </c>
      <c r="G388">
        <v>1383.2512207</v>
      </c>
      <c r="H388">
        <v>1369.8105469</v>
      </c>
      <c r="I388">
        <v>1253.3654785000001</v>
      </c>
      <c r="J388">
        <v>1213.7183838000001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142.12608</v>
      </c>
      <c r="B389" s="1">
        <f>DATE(2010,9,20) + TIME(3,1,33)</f>
        <v>40441.126076388886</v>
      </c>
      <c r="C389">
        <v>80</v>
      </c>
      <c r="D389">
        <v>79.916107178000004</v>
      </c>
      <c r="E389">
        <v>50</v>
      </c>
      <c r="F389">
        <v>15.033372879</v>
      </c>
      <c r="G389">
        <v>1383.1945800999999</v>
      </c>
      <c r="H389">
        <v>1369.7572021000001</v>
      </c>
      <c r="I389">
        <v>1253.4165039</v>
      </c>
      <c r="J389">
        <v>1213.7652588000001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142.668926</v>
      </c>
      <c r="B390" s="1">
        <f>DATE(2010,9,20) + TIME(16,3,15)</f>
        <v>40441.668923611112</v>
      </c>
      <c r="C390">
        <v>80</v>
      </c>
      <c r="D390">
        <v>79.916160583000007</v>
      </c>
      <c r="E390">
        <v>50</v>
      </c>
      <c r="F390">
        <v>15.036550522000001</v>
      </c>
      <c r="G390">
        <v>1383.1370850000001</v>
      </c>
      <c r="H390">
        <v>1369.7028809000001</v>
      </c>
      <c r="I390">
        <v>1253.4697266000001</v>
      </c>
      <c r="J390">
        <v>1213.8131103999999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143.211772</v>
      </c>
      <c r="B391" s="1">
        <f>DATE(2010,9,21) + TIME(5,4,57)</f>
        <v>40442.211770833332</v>
      </c>
      <c r="C391">
        <v>80</v>
      </c>
      <c r="D391">
        <v>79.916221618999998</v>
      </c>
      <c r="E391">
        <v>50</v>
      </c>
      <c r="F391">
        <v>15.039616584999999</v>
      </c>
      <c r="G391">
        <v>1383.1081543</v>
      </c>
      <c r="H391">
        <v>1369.6755370999999</v>
      </c>
      <c r="I391">
        <v>1253.4970702999999</v>
      </c>
      <c r="J391">
        <v>1213.8387451000001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143.75461799999999</v>
      </c>
      <c r="B392" s="1">
        <f>DATE(2010,9,21) + TIME(18,6,39)</f>
        <v>40442.754618055558</v>
      </c>
      <c r="C392">
        <v>80</v>
      </c>
      <c r="D392">
        <v>79.916275024000001</v>
      </c>
      <c r="E392">
        <v>50</v>
      </c>
      <c r="F392">
        <v>15.042682648</v>
      </c>
      <c r="G392">
        <v>1383.0793457</v>
      </c>
      <c r="H392">
        <v>1369.6484375</v>
      </c>
      <c r="I392">
        <v>1253.5247803</v>
      </c>
      <c r="J392">
        <v>1213.864624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144.29746499999999</v>
      </c>
      <c r="B393" s="1">
        <f>DATE(2010,9,22) + TIME(7,8,20)</f>
        <v>40443.297453703701</v>
      </c>
      <c r="C393">
        <v>80</v>
      </c>
      <c r="D393">
        <v>79.916336060000006</v>
      </c>
      <c r="E393">
        <v>50</v>
      </c>
      <c r="F393">
        <v>15.045820236000001</v>
      </c>
      <c r="G393">
        <v>1383.0507812000001</v>
      </c>
      <c r="H393">
        <v>1369.6213379000001</v>
      </c>
      <c r="I393">
        <v>1253.5528564000001</v>
      </c>
      <c r="J393">
        <v>1213.8909911999999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144.84018800000001</v>
      </c>
      <c r="B394" s="1">
        <f>DATE(2010,9,22) + TIME(20,9,52)</f>
        <v>40443.840185185189</v>
      </c>
      <c r="C394">
        <v>80</v>
      </c>
      <c r="D394">
        <v>79.916397094999994</v>
      </c>
      <c r="E394">
        <v>50</v>
      </c>
      <c r="F394">
        <v>15.049077988000001</v>
      </c>
      <c r="G394">
        <v>1383.0220947</v>
      </c>
      <c r="H394">
        <v>1369.5943603999999</v>
      </c>
      <c r="I394">
        <v>1253.5814209</v>
      </c>
      <c r="J394">
        <v>1213.9176024999999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145.381304</v>
      </c>
      <c r="B395" s="1">
        <f>DATE(2010,9,23) + TIME(9,9,4)</f>
        <v>40444.381296296298</v>
      </c>
      <c r="C395">
        <v>80</v>
      </c>
      <c r="D395">
        <v>79.916458129999995</v>
      </c>
      <c r="E395">
        <v>50</v>
      </c>
      <c r="F395">
        <v>15.052484511999999</v>
      </c>
      <c r="G395">
        <v>1382.9935303</v>
      </c>
      <c r="H395">
        <v>1369.5673827999999</v>
      </c>
      <c r="I395">
        <v>1253.6103516000001</v>
      </c>
      <c r="J395">
        <v>1213.9447021000001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145.921156</v>
      </c>
      <c r="B396" s="1">
        <f>DATE(2010,9,23) + TIME(22,6,27)</f>
        <v>40444.92114583333</v>
      </c>
      <c r="C396">
        <v>80</v>
      </c>
      <c r="D396">
        <v>79.916519164999997</v>
      </c>
      <c r="E396">
        <v>50</v>
      </c>
      <c r="F396">
        <v>15.056062698</v>
      </c>
      <c r="G396">
        <v>1382.9652100000001</v>
      </c>
      <c r="H396">
        <v>1369.5406493999999</v>
      </c>
      <c r="I396">
        <v>1253.6396483999999</v>
      </c>
      <c r="J396">
        <v>1213.972168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146.46001899999999</v>
      </c>
      <c r="B397" s="1">
        <f>DATE(2010,9,24) + TIME(11,2,25)</f>
        <v>40445.460011574076</v>
      </c>
      <c r="C397">
        <v>80</v>
      </c>
      <c r="D397">
        <v>79.916580199999999</v>
      </c>
      <c r="E397">
        <v>50</v>
      </c>
      <c r="F397">
        <v>15.059833527</v>
      </c>
      <c r="G397">
        <v>1382.9368896000001</v>
      </c>
      <c r="H397">
        <v>1369.5139160000001</v>
      </c>
      <c r="I397">
        <v>1253.6691894999999</v>
      </c>
      <c r="J397">
        <v>1213.9998779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146.99796000000001</v>
      </c>
      <c r="B398" s="1">
        <f>DATE(2010,9,24) + TIME(23,57,3)</f>
        <v>40445.99795138889</v>
      </c>
      <c r="C398">
        <v>80</v>
      </c>
      <c r="D398">
        <v>79.916641235</v>
      </c>
      <c r="E398">
        <v>50</v>
      </c>
      <c r="F398">
        <v>15.063811302</v>
      </c>
      <c r="G398">
        <v>1382.9086914</v>
      </c>
      <c r="H398">
        <v>1369.4873047000001</v>
      </c>
      <c r="I398">
        <v>1253.6990966999999</v>
      </c>
      <c r="J398">
        <v>1214.0280762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147.535079</v>
      </c>
      <c r="B399" s="1">
        <f>DATE(2010,9,25) + TIME(12,50,30)</f>
        <v>40446.535069444442</v>
      </c>
      <c r="C399">
        <v>80</v>
      </c>
      <c r="D399">
        <v>79.916702271000005</v>
      </c>
      <c r="E399">
        <v>50</v>
      </c>
      <c r="F399">
        <v>15.068013191</v>
      </c>
      <c r="G399">
        <v>1382.8807373</v>
      </c>
      <c r="H399">
        <v>1369.4608154</v>
      </c>
      <c r="I399">
        <v>1253.7294922000001</v>
      </c>
      <c r="J399">
        <v>1214.0567627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148.07148799999999</v>
      </c>
      <c r="B400" s="1">
        <f>DATE(2010,9,26) + TIME(1,42,56)</f>
        <v>40447.071481481478</v>
      </c>
      <c r="C400">
        <v>80</v>
      </c>
      <c r="D400">
        <v>79.916763306000007</v>
      </c>
      <c r="E400">
        <v>50</v>
      </c>
      <c r="F400">
        <v>15.072451591</v>
      </c>
      <c r="G400">
        <v>1382.8526611</v>
      </c>
      <c r="H400">
        <v>1369.4343262</v>
      </c>
      <c r="I400">
        <v>1253.7601318</v>
      </c>
      <c r="J400">
        <v>1214.0858154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148.60731200000001</v>
      </c>
      <c r="B401" s="1">
        <f>DATE(2010,9,26) + TIME(14,34,31)</f>
        <v>40447.607303240744</v>
      </c>
      <c r="C401">
        <v>80</v>
      </c>
      <c r="D401">
        <v>79.916816710999996</v>
      </c>
      <c r="E401">
        <v>50</v>
      </c>
      <c r="F401">
        <v>15.077141762</v>
      </c>
      <c r="G401">
        <v>1382.8248291</v>
      </c>
      <c r="H401">
        <v>1369.4079589999999</v>
      </c>
      <c r="I401">
        <v>1253.7911377</v>
      </c>
      <c r="J401">
        <v>1214.1153564000001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149.142684</v>
      </c>
      <c r="B402" s="1">
        <f>DATE(2010,9,27) + TIME(3,25,27)</f>
        <v>40448.14267361111</v>
      </c>
      <c r="C402">
        <v>80</v>
      </c>
      <c r="D402">
        <v>79.916877747000001</v>
      </c>
      <c r="E402">
        <v>50</v>
      </c>
      <c r="F402">
        <v>15.082098007000001</v>
      </c>
      <c r="G402">
        <v>1382.7969971</v>
      </c>
      <c r="H402">
        <v>1369.3817139</v>
      </c>
      <c r="I402">
        <v>1253.8226318</v>
      </c>
      <c r="J402">
        <v>1214.1455077999999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149.67774399999999</v>
      </c>
      <c r="B403" s="1">
        <f>DATE(2010,9,27) + TIME(16,15,57)</f>
        <v>40448.677743055552</v>
      </c>
      <c r="C403">
        <v>80</v>
      </c>
      <c r="D403">
        <v>79.916938782000003</v>
      </c>
      <c r="E403">
        <v>50</v>
      </c>
      <c r="F403">
        <v>15.087333679</v>
      </c>
      <c r="G403">
        <v>1382.7692870999999</v>
      </c>
      <c r="H403">
        <v>1369.3554687999999</v>
      </c>
      <c r="I403">
        <v>1253.8546143000001</v>
      </c>
      <c r="J403">
        <v>1214.1760254000001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150.21264199999999</v>
      </c>
      <c r="B404" s="1">
        <f>DATE(2010,9,28) + TIME(5,6,12)</f>
        <v>40449.212638888886</v>
      </c>
      <c r="C404">
        <v>80</v>
      </c>
      <c r="D404">
        <v>79.916999817000004</v>
      </c>
      <c r="E404">
        <v>50</v>
      </c>
      <c r="F404">
        <v>15.092866898</v>
      </c>
      <c r="G404">
        <v>1382.7416992000001</v>
      </c>
      <c r="H404">
        <v>1369.3293457</v>
      </c>
      <c r="I404">
        <v>1253.8869629000001</v>
      </c>
      <c r="J404">
        <v>1214.2071533000001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151.28242800000001</v>
      </c>
      <c r="B405" s="1">
        <f>DATE(2010,9,29) + TIME(6,46,41)</f>
        <v>40450.282418981478</v>
      </c>
      <c r="C405">
        <v>80</v>
      </c>
      <c r="D405">
        <v>79.917121886999993</v>
      </c>
      <c r="E405">
        <v>50</v>
      </c>
      <c r="F405">
        <v>15.10134697</v>
      </c>
      <c r="G405">
        <v>1382.7145995999999</v>
      </c>
      <c r="H405">
        <v>1369.3038329999999</v>
      </c>
      <c r="I405">
        <v>1253.9189452999999</v>
      </c>
      <c r="J405">
        <v>1214.2402344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152.35550799999999</v>
      </c>
      <c r="B406" s="1">
        <f>DATE(2010,9,30) + TIME(8,31,55)</f>
        <v>40451.355497685188</v>
      </c>
      <c r="C406">
        <v>80</v>
      </c>
      <c r="D406">
        <v>79.917243958</v>
      </c>
      <c r="E406">
        <v>50</v>
      </c>
      <c r="F406">
        <v>15.112564087000001</v>
      </c>
      <c r="G406">
        <v>1382.659668</v>
      </c>
      <c r="H406">
        <v>1369.2518310999999</v>
      </c>
      <c r="I406">
        <v>1253.9858397999999</v>
      </c>
      <c r="J406">
        <v>1214.3040771000001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153</v>
      </c>
      <c r="B407" s="1">
        <f>DATE(2010,10,1) + TIME(0,0,0)</f>
        <v>40452</v>
      </c>
      <c r="C407">
        <v>80</v>
      </c>
      <c r="D407">
        <v>79.917312621999997</v>
      </c>
      <c r="E407">
        <v>50</v>
      </c>
      <c r="F407">
        <v>15.122795105</v>
      </c>
      <c r="G407">
        <v>1382.6043701000001</v>
      </c>
      <c r="H407">
        <v>1369.1994629000001</v>
      </c>
      <c r="I407">
        <v>1254.0554199000001</v>
      </c>
      <c r="J407">
        <v>1214.3692627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154.09110000000001</v>
      </c>
      <c r="B408" s="1">
        <f>DATE(2010,10,2) + TIME(2,11,11)</f>
        <v>40453.091099537036</v>
      </c>
      <c r="C408">
        <v>80</v>
      </c>
      <c r="D408">
        <v>79.917434692</v>
      </c>
      <c r="E408">
        <v>50</v>
      </c>
      <c r="F408">
        <v>15.136051178000001</v>
      </c>
      <c r="G408">
        <v>1382.5716553</v>
      </c>
      <c r="H408">
        <v>1369.1685791</v>
      </c>
      <c r="I408">
        <v>1254.0968018000001</v>
      </c>
      <c r="J408">
        <v>1214.4133300999999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154.64416299999999</v>
      </c>
      <c r="B409" s="1">
        <f>DATE(2010,10,2) + TIME(15,27,35)</f>
        <v>40453.644155092596</v>
      </c>
      <c r="C409">
        <v>80</v>
      </c>
      <c r="D409">
        <v>79.917495728000006</v>
      </c>
      <c r="E409">
        <v>50</v>
      </c>
      <c r="F409">
        <v>15.147155762000001</v>
      </c>
      <c r="G409">
        <v>1382.515625</v>
      </c>
      <c r="H409">
        <v>1369.1154785000001</v>
      </c>
      <c r="I409">
        <v>1254.171875</v>
      </c>
      <c r="J409">
        <v>1214.4832764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155.68727200000001</v>
      </c>
      <c r="B410" s="1">
        <f>DATE(2010,10,3) + TIME(16,29,40)</f>
        <v>40454.687268518515</v>
      </c>
      <c r="C410">
        <v>80</v>
      </c>
      <c r="D410">
        <v>79.917610167999996</v>
      </c>
      <c r="E410">
        <v>50</v>
      </c>
      <c r="F410">
        <v>15.162229538</v>
      </c>
      <c r="G410">
        <v>1382.487793</v>
      </c>
      <c r="H410">
        <v>1369.0891113</v>
      </c>
      <c r="I410">
        <v>1254.2082519999999</v>
      </c>
      <c r="J410">
        <v>1214.5245361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156.782734</v>
      </c>
      <c r="B411" s="1">
        <f>DATE(2010,10,4) + TIME(18,47,8)</f>
        <v>40455.782731481479</v>
      </c>
      <c r="C411">
        <v>80</v>
      </c>
      <c r="D411">
        <v>79.917732239000003</v>
      </c>
      <c r="E411">
        <v>50</v>
      </c>
      <c r="F411">
        <v>15.180501938000001</v>
      </c>
      <c r="G411">
        <v>1382.4349365</v>
      </c>
      <c r="H411">
        <v>1369.0390625</v>
      </c>
      <c r="I411">
        <v>1254.2817382999999</v>
      </c>
      <c r="J411">
        <v>1214.5983887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157.33110600000001</v>
      </c>
      <c r="B412" s="1">
        <f>DATE(2010,10,5) + TIME(7,56,47)</f>
        <v>40456.331099537034</v>
      </c>
      <c r="C412">
        <v>80</v>
      </c>
      <c r="D412">
        <v>79.917785644999995</v>
      </c>
      <c r="E412">
        <v>50</v>
      </c>
      <c r="F412">
        <v>15.195166587999999</v>
      </c>
      <c r="G412">
        <v>1382.3789062000001</v>
      </c>
      <c r="H412">
        <v>1368.9859618999999</v>
      </c>
      <c r="I412">
        <v>1254.3636475000001</v>
      </c>
      <c r="J412">
        <v>1214.6759033000001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157.87947800000001</v>
      </c>
      <c r="B413" s="1">
        <f>DATE(2010,10,5) + TIME(21,6,26)</f>
        <v>40456.879467592589</v>
      </c>
      <c r="C413">
        <v>80</v>
      </c>
      <c r="D413">
        <v>79.917846679999997</v>
      </c>
      <c r="E413">
        <v>50</v>
      </c>
      <c r="F413">
        <v>15.209189415000001</v>
      </c>
      <c r="G413">
        <v>1382.3510742000001</v>
      </c>
      <c r="H413">
        <v>1368.9594727000001</v>
      </c>
      <c r="I413">
        <v>1254.4040527</v>
      </c>
      <c r="J413">
        <v>1214.7193603999999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158.427851</v>
      </c>
      <c r="B414" s="1">
        <f>DATE(2010,10,6) + TIME(10,16,6)</f>
        <v>40457.427847222221</v>
      </c>
      <c r="C414">
        <v>80</v>
      </c>
      <c r="D414">
        <v>79.917907714999998</v>
      </c>
      <c r="E414">
        <v>50</v>
      </c>
      <c r="F414">
        <v>15.223088263999999</v>
      </c>
      <c r="G414">
        <v>1382.3232422000001</v>
      </c>
      <c r="H414">
        <v>1368.9332274999999</v>
      </c>
      <c r="I414">
        <v>1254.4453125</v>
      </c>
      <c r="J414">
        <v>1214.7633057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158.976223</v>
      </c>
      <c r="B415" s="1">
        <f>DATE(2010,10,6) + TIME(23,25,45)</f>
        <v>40457.976215277777</v>
      </c>
      <c r="C415">
        <v>80</v>
      </c>
      <c r="D415">
        <v>79.917961121000005</v>
      </c>
      <c r="E415">
        <v>50</v>
      </c>
      <c r="F415">
        <v>15.2371912</v>
      </c>
      <c r="G415">
        <v>1382.2955322</v>
      </c>
      <c r="H415">
        <v>1368.9068603999999</v>
      </c>
      <c r="I415">
        <v>1254.4874268000001</v>
      </c>
      <c r="J415">
        <v>1214.8079834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159.524596</v>
      </c>
      <c r="B416" s="1">
        <f>DATE(2010,10,7) + TIME(12,35,25)</f>
        <v>40458.524594907409</v>
      </c>
      <c r="C416">
        <v>80</v>
      </c>
      <c r="D416">
        <v>79.918022156000006</v>
      </c>
      <c r="E416">
        <v>50</v>
      </c>
      <c r="F416">
        <v>15.251711845000001</v>
      </c>
      <c r="G416">
        <v>1382.2679443</v>
      </c>
      <c r="H416">
        <v>1368.8806152</v>
      </c>
      <c r="I416">
        <v>1254.5303954999999</v>
      </c>
      <c r="J416">
        <v>1214.8536377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160.072968</v>
      </c>
      <c r="B417" s="1">
        <f>DATE(2010,10,8) + TIME(1,45,4)</f>
        <v>40459.072962962964</v>
      </c>
      <c r="C417">
        <v>80</v>
      </c>
      <c r="D417">
        <v>79.918083190999994</v>
      </c>
      <c r="E417">
        <v>50</v>
      </c>
      <c r="F417">
        <v>15.266795158000001</v>
      </c>
      <c r="G417">
        <v>1382.2402344</v>
      </c>
      <c r="H417">
        <v>1368.8543701000001</v>
      </c>
      <c r="I417">
        <v>1254.5740966999999</v>
      </c>
      <c r="J417">
        <v>1214.9002685999999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160.62134</v>
      </c>
      <c r="B418" s="1">
        <f>DATE(2010,10,8) + TIME(14,54,43)</f>
        <v>40459.621331018519</v>
      </c>
      <c r="C418">
        <v>80</v>
      </c>
      <c r="D418">
        <v>79.918144225999995</v>
      </c>
      <c r="E418">
        <v>50</v>
      </c>
      <c r="F418">
        <v>15.282542229000001</v>
      </c>
      <c r="G418">
        <v>1382.2126464999999</v>
      </c>
      <c r="H418">
        <v>1368.828125</v>
      </c>
      <c r="I418">
        <v>1254.6185303</v>
      </c>
      <c r="J418">
        <v>1214.9479980000001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161.169713</v>
      </c>
      <c r="B419" s="1">
        <f>DATE(2010,10,9) + TIME(4,4,23)</f>
        <v>40460.169710648152</v>
      </c>
      <c r="C419">
        <v>80</v>
      </c>
      <c r="D419">
        <v>79.918205260999997</v>
      </c>
      <c r="E419">
        <v>50</v>
      </c>
      <c r="F419">
        <v>15.299030304</v>
      </c>
      <c r="G419">
        <v>1382.1850586</v>
      </c>
      <c r="H419">
        <v>1368.8018798999999</v>
      </c>
      <c r="I419">
        <v>1254.6636963000001</v>
      </c>
      <c r="J419">
        <v>1214.9967041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161.718085</v>
      </c>
      <c r="B420" s="1">
        <f>DATE(2010,10,9) + TIME(17,14,2)</f>
        <v>40460.718078703707</v>
      </c>
      <c r="C420">
        <v>80</v>
      </c>
      <c r="D420">
        <v>79.918258667000003</v>
      </c>
      <c r="E420">
        <v>50</v>
      </c>
      <c r="F420">
        <v>15.316320419</v>
      </c>
      <c r="G420">
        <v>1382.1574707</v>
      </c>
      <c r="H420">
        <v>1368.7757568</v>
      </c>
      <c r="I420">
        <v>1254.7095947</v>
      </c>
      <c r="J420">
        <v>1215.0467529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162.266458</v>
      </c>
      <c r="B421" s="1">
        <f>DATE(2010,10,10) + TIME(6,23,41)</f>
        <v>40461.266446759262</v>
      </c>
      <c r="C421">
        <v>80</v>
      </c>
      <c r="D421">
        <v>79.918319702000005</v>
      </c>
      <c r="E421">
        <v>50</v>
      </c>
      <c r="F421">
        <v>15.334465027</v>
      </c>
      <c r="G421">
        <v>1382.1298827999999</v>
      </c>
      <c r="H421">
        <v>1368.7495117000001</v>
      </c>
      <c r="I421">
        <v>1254.7562256000001</v>
      </c>
      <c r="J421">
        <v>1215.0979004000001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162.814155</v>
      </c>
      <c r="B422" s="1">
        <f>DATE(2010,10,10) + TIME(19,32,22)</f>
        <v>40461.814143518517</v>
      </c>
      <c r="C422">
        <v>80</v>
      </c>
      <c r="D422">
        <v>79.918380737000007</v>
      </c>
      <c r="E422">
        <v>50</v>
      </c>
      <c r="F422">
        <v>15.353496551999999</v>
      </c>
      <c r="G422">
        <v>1382.1022949000001</v>
      </c>
      <c r="H422">
        <v>1368.7233887</v>
      </c>
      <c r="I422">
        <v>1254.8037108999999</v>
      </c>
      <c r="J422">
        <v>1215.1503906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163.36061699999999</v>
      </c>
      <c r="B423" s="1">
        <f>DATE(2010,10,11) + TIME(8,39,17)</f>
        <v>40462.360613425924</v>
      </c>
      <c r="C423">
        <v>80</v>
      </c>
      <c r="D423">
        <v>79.918441771999994</v>
      </c>
      <c r="E423">
        <v>50</v>
      </c>
      <c r="F423">
        <v>15.373441696</v>
      </c>
      <c r="G423">
        <v>1382.0748291</v>
      </c>
      <c r="H423">
        <v>1368.6972656</v>
      </c>
      <c r="I423">
        <v>1254.8519286999999</v>
      </c>
      <c r="J423">
        <v>1215.2039795000001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163.906003</v>
      </c>
      <c r="B424" s="1">
        <f>DATE(2010,10,11) + TIME(21,44,38)</f>
        <v>40462.905995370369</v>
      </c>
      <c r="C424">
        <v>80</v>
      </c>
      <c r="D424">
        <v>79.918495178000001</v>
      </c>
      <c r="E424">
        <v>50</v>
      </c>
      <c r="F424">
        <v>15.394335747</v>
      </c>
      <c r="G424">
        <v>1382.0474853999999</v>
      </c>
      <c r="H424">
        <v>1368.6712646000001</v>
      </c>
      <c r="I424">
        <v>1254.9007568</v>
      </c>
      <c r="J424">
        <v>1215.2589111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164.450435</v>
      </c>
      <c r="B425" s="1">
        <f>DATE(2010,10,12) + TIME(10,48,37)</f>
        <v>40463.450428240743</v>
      </c>
      <c r="C425">
        <v>80</v>
      </c>
      <c r="D425">
        <v>79.918556213000002</v>
      </c>
      <c r="E425">
        <v>50</v>
      </c>
      <c r="F425">
        <v>15.416217804</v>
      </c>
      <c r="G425">
        <v>1382.0201416</v>
      </c>
      <c r="H425">
        <v>1368.6452637</v>
      </c>
      <c r="I425">
        <v>1254.9503173999999</v>
      </c>
      <c r="J425">
        <v>1215.3150635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164.994055</v>
      </c>
      <c r="B426" s="1">
        <f>DATE(2010,10,12) + TIME(23,51,26)</f>
        <v>40463.994050925925</v>
      </c>
      <c r="C426">
        <v>80</v>
      </c>
      <c r="D426">
        <v>79.918617248999993</v>
      </c>
      <c r="E426">
        <v>50</v>
      </c>
      <c r="F426">
        <v>15.439126014999999</v>
      </c>
      <c r="G426">
        <v>1381.9929199000001</v>
      </c>
      <c r="H426">
        <v>1368.6192627</v>
      </c>
      <c r="I426">
        <v>1255.0006103999999</v>
      </c>
      <c r="J426">
        <v>1215.3726807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165.53701699999999</v>
      </c>
      <c r="B427" s="1">
        <f>DATE(2010,10,13) + TIME(12,53,18)</f>
        <v>40464.53701388889</v>
      </c>
      <c r="C427">
        <v>80</v>
      </c>
      <c r="D427">
        <v>79.918670653999996</v>
      </c>
      <c r="E427">
        <v>50</v>
      </c>
      <c r="F427">
        <v>15.463103294</v>
      </c>
      <c r="G427">
        <v>1381.9656981999999</v>
      </c>
      <c r="H427">
        <v>1368.5933838000001</v>
      </c>
      <c r="I427">
        <v>1255.0515137</v>
      </c>
      <c r="J427">
        <v>1215.4315185999999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166.079486</v>
      </c>
      <c r="B428" s="1">
        <f>DATE(2010,10,14) + TIME(1,54,27)</f>
        <v>40465.079479166663</v>
      </c>
      <c r="C428">
        <v>80</v>
      </c>
      <c r="D428">
        <v>79.918731688999998</v>
      </c>
      <c r="E428">
        <v>50</v>
      </c>
      <c r="F428">
        <v>15.488194465999999</v>
      </c>
      <c r="G428">
        <v>1381.9385986</v>
      </c>
      <c r="H428">
        <v>1368.5676269999999</v>
      </c>
      <c r="I428">
        <v>1255.1032714999999</v>
      </c>
      <c r="J428">
        <v>1215.4918213000001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166.62164000000001</v>
      </c>
      <c r="B429" s="1">
        <f>DATE(2010,10,14) + TIME(14,55,9)</f>
        <v>40465.621631944443</v>
      </c>
      <c r="C429">
        <v>80</v>
      </c>
      <c r="D429">
        <v>79.918792725000003</v>
      </c>
      <c r="E429">
        <v>50</v>
      </c>
      <c r="F429">
        <v>15.514445305000001</v>
      </c>
      <c r="G429">
        <v>1381.9113769999999</v>
      </c>
      <c r="H429">
        <v>1368.5417480000001</v>
      </c>
      <c r="I429">
        <v>1255.1557617000001</v>
      </c>
      <c r="J429">
        <v>1215.5537108999999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167.16366500000001</v>
      </c>
      <c r="B430" s="1">
        <f>DATE(2010,10,15) + TIME(3,55,40)</f>
        <v>40466.163657407407</v>
      </c>
      <c r="C430">
        <v>80</v>
      </c>
      <c r="D430">
        <v>79.918846130000006</v>
      </c>
      <c r="E430">
        <v>50</v>
      </c>
      <c r="F430">
        <v>15.541905402999999</v>
      </c>
      <c r="G430">
        <v>1381.8843993999999</v>
      </c>
      <c r="H430">
        <v>1368.5159911999999</v>
      </c>
      <c r="I430">
        <v>1255.2091064000001</v>
      </c>
      <c r="J430">
        <v>1215.6170654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167.70569</v>
      </c>
      <c r="B431" s="1">
        <f>DATE(2010,10,15) + TIME(16,56,11)</f>
        <v>40466.705682870372</v>
      </c>
      <c r="C431">
        <v>80</v>
      </c>
      <c r="D431">
        <v>79.918907165999997</v>
      </c>
      <c r="E431">
        <v>50</v>
      </c>
      <c r="F431">
        <v>15.570625305</v>
      </c>
      <c r="G431">
        <v>1381.8572998</v>
      </c>
      <c r="H431">
        <v>1368.4902344</v>
      </c>
      <c r="I431">
        <v>1255.2631836</v>
      </c>
      <c r="J431">
        <v>1215.6820068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168.247715</v>
      </c>
      <c r="B432" s="1">
        <f>DATE(2010,10,16) + TIME(5,56,42)</f>
        <v>40467.247708333336</v>
      </c>
      <c r="C432">
        <v>80</v>
      </c>
      <c r="D432">
        <v>79.918968200999998</v>
      </c>
      <c r="E432">
        <v>50</v>
      </c>
      <c r="F432">
        <v>15.600649834</v>
      </c>
      <c r="G432">
        <v>1381.8302002</v>
      </c>
      <c r="H432">
        <v>1368.4644774999999</v>
      </c>
      <c r="I432">
        <v>1255.3181152</v>
      </c>
      <c r="J432">
        <v>1215.7486572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168.78973999999999</v>
      </c>
      <c r="B433" s="1">
        <f>DATE(2010,10,16) + TIME(18,57,13)</f>
        <v>40467.789733796293</v>
      </c>
      <c r="C433">
        <v>80</v>
      </c>
      <c r="D433">
        <v>79.919021606000001</v>
      </c>
      <c r="E433">
        <v>50</v>
      </c>
      <c r="F433">
        <v>15.632025719</v>
      </c>
      <c r="G433">
        <v>1381.8032227000001</v>
      </c>
      <c r="H433">
        <v>1368.4387207</v>
      </c>
      <c r="I433">
        <v>1255.3739014</v>
      </c>
      <c r="J433">
        <v>1215.8170166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169.33176499999999</v>
      </c>
      <c r="B434" s="1">
        <f>DATE(2010,10,17) + TIME(7,57,44)</f>
        <v>40468.331759259258</v>
      </c>
      <c r="C434">
        <v>80</v>
      </c>
      <c r="D434">
        <v>79.919082642000006</v>
      </c>
      <c r="E434">
        <v>50</v>
      </c>
      <c r="F434">
        <v>15.664798737</v>
      </c>
      <c r="G434">
        <v>1381.7762451000001</v>
      </c>
      <c r="H434">
        <v>1368.4129639</v>
      </c>
      <c r="I434">
        <v>1255.4306641000001</v>
      </c>
      <c r="J434">
        <v>1215.887207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170.41581500000001</v>
      </c>
      <c r="B435" s="1">
        <f>DATE(2010,10,18) + TIME(9,58,46)</f>
        <v>40469.415810185186</v>
      </c>
      <c r="C435">
        <v>80</v>
      </c>
      <c r="D435">
        <v>79.919204711999996</v>
      </c>
      <c r="E435">
        <v>50</v>
      </c>
      <c r="F435">
        <v>15.714204788</v>
      </c>
      <c r="G435">
        <v>1381.7496338000001</v>
      </c>
      <c r="H435">
        <v>1368.3876952999999</v>
      </c>
      <c r="I435">
        <v>1255.4829102000001</v>
      </c>
      <c r="J435">
        <v>1215.9666748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171.50211999999999</v>
      </c>
      <c r="B436" s="1">
        <f>DATE(2010,10,19) + TIME(12,3,3)</f>
        <v>40470.502118055556</v>
      </c>
      <c r="C436">
        <v>80</v>
      </c>
      <c r="D436">
        <v>79.919319153000004</v>
      </c>
      <c r="E436">
        <v>50</v>
      </c>
      <c r="F436">
        <v>15.778594017</v>
      </c>
      <c r="G436">
        <v>1381.6958007999999</v>
      </c>
      <c r="H436">
        <v>1368.3363036999999</v>
      </c>
      <c r="I436">
        <v>1255.6018065999999</v>
      </c>
      <c r="J436">
        <v>1216.1104736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172.61179300000001</v>
      </c>
      <c r="B437" s="1">
        <f>DATE(2010,10,20) + TIME(14,40,58)</f>
        <v>40471.61178240741</v>
      </c>
      <c r="C437">
        <v>80</v>
      </c>
      <c r="D437">
        <v>79.919441223000007</v>
      </c>
      <c r="E437">
        <v>50</v>
      </c>
      <c r="F437">
        <v>15.854001045</v>
      </c>
      <c r="G437">
        <v>1381.6418457</v>
      </c>
      <c r="H437">
        <v>1368.2849120999999</v>
      </c>
      <c r="I437">
        <v>1255.7230225000001</v>
      </c>
      <c r="J437">
        <v>1216.2647704999999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173.16696200000001</v>
      </c>
      <c r="B438" s="1">
        <f>DATE(2010,10,21) + TIME(4,0,25)</f>
        <v>40472.166956018518</v>
      </c>
      <c r="C438">
        <v>80</v>
      </c>
      <c r="D438">
        <v>79.919494628999999</v>
      </c>
      <c r="E438">
        <v>50</v>
      </c>
      <c r="F438">
        <v>15.912900925000001</v>
      </c>
      <c r="G438">
        <v>1381.5863036999999</v>
      </c>
      <c r="H438">
        <v>1368.2319336</v>
      </c>
      <c r="I438">
        <v>1255.8592529</v>
      </c>
      <c r="J438">
        <v>1216.418457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174.24238299999999</v>
      </c>
      <c r="B439" s="1">
        <f>DATE(2010,10,22) + TIME(5,49,1)</f>
        <v>40473.242372685185</v>
      </c>
      <c r="C439">
        <v>80</v>
      </c>
      <c r="D439">
        <v>79.919609070000007</v>
      </c>
      <c r="E439">
        <v>50</v>
      </c>
      <c r="F439">
        <v>15.991192818</v>
      </c>
      <c r="G439">
        <v>1381.559082</v>
      </c>
      <c r="H439">
        <v>1368.2058105000001</v>
      </c>
      <c r="I439">
        <v>1255.9135742000001</v>
      </c>
      <c r="J439">
        <v>1216.5223389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174.79182700000001</v>
      </c>
      <c r="B440" s="1">
        <f>DATE(2010,10,22) + TIME(19,0,13)</f>
        <v>40473.791817129626</v>
      </c>
      <c r="C440">
        <v>80</v>
      </c>
      <c r="D440">
        <v>79.919662475999999</v>
      </c>
      <c r="E440">
        <v>50</v>
      </c>
      <c r="F440">
        <v>16.054632186999999</v>
      </c>
      <c r="G440">
        <v>1381.5053711</v>
      </c>
      <c r="H440">
        <v>1368.1545410000001</v>
      </c>
      <c r="I440">
        <v>1256.0523682</v>
      </c>
      <c r="J440">
        <v>1216.6818848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175.85756699999999</v>
      </c>
      <c r="B441" s="1">
        <f>DATE(2010,10,23) + TIME(20,34,53)</f>
        <v>40474.857557870368</v>
      </c>
      <c r="C441">
        <v>80</v>
      </c>
      <c r="D441">
        <v>79.919776916999993</v>
      </c>
      <c r="E441">
        <v>50</v>
      </c>
      <c r="F441">
        <v>16.139970778999999</v>
      </c>
      <c r="G441">
        <v>1381.4783935999999</v>
      </c>
      <c r="H441">
        <v>1368.1287841999999</v>
      </c>
      <c r="I441">
        <v>1256.1082764</v>
      </c>
      <c r="J441">
        <v>1216.7928466999999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176.94773699999999</v>
      </c>
      <c r="B442" s="1">
        <f>DATE(2010,10,24) + TIME(22,44,44)</f>
        <v>40475.947731481479</v>
      </c>
      <c r="C442">
        <v>80</v>
      </c>
      <c r="D442">
        <v>79.919891356999997</v>
      </c>
      <c r="E442">
        <v>50</v>
      </c>
      <c r="F442">
        <v>16.240364074999999</v>
      </c>
      <c r="G442">
        <v>1381.4256591999999</v>
      </c>
      <c r="H442">
        <v>1368.0783690999999</v>
      </c>
      <c r="I442">
        <v>1256.2416992000001</v>
      </c>
      <c r="J442">
        <v>1216.9771728999999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178.04062099999999</v>
      </c>
      <c r="B443" s="1">
        <f>DATE(2010,10,26) + TIME(0,58,29)</f>
        <v>40477.040613425925</v>
      </c>
      <c r="C443">
        <v>80</v>
      </c>
      <c r="D443">
        <v>79.920005798000005</v>
      </c>
      <c r="E443">
        <v>50</v>
      </c>
      <c r="F443">
        <v>16.352621077999999</v>
      </c>
      <c r="G443">
        <v>1381.371582</v>
      </c>
      <c r="H443">
        <v>1368.0267334</v>
      </c>
      <c r="I443">
        <v>1256.3811035000001</v>
      </c>
      <c r="J443">
        <v>1217.1760254000001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179.137798</v>
      </c>
      <c r="B444" s="1">
        <f>DATE(2010,10,27) + TIME(3,18,25)</f>
        <v>40478.137789351851</v>
      </c>
      <c r="C444">
        <v>80</v>
      </c>
      <c r="D444">
        <v>79.920127868999998</v>
      </c>
      <c r="E444">
        <v>50</v>
      </c>
      <c r="F444">
        <v>16.475191116000001</v>
      </c>
      <c r="G444">
        <v>1381.3175048999999</v>
      </c>
      <c r="H444">
        <v>1367.9749756000001</v>
      </c>
      <c r="I444">
        <v>1256.5239257999999</v>
      </c>
      <c r="J444">
        <v>1217.3861084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180.24139299999999</v>
      </c>
      <c r="B445" s="1">
        <f>DATE(2010,10,28) + TIME(5,47,36)</f>
        <v>40479.241388888891</v>
      </c>
      <c r="C445">
        <v>80</v>
      </c>
      <c r="D445">
        <v>79.920242310000006</v>
      </c>
      <c r="E445">
        <v>50</v>
      </c>
      <c r="F445">
        <v>16.607707977</v>
      </c>
      <c r="G445">
        <v>1381.2633057</v>
      </c>
      <c r="H445">
        <v>1367.9230957</v>
      </c>
      <c r="I445">
        <v>1256.6704102000001</v>
      </c>
      <c r="J445">
        <v>1217.6075439000001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181.35371599999999</v>
      </c>
      <c r="B446" s="1">
        <f>DATE(2010,10,29) + TIME(8,29,21)</f>
        <v>40480.353715277779</v>
      </c>
      <c r="C446">
        <v>80</v>
      </c>
      <c r="D446">
        <v>79.920356749999996</v>
      </c>
      <c r="E446">
        <v>50</v>
      </c>
      <c r="F446">
        <v>16.750364304000001</v>
      </c>
      <c r="G446">
        <v>1381.2087402</v>
      </c>
      <c r="H446">
        <v>1367.8708495999999</v>
      </c>
      <c r="I446">
        <v>1256.8211670000001</v>
      </c>
      <c r="J446">
        <v>1217.8406981999999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181.91217700000001</v>
      </c>
      <c r="B447" s="1">
        <f>DATE(2010,10,29) + TIME(21,53,32)</f>
        <v>40480.912175925929</v>
      </c>
      <c r="C447">
        <v>80</v>
      </c>
      <c r="D447">
        <v>79.920410156000003</v>
      </c>
      <c r="E447">
        <v>50</v>
      </c>
      <c r="F447">
        <v>16.857095718</v>
      </c>
      <c r="G447">
        <v>1381.1535644999999</v>
      </c>
      <c r="H447">
        <v>1367.8178711</v>
      </c>
      <c r="I447">
        <v>1256.9918213000001</v>
      </c>
      <c r="J447">
        <v>1218.0623779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182.98085599999999</v>
      </c>
      <c r="B448" s="1">
        <f>DATE(2010,10,30) + TIME(23,32,25)</f>
        <v>40481.980844907404</v>
      </c>
      <c r="C448">
        <v>80</v>
      </c>
      <c r="D448">
        <v>79.920524596999996</v>
      </c>
      <c r="E448">
        <v>50</v>
      </c>
      <c r="F448">
        <v>16.994876862000002</v>
      </c>
      <c r="G448">
        <v>1381.1262207</v>
      </c>
      <c r="H448">
        <v>1367.7917480000001</v>
      </c>
      <c r="I448">
        <v>1257.0538329999999</v>
      </c>
      <c r="J448">
        <v>1218.2210693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184</v>
      </c>
      <c r="B449" s="1">
        <f>DATE(2010,11,1) + TIME(0,0,0)</f>
        <v>40483</v>
      </c>
      <c r="C449">
        <v>80</v>
      </c>
      <c r="D449">
        <v>79.920631408999995</v>
      </c>
      <c r="E449">
        <v>50</v>
      </c>
      <c r="F449">
        <v>17.145963669</v>
      </c>
      <c r="G449">
        <v>1381.0736084</v>
      </c>
      <c r="H449">
        <v>1367.7413329999999</v>
      </c>
      <c r="I449">
        <v>1257.2106934000001</v>
      </c>
      <c r="J449">
        <v>1218.4669189000001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184.000001</v>
      </c>
      <c r="B450" s="1">
        <f>DATE(2010,11,1) + TIME(0,0,0)</f>
        <v>40483</v>
      </c>
      <c r="C450">
        <v>80</v>
      </c>
      <c r="D450">
        <v>79.920158385999997</v>
      </c>
      <c r="E450">
        <v>50</v>
      </c>
      <c r="F450">
        <v>17.146486282000001</v>
      </c>
      <c r="G450">
        <v>1363.6398925999999</v>
      </c>
      <c r="H450">
        <v>1351.6531981999999</v>
      </c>
      <c r="I450">
        <v>1299.8287353999999</v>
      </c>
      <c r="J450">
        <v>1261.9633789</v>
      </c>
      <c r="K450">
        <v>0</v>
      </c>
      <c r="L450">
        <v>2400</v>
      </c>
      <c r="M450">
        <v>2400</v>
      </c>
      <c r="N450">
        <v>0</v>
      </c>
    </row>
    <row r="451" spans="1:14" x14ac:dyDescent="0.25">
      <c r="A451">
        <v>184.00000399999999</v>
      </c>
      <c r="B451" s="1">
        <f>DATE(2010,11,1) + TIME(0,0,0)</f>
        <v>40483</v>
      </c>
      <c r="C451">
        <v>80</v>
      </c>
      <c r="D451">
        <v>79.919395446999999</v>
      </c>
      <c r="E451">
        <v>50</v>
      </c>
      <c r="F451">
        <v>17.147684096999999</v>
      </c>
      <c r="G451">
        <v>1357.0690918</v>
      </c>
      <c r="H451">
        <v>1345.0811768000001</v>
      </c>
      <c r="I451">
        <v>1310.2939452999999</v>
      </c>
      <c r="J451">
        <v>1272.6180420000001</v>
      </c>
      <c r="K451">
        <v>0</v>
      </c>
      <c r="L451">
        <v>2400</v>
      </c>
      <c r="M451">
        <v>2400</v>
      </c>
      <c r="N451">
        <v>0</v>
      </c>
    </row>
    <row r="452" spans="1:14" x14ac:dyDescent="0.25">
      <c r="A452">
        <v>184.000013</v>
      </c>
      <c r="B452" s="1">
        <f>DATE(2010,11,1) + TIME(0,0,1)</f>
        <v>40483.000011574077</v>
      </c>
      <c r="C452">
        <v>80</v>
      </c>
      <c r="D452">
        <v>79.918518066000004</v>
      </c>
      <c r="E452">
        <v>50</v>
      </c>
      <c r="F452">
        <v>17.149833679</v>
      </c>
      <c r="G452">
        <v>1349.4617920000001</v>
      </c>
      <c r="H452">
        <v>1337.4826660000001</v>
      </c>
      <c r="I452">
        <v>1327.9606934000001</v>
      </c>
      <c r="J452">
        <v>1290.4040527</v>
      </c>
      <c r="K452">
        <v>0</v>
      </c>
      <c r="L452">
        <v>2400</v>
      </c>
      <c r="M452">
        <v>2400</v>
      </c>
      <c r="N452">
        <v>0</v>
      </c>
    </row>
    <row r="453" spans="1:14" x14ac:dyDescent="0.25">
      <c r="A453">
        <v>184.00004000000001</v>
      </c>
      <c r="B453" s="1">
        <f>DATE(2010,11,1) + TIME(0,0,3)</f>
        <v>40483.000034722223</v>
      </c>
      <c r="C453">
        <v>80</v>
      </c>
      <c r="D453">
        <v>79.917640685999999</v>
      </c>
      <c r="E453">
        <v>50</v>
      </c>
      <c r="F453">
        <v>17.153045654</v>
      </c>
      <c r="G453">
        <v>1341.9571533000001</v>
      </c>
      <c r="H453">
        <v>1329.9915771000001</v>
      </c>
      <c r="I453">
        <v>1349.5756836</v>
      </c>
      <c r="J453">
        <v>1311.9930420000001</v>
      </c>
      <c r="K453">
        <v>0</v>
      </c>
      <c r="L453">
        <v>2400</v>
      </c>
      <c r="M453">
        <v>2400</v>
      </c>
      <c r="N453">
        <v>0</v>
      </c>
    </row>
    <row r="454" spans="1:14" x14ac:dyDescent="0.25">
      <c r="A454">
        <v>184.00012100000001</v>
      </c>
      <c r="B454" s="1">
        <f>DATE(2010,11,1) + TIME(0,0,10)</f>
        <v>40483.000115740739</v>
      </c>
      <c r="C454">
        <v>80</v>
      </c>
      <c r="D454">
        <v>79.916763306000007</v>
      </c>
      <c r="E454">
        <v>50</v>
      </c>
      <c r="F454">
        <v>17.158329009999999</v>
      </c>
      <c r="G454">
        <v>1334.5703125</v>
      </c>
      <c r="H454">
        <v>1322.6142577999999</v>
      </c>
      <c r="I454">
        <v>1371.6345214999999</v>
      </c>
      <c r="J454">
        <v>1333.9881591999999</v>
      </c>
      <c r="K454">
        <v>0</v>
      </c>
      <c r="L454">
        <v>2400</v>
      </c>
      <c r="M454">
        <v>2400</v>
      </c>
      <c r="N454">
        <v>0</v>
      </c>
    </row>
    <row r="455" spans="1:14" x14ac:dyDescent="0.25">
      <c r="A455">
        <v>184.00036399999999</v>
      </c>
      <c r="B455" s="1">
        <f>DATE(2010,11,1) + TIME(0,0,31)</f>
        <v>40483.000358796293</v>
      </c>
      <c r="C455">
        <v>80</v>
      </c>
      <c r="D455">
        <v>79.915786742999998</v>
      </c>
      <c r="E455">
        <v>50</v>
      </c>
      <c r="F455">
        <v>17.169672011999999</v>
      </c>
      <c r="G455">
        <v>1326.8653564000001</v>
      </c>
      <c r="H455">
        <v>1314.8618164</v>
      </c>
      <c r="I455">
        <v>1393.2802733999999</v>
      </c>
      <c r="J455">
        <v>1355.5484618999999</v>
      </c>
      <c r="K455">
        <v>0</v>
      </c>
      <c r="L455">
        <v>2400</v>
      </c>
      <c r="M455">
        <v>2400</v>
      </c>
      <c r="N455">
        <v>0</v>
      </c>
    </row>
    <row r="456" spans="1:14" x14ac:dyDescent="0.25">
      <c r="A456">
        <v>184.001093</v>
      </c>
      <c r="B456" s="1">
        <f>DATE(2010,11,1) + TIME(0,1,34)</f>
        <v>40483.001087962963</v>
      </c>
      <c r="C456">
        <v>80</v>
      </c>
      <c r="D456">
        <v>79.914505004999995</v>
      </c>
      <c r="E456">
        <v>50</v>
      </c>
      <c r="F456">
        <v>17.199268341</v>
      </c>
      <c r="G456">
        <v>1318.1788329999999</v>
      </c>
      <c r="H456">
        <v>1306.0729980000001</v>
      </c>
      <c r="I456">
        <v>1413.5736084</v>
      </c>
      <c r="J456">
        <v>1375.6986084</v>
      </c>
      <c r="K456">
        <v>0</v>
      </c>
      <c r="L456">
        <v>2400</v>
      </c>
      <c r="M456">
        <v>2400</v>
      </c>
      <c r="N456">
        <v>0</v>
      </c>
    </row>
    <row r="457" spans="1:14" x14ac:dyDescent="0.25">
      <c r="A457">
        <v>184.00327999999999</v>
      </c>
      <c r="B457" s="1">
        <f>DATE(2010,11,1) + TIME(0,4,43)</f>
        <v>40483.003275462965</v>
      </c>
      <c r="C457">
        <v>80</v>
      </c>
      <c r="D457">
        <v>79.912666321000003</v>
      </c>
      <c r="E457">
        <v>50</v>
      </c>
      <c r="F457">
        <v>17.283752441000001</v>
      </c>
      <c r="G457">
        <v>1309.3269043</v>
      </c>
      <c r="H457">
        <v>1297.1484375</v>
      </c>
      <c r="I457">
        <v>1429.6356201000001</v>
      </c>
      <c r="J457">
        <v>1391.6430664</v>
      </c>
      <c r="K457">
        <v>0</v>
      </c>
      <c r="L457">
        <v>2400</v>
      </c>
      <c r="M457">
        <v>2400</v>
      </c>
      <c r="N457">
        <v>0</v>
      </c>
    </row>
    <row r="458" spans="1:14" x14ac:dyDescent="0.25">
      <c r="A458">
        <v>184.00984099999999</v>
      </c>
      <c r="B458" s="1">
        <f>DATE(2010,11,1) + TIME(0,14,10)</f>
        <v>40483.009837962964</v>
      </c>
      <c r="C458">
        <v>80</v>
      </c>
      <c r="D458">
        <v>79.909484863000003</v>
      </c>
      <c r="E458">
        <v>50</v>
      </c>
      <c r="F458">
        <v>17.532182692999999</v>
      </c>
      <c r="G458">
        <v>1303.1529541</v>
      </c>
      <c r="H458">
        <v>1290.9466553</v>
      </c>
      <c r="I458">
        <v>1438.1069336</v>
      </c>
      <c r="J458">
        <v>1400.2327881000001</v>
      </c>
      <c r="K458">
        <v>0</v>
      </c>
      <c r="L458">
        <v>2400</v>
      </c>
      <c r="M458">
        <v>2400</v>
      </c>
      <c r="N458">
        <v>0</v>
      </c>
    </row>
    <row r="459" spans="1:14" x14ac:dyDescent="0.25">
      <c r="A459">
        <v>184.02952400000001</v>
      </c>
      <c r="B459" s="1">
        <f>DATE(2010,11,1) + TIME(0,42,30)</f>
        <v>40483.029513888891</v>
      </c>
      <c r="C459">
        <v>80</v>
      </c>
      <c r="D459">
        <v>79.901947020999998</v>
      </c>
      <c r="E459">
        <v>50</v>
      </c>
      <c r="F459">
        <v>18.259645462000002</v>
      </c>
      <c r="G459">
        <v>1300.8645019999999</v>
      </c>
      <c r="H459">
        <v>1288.6508789</v>
      </c>
      <c r="I459">
        <v>1439.4425048999999</v>
      </c>
      <c r="J459">
        <v>1402.2261963000001</v>
      </c>
      <c r="K459">
        <v>0</v>
      </c>
      <c r="L459">
        <v>2400</v>
      </c>
      <c r="M459">
        <v>2400</v>
      </c>
      <c r="N459">
        <v>0</v>
      </c>
    </row>
    <row r="460" spans="1:14" x14ac:dyDescent="0.25">
      <c r="A460">
        <v>184.05636000000001</v>
      </c>
      <c r="B460" s="1">
        <f>DATE(2010,11,1) + TIME(1,21,9)</f>
        <v>40483.056354166663</v>
      </c>
      <c r="C460">
        <v>80</v>
      </c>
      <c r="D460">
        <v>79.892135620000005</v>
      </c>
      <c r="E460">
        <v>50</v>
      </c>
      <c r="F460">
        <v>19.222732543999999</v>
      </c>
      <c r="G460">
        <v>1300.5124512</v>
      </c>
      <c r="H460">
        <v>1288.2972411999999</v>
      </c>
      <c r="I460">
        <v>1438.3022461</v>
      </c>
      <c r="J460">
        <v>1401.9627685999999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184.083957</v>
      </c>
      <c r="B461" s="1">
        <f>DATE(2010,11,1) + TIME(2,0,53)</f>
        <v>40483.08394675926</v>
      </c>
      <c r="C461">
        <v>80</v>
      </c>
      <c r="D461">
        <v>79.882179260000001</v>
      </c>
      <c r="E461">
        <v>50</v>
      </c>
      <c r="F461">
        <v>20.184207915999998</v>
      </c>
      <c r="G461">
        <v>1300.4663086</v>
      </c>
      <c r="H461">
        <v>1288.2504882999999</v>
      </c>
      <c r="I461">
        <v>1437.0164795000001</v>
      </c>
      <c r="J461">
        <v>1401.5174560999999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184.112347</v>
      </c>
      <c r="B462" s="1">
        <f>DATE(2010,11,1) + TIME(2,41,46)</f>
        <v>40483.112337962964</v>
      </c>
      <c r="C462">
        <v>80</v>
      </c>
      <c r="D462">
        <v>79.872055054</v>
      </c>
      <c r="E462">
        <v>50</v>
      </c>
      <c r="F462">
        <v>21.144048690999998</v>
      </c>
      <c r="G462">
        <v>1300.4599608999999</v>
      </c>
      <c r="H462">
        <v>1288.2436522999999</v>
      </c>
      <c r="I462">
        <v>1435.7741699000001</v>
      </c>
      <c r="J462">
        <v>1401.0814209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184.141581</v>
      </c>
      <c r="B463" s="1">
        <f>DATE(2010,11,1) + TIME(3,23,52)</f>
        <v>40483.141574074078</v>
      </c>
      <c r="C463">
        <v>80</v>
      </c>
      <c r="D463">
        <v>79.861740112000007</v>
      </c>
      <c r="E463">
        <v>50</v>
      </c>
      <c r="F463">
        <v>22.101511001999999</v>
      </c>
      <c r="G463">
        <v>1300.4593506000001</v>
      </c>
      <c r="H463">
        <v>1288.2424315999999</v>
      </c>
      <c r="I463">
        <v>1434.5821533000001</v>
      </c>
      <c r="J463">
        <v>1400.6622314000001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184.17170200000001</v>
      </c>
      <c r="B464" s="1">
        <f>DATE(2010,11,1) + TIME(4,7,15)</f>
        <v>40483.171701388892</v>
      </c>
      <c r="C464">
        <v>80</v>
      </c>
      <c r="D464">
        <v>79.851226807000003</v>
      </c>
      <c r="E464">
        <v>50</v>
      </c>
      <c r="F464">
        <v>23.056179047000001</v>
      </c>
      <c r="G464">
        <v>1300.4595947</v>
      </c>
      <c r="H464">
        <v>1288.2420654</v>
      </c>
      <c r="I464">
        <v>1433.4371338000001</v>
      </c>
      <c r="J464">
        <v>1400.2585449000001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184.20276799999999</v>
      </c>
      <c r="B465" s="1">
        <f>DATE(2010,11,1) + TIME(4,51,59)</f>
        <v>40483.202766203707</v>
      </c>
      <c r="C465">
        <v>80</v>
      </c>
      <c r="D465">
        <v>79.840499878000003</v>
      </c>
      <c r="E465">
        <v>50</v>
      </c>
      <c r="F465">
        <v>24.007806777999999</v>
      </c>
      <c r="G465">
        <v>1300.4597168</v>
      </c>
      <c r="H465">
        <v>1288.2416992000001</v>
      </c>
      <c r="I465">
        <v>1432.3366699000001</v>
      </c>
      <c r="J465">
        <v>1399.8690185999999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184.234859</v>
      </c>
      <c r="B466" s="1">
        <f>DATE(2010,11,1) + TIME(5,38,11)</f>
        <v>40483.234849537039</v>
      </c>
      <c r="C466">
        <v>80</v>
      </c>
      <c r="D466">
        <v>79.829536438000005</v>
      </c>
      <c r="E466">
        <v>50</v>
      </c>
      <c r="F466">
        <v>24.956783295000001</v>
      </c>
      <c r="G466">
        <v>1300.4597168</v>
      </c>
      <c r="H466">
        <v>1288.2410889</v>
      </c>
      <c r="I466">
        <v>1431.2775879000001</v>
      </c>
      <c r="J466">
        <v>1399.4925536999999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184.26805100000001</v>
      </c>
      <c r="B467" s="1">
        <f>DATE(2010,11,1) + TIME(6,25,59)</f>
        <v>40483.268043981479</v>
      </c>
      <c r="C467">
        <v>80</v>
      </c>
      <c r="D467">
        <v>79.818328856999997</v>
      </c>
      <c r="E467">
        <v>50</v>
      </c>
      <c r="F467">
        <v>25.903654099000001</v>
      </c>
      <c r="G467">
        <v>1300.4595947</v>
      </c>
      <c r="H467">
        <v>1288.2404785000001</v>
      </c>
      <c r="I467">
        <v>1430.2575684000001</v>
      </c>
      <c r="J467">
        <v>1399.128418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184.30242699999999</v>
      </c>
      <c r="B468" s="1">
        <f>DATE(2010,11,1) + TIME(7,15,29)</f>
        <v>40483.302418981482</v>
      </c>
      <c r="C468">
        <v>80</v>
      </c>
      <c r="D468">
        <v>79.806854247999993</v>
      </c>
      <c r="E468">
        <v>50</v>
      </c>
      <c r="F468">
        <v>26.847755432</v>
      </c>
      <c r="G468">
        <v>1300.4593506000001</v>
      </c>
      <c r="H468">
        <v>1288.2395019999999</v>
      </c>
      <c r="I468">
        <v>1429.2744141000001</v>
      </c>
      <c r="J468">
        <v>1398.7753906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184.338078</v>
      </c>
      <c r="B469" s="1">
        <f>DATE(2010,11,1) + TIME(8,6,49)</f>
        <v>40483.338067129633</v>
      </c>
      <c r="C469">
        <v>80</v>
      </c>
      <c r="D469">
        <v>79.795089722</v>
      </c>
      <c r="E469">
        <v>50</v>
      </c>
      <c r="F469">
        <v>27.788871765</v>
      </c>
      <c r="G469">
        <v>1300.4588623</v>
      </c>
      <c r="H469">
        <v>1288.2385254000001</v>
      </c>
      <c r="I469">
        <v>1428.3260498</v>
      </c>
      <c r="J469">
        <v>1398.4327393000001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184.37508700000001</v>
      </c>
      <c r="B470" s="1">
        <f>DATE(2010,11,1) + TIME(9,0,7)</f>
        <v>40483.375081018516</v>
      </c>
      <c r="C470">
        <v>80</v>
      </c>
      <c r="D470">
        <v>79.783020019999995</v>
      </c>
      <c r="E470">
        <v>50</v>
      </c>
      <c r="F470">
        <v>28.726381302</v>
      </c>
      <c r="G470">
        <v>1300.4582519999999</v>
      </c>
      <c r="H470">
        <v>1288.2371826000001</v>
      </c>
      <c r="I470">
        <v>1427.4111327999999</v>
      </c>
      <c r="J470">
        <v>1398.0999756000001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184.413589</v>
      </c>
      <c r="B471" s="1">
        <f>DATE(2010,11,1) + TIME(9,55,34)</f>
        <v>40483.413587962961</v>
      </c>
      <c r="C471">
        <v>80</v>
      </c>
      <c r="D471">
        <v>79.770614624000004</v>
      </c>
      <c r="E471">
        <v>50</v>
      </c>
      <c r="F471">
        <v>29.660657882999999</v>
      </c>
      <c r="G471">
        <v>1300.4575195</v>
      </c>
      <c r="H471">
        <v>1288.2358397999999</v>
      </c>
      <c r="I471">
        <v>1426.5273437999999</v>
      </c>
      <c r="J471">
        <v>1397.7761230000001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184.45371599999999</v>
      </c>
      <c r="B472" s="1">
        <f>DATE(2010,11,1) + TIME(10,53,21)</f>
        <v>40483.453715277778</v>
      </c>
      <c r="C472">
        <v>80</v>
      </c>
      <c r="D472">
        <v>79.757835388000004</v>
      </c>
      <c r="E472">
        <v>50</v>
      </c>
      <c r="F472">
        <v>30.591655730999999</v>
      </c>
      <c r="G472">
        <v>1300.456543</v>
      </c>
      <c r="H472">
        <v>1288.2342529</v>
      </c>
      <c r="I472">
        <v>1425.6730957</v>
      </c>
      <c r="J472">
        <v>1397.4605713000001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184.49561199999999</v>
      </c>
      <c r="B473" s="1">
        <f>DATE(2010,11,1) + TIME(11,53,40)</f>
        <v>40483.49560185185</v>
      </c>
      <c r="C473">
        <v>80</v>
      </c>
      <c r="D473">
        <v>79.744659424000005</v>
      </c>
      <c r="E473">
        <v>50</v>
      </c>
      <c r="F473">
        <v>31.519075394000001</v>
      </c>
      <c r="G473">
        <v>1300.4554443</v>
      </c>
      <c r="H473">
        <v>1288.2324219</v>
      </c>
      <c r="I473">
        <v>1424.8464355000001</v>
      </c>
      <c r="J473">
        <v>1397.1523437999999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184.539445</v>
      </c>
      <c r="B474" s="1">
        <f>DATE(2010,11,1) + TIME(12,56,48)</f>
        <v>40483.539444444446</v>
      </c>
      <c r="C474">
        <v>80</v>
      </c>
      <c r="D474">
        <v>79.731048584000007</v>
      </c>
      <c r="E474">
        <v>50</v>
      </c>
      <c r="F474">
        <v>32.442577362000002</v>
      </c>
      <c r="G474">
        <v>1300.4542236</v>
      </c>
      <c r="H474">
        <v>1288.2304687999999</v>
      </c>
      <c r="I474">
        <v>1424.0458983999999</v>
      </c>
      <c r="J474">
        <v>1396.8508300999999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184.585398</v>
      </c>
      <c r="B475" s="1">
        <f>DATE(2010,11,1) + TIME(14,2,58)</f>
        <v>40483.585393518515</v>
      </c>
      <c r="C475">
        <v>80</v>
      </c>
      <c r="D475">
        <v>79.716957092000001</v>
      </c>
      <c r="E475">
        <v>50</v>
      </c>
      <c r="F475">
        <v>33.361709595000001</v>
      </c>
      <c r="G475">
        <v>1300.4527588000001</v>
      </c>
      <c r="H475">
        <v>1288.2283935999999</v>
      </c>
      <c r="I475">
        <v>1423.2700195</v>
      </c>
      <c r="J475">
        <v>1396.5554199000001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184.63369399999999</v>
      </c>
      <c r="B476" s="1">
        <f>DATE(2010,11,1) + TIME(15,12,31)</f>
        <v>40483.633692129632</v>
      </c>
      <c r="C476">
        <v>80</v>
      </c>
      <c r="D476">
        <v>79.702339171999995</v>
      </c>
      <c r="E476">
        <v>50</v>
      </c>
      <c r="F476">
        <v>34.276237488</v>
      </c>
      <c r="G476">
        <v>1300.4511719</v>
      </c>
      <c r="H476">
        <v>1288.2260742000001</v>
      </c>
      <c r="I476">
        <v>1422.5174560999999</v>
      </c>
      <c r="J476">
        <v>1396.2651367000001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184.68458999999999</v>
      </c>
      <c r="B477" s="1">
        <f>DATE(2010,11,1) + TIME(16,25,48)</f>
        <v>40483.684583333335</v>
      </c>
      <c r="C477">
        <v>80</v>
      </c>
      <c r="D477">
        <v>79.687141417999996</v>
      </c>
      <c r="E477">
        <v>50</v>
      </c>
      <c r="F477">
        <v>35.185817718999999</v>
      </c>
      <c r="G477">
        <v>1300.4494629000001</v>
      </c>
      <c r="H477">
        <v>1288.2236327999999</v>
      </c>
      <c r="I477">
        <v>1421.786499</v>
      </c>
      <c r="J477">
        <v>1395.9793701000001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184.738381</v>
      </c>
      <c r="B478" s="1">
        <f>DATE(2010,11,1) + TIME(17,43,16)</f>
        <v>40483.738379629627</v>
      </c>
      <c r="C478">
        <v>80</v>
      </c>
      <c r="D478">
        <v>79.671295165999993</v>
      </c>
      <c r="E478">
        <v>50</v>
      </c>
      <c r="F478">
        <v>36.089988708</v>
      </c>
      <c r="G478">
        <v>1300.4475098</v>
      </c>
      <c r="H478">
        <v>1288.2209473</v>
      </c>
      <c r="I478">
        <v>1421.0758057</v>
      </c>
      <c r="J478">
        <v>1395.6973877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184.79541699999999</v>
      </c>
      <c r="B479" s="1">
        <f>DATE(2010,11,1) + TIME(19,5,24)</f>
        <v>40483.795416666668</v>
      </c>
      <c r="C479">
        <v>80</v>
      </c>
      <c r="D479">
        <v>79.654731749999996</v>
      </c>
      <c r="E479">
        <v>50</v>
      </c>
      <c r="F479">
        <v>36.988227844000001</v>
      </c>
      <c r="G479">
        <v>1300.4454346</v>
      </c>
      <c r="H479">
        <v>1288.2180175999999</v>
      </c>
      <c r="I479">
        <v>1420.3840332</v>
      </c>
      <c r="J479">
        <v>1395.4183350000001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184.856109</v>
      </c>
      <c r="B480" s="1">
        <f>DATE(2010,11,1) + TIME(20,32,47)</f>
        <v>40483.856099537035</v>
      </c>
      <c r="C480">
        <v>80</v>
      </c>
      <c r="D480">
        <v>79.637359618999994</v>
      </c>
      <c r="E480">
        <v>50</v>
      </c>
      <c r="F480">
        <v>37.879917145</v>
      </c>
      <c r="G480">
        <v>1300.4432373</v>
      </c>
      <c r="H480">
        <v>1288.2149658000001</v>
      </c>
      <c r="I480">
        <v>1419.7097168</v>
      </c>
      <c r="J480">
        <v>1395.1413574000001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184.92095</v>
      </c>
      <c r="B481" s="1">
        <f>DATE(2010,11,1) + TIME(22,6,10)</f>
        <v>40483.920949074076</v>
      </c>
      <c r="C481">
        <v>80</v>
      </c>
      <c r="D481">
        <v>79.619071959999999</v>
      </c>
      <c r="E481">
        <v>50</v>
      </c>
      <c r="F481">
        <v>38.764335631999998</v>
      </c>
      <c r="G481">
        <v>1300.4406738</v>
      </c>
      <c r="H481">
        <v>1288.2115478999999</v>
      </c>
      <c r="I481">
        <v>1419.0516356999999</v>
      </c>
      <c r="J481">
        <v>1394.8656006000001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184.99053799999999</v>
      </c>
      <c r="B482" s="1">
        <f>DATE(2010,11,1) + TIME(23,46,22)</f>
        <v>40483.990532407406</v>
      </c>
      <c r="C482">
        <v>80</v>
      </c>
      <c r="D482">
        <v>79.599754333000007</v>
      </c>
      <c r="E482">
        <v>50</v>
      </c>
      <c r="F482">
        <v>39.640636444000002</v>
      </c>
      <c r="G482">
        <v>1300.4379882999999</v>
      </c>
      <c r="H482">
        <v>1288.2080077999999</v>
      </c>
      <c r="I482">
        <v>1418.4083252</v>
      </c>
      <c r="J482">
        <v>1394.5899658000001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185.06560400000001</v>
      </c>
      <c r="B483" s="1">
        <f>DATE(2010,11,2) + TIME(1,34,28)</f>
        <v>40484.065601851849</v>
      </c>
      <c r="C483">
        <v>80</v>
      </c>
      <c r="D483">
        <v>79.579246521000002</v>
      </c>
      <c r="E483">
        <v>50</v>
      </c>
      <c r="F483">
        <v>40.507942200000002</v>
      </c>
      <c r="G483">
        <v>1300.4350586</v>
      </c>
      <c r="H483">
        <v>1288.2041016000001</v>
      </c>
      <c r="I483">
        <v>1417.7784423999999</v>
      </c>
      <c r="J483">
        <v>1394.3135986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185.14705499999999</v>
      </c>
      <c r="B484" s="1">
        <f>DATE(2010,11,2) + TIME(3,31,45)</f>
        <v>40484.147048611114</v>
      </c>
      <c r="C484">
        <v>80</v>
      </c>
      <c r="D484">
        <v>79.557373046999999</v>
      </c>
      <c r="E484">
        <v>50</v>
      </c>
      <c r="F484">
        <v>41.365039824999997</v>
      </c>
      <c r="G484">
        <v>1300.4318848</v>
      </c>
      <c r="H484">
        <v>1288.1999512</v>
      </c>
      <c r="I484">
        <v>1417.1602783000001</v>
      </c>
      <c r="J484">
        <v>1394.0350341999999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185.23603199999999</v>
      </c>
      <c r="B485" s="1">
        <f>DATE(2010,11,2) + TIME(5,39,53)</f>
        <v>40484.236030092594</v>
      </c>
      <c r="C485">
        <v>80</v>
      </c>
      <c r="D485">
        <v>79.533897400000001</v>
      </c>
      <c r="E485">
        <v>50</v>
      </c>
      <c r="F485">
        <v>42.210384369000003</v>
      </c>
      <c r="G485">
        <v>1300.4284668</v>
      </c>
      <c r="H485">
        <v>1288.1953125</v>
      </c>
      <c r="I485">
        <v>1416.5524902</v>
      </c>
      <c r="J485">
        <v>1393.7530518000001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185.33398399999999</v>
      </c>
      <c r="B486" s="1">
        <f>DATE(2010,11,2) + TIME(8,0,56)</f>
        <v>40484.333981481483</v>
      </c>
      <c r="C486">
        <v>80</v>
      </c>
      <c r="D486">
        <v>79.508537292</v>
      </c>
      <c r="E486">
        <v>50</v>
      </c>
      <c r="F486">
        <v>43.042098998999997</v>
      </c>
      <c r="G486">
        <v>1300.4246826000001</v>
      </c>
      <c r="H486">
        <v>1288.1903076000001</v>
      </c>
      <c r="I486">
        <v>1415.9534911999999</v>
      </c>
      <c r="J486">
        <v>1393.4660644999999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185.442847</v>
      </c>
      <c r="B487" s="1">
        <f>DATE(2010,11,2) + TIME(10,37,42)</f>
        <v>40484.442847222221</v>
      </c>
      <c r="C487">
        <v>80</v>
      </c>
      <c r="D487">
        <v>79.480918884000005</v>
      </c>
      <c r="E487">
        <v>50</v>
      </c>
      <c r="F487">
        <v>43.858200072999999</v>
      </c>
      <c r="G487">
        <v>1300.4204102000001</v>
      </c>
      <c r="H487">
        <v>1288.1849365</v>
      </c>
      <c r="I487">
        <v>1415.3612060999999</v>
      </c>
      <c r="J487">
        <v>1393.1722411999999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185.55784700000001</v>
      </c>
      <c r="B488" s="1">
        <f>DATE(2010,11,2) + TIME(13,23,18)</f>
        <v>40484.557847222219</v>
      </c>
      <c r="C488">
        <v>80</v>
      </c>
      <c r="D488">
        <v>79.452156067000004</v>
      </c>
      <c r="E488">
        <v>50</v>
      </c>
      <c r="F488">
        <v>44.614063262999998</v>
      </c>
      <c r="G488">
        <v>1300.4156493999999</v>
      </c>
      <c r="H488">
        <v>1288.1788329999999</v>
      </c>
      <c r="I488">
        <v>1414.7990723</v>
      </c>
      <c r="J488">
        <v>1392.8786620999999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185.67357100000001</v>
      </c>
      <c r="B489" s="1">
        <f>DATE(2010,11,2) + TIME(16,9,56)</f>
        <v>40484.673564814817</v>
      </c>
      <c r="C489">
        <v>80</v>
      </c>
      <c r="D489">
        <v>79.423439025999997</v>
      </c>
      <c r="E489">
        <v>50</v>
      </c>
      <c r="F489">
        <v>45.280185699</v>
      </c>
      <c r="G489">
        <v>1300.4104004000001</v>
      </c>
      <c r="H489">
        <v>1288.1724853999999</v>
      </c>
      <c r="I489">
        <v>1414.2868652</v>
      </c>
      <c r="J489">
        <v>1392.5966797000001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185.79095100000001</v>
      </c>
      <c r="B490" s="1">
        <f>DATE(2010,11,2) + TIME(18,58,58)</f>
        <v>40484.790949074071</v>
      </c>
      <c r="C490">
        <v>80</v>
      </c>
      <c r="D490">
        <v>79.394569396999998</v>
      </c>
      <c r="E490">
        <v>50</v>
      </c>
      <c r="F490">
        <v>45.870624542000002</v>
      </c>
      <c r="G490">
        <v>1300.4051514</v>
      </c>
      <c r="H490">
        <v>1288.1661377</v>
      </c>
      <c r="I490">
        <v>1413.8194579999999</v>
      </c>
      <c r="J490">
        <v>1392.3300781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185.91050999999999</v>
      </c>
      <c r="B491" s="1">
        <f>DATE(2010,11,2) + TIME(21,51,8)</f>
        <v>40484.910509259258</v>
      </c>
      <c r="C491">
        <v>80</v>
      </c>
      <c r="D491">
        <v>79.365409850999995</v>
      </c>
      <c r="E491">
        <v>50</v>
      </c>
      <c r="F491">
        <v>46.394748688</v>
      </c>
      <c r="G491">
        <v>1300.3997803</v>
      </c>
      <c r="H491">
        <v>1288.159668</v>
      </c>
      <c r="I491">
        <v>1413.3895264</v>
      </c>
      <c r="J491">
        <v>1392.0755615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186.03278499999999</v>
      </c>
      <c r="B492" s="1">
        <f>DATE(2010,11,3) + TIME(0,47,12)</f>
        <v>40485.032777777778</v>
      </c>
      <c r="C492">
        <v>80</v>
      </c>
      <c r="D492">
        <v>79.335861206000004</v>
      </c>
      <c r="E492">
        <v>50</v>
      </c>
      <c r="F492">
        <v>46.860408782999997</v>
      </c>
      <c r="G492">
        <v>1300.3944091999999</v>
      </c>
      <c r="H492">
        <v>1288.1529541</v>
      </c>
      <c r="I492">
        <v>1412.9912108999999</v>
      </c>
      <c r="J492">
        <v>1391.8311768000001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186.15832900000001</v>
      </c>
      <c r="B493" s="1">
        <f>DATE(2010,11,3) + TIME(3,47,59)</f>
        <v>40485.158321759256</v>
      </c>
      <c r="C493">
        <v>80</v>
      </c>
      <c r="D493">
        <v>79.305801392000006</v>
      </c>
      <c r="E493">
        <v>50</v>
      </c>
      <c r="F493">
        <v>47.274188995000003</v>
      </c>
      <c r="G493">
        <v>1300.3887939000001</v>
      </c>
      <c r="H493">
        <v>1288.1461182</v>
      </c>
      <c r="I493">
        <v>1412.619751</v>
      </c>
      <c r="J493">
        <v>1391.5950928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186.28769800000001</v>
      </c>
      <c r="B494" s="1">
        <f>DATE(2010,11,3) + TIME(6,54,17)</f>
        <v>40485.28769675926</v>
      </c>
      <c r="C494">
        <v>80</v>
      </c>
      <c r="D494">
        <v>79.275108337000006</v>
      </c>
      <c r="E494">
        <v>50</v>
      </c>
      <c r="F494">
        <v>47.641620635999999</v>
      </c>
      <c r="G494">
        <v>1300.3829346</v>
      </c>
      <c r="H494">
        <v>1288.1391602000001</v>
      </c>
      <c r="I494">
        <v>1412.2713623</v>
      </c>
      <c r="J494">
        <v>1391.3657227000001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186.421514</v>
      </c>
      <c r="B495" s="1">
        <f>DATE(2010,11,3) + TIME(10,6,58)</f>
        <v>40485.42150462963</v>
      </c>
      <c r="C495">
        <v>80</v>
      </c>
      <c r="D495">
        <v>79.243659973000007</v>
      </c>
      <c r="E495">
        <v>50</v>
      </c>
      <c r="F495">
        <v>47.967521667</v>
      </c>
      <c r="G495">
        <v>1300.3769531</v>
      </c>
      <c r="H495">
        <v>1288.1319579999999</v>
      </c>
      <c r="I495">
        <v>1411.9425048999999</v>
      </c>
      <c r="J495">
        <v>1391.1419678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186.560135</v>
      </c>
      <c r="B496" s="1">
        <f>DATE(2010,11,3) + TIME(13,26,35)</f>
        <v>40485.560127314813</v>
      </c>
      <c r="C496">
        <v>80</v>
      </c>
      <c r="D496">
        <v>79.211387634000005</v>
      </c>
      <c r="E496">
        <v>50</v>
      </c>
      <c r="F496">
        <v>48.255504608000003</v>
      </c>
      <c r="G496">
        <v>1300.3707274999999</v>
      </c>
      <c r="H496">
        <v>1288.1243896000001</v>
      </c>
      <c r="I496">
        <v>1411.6307373</v>
      </c>
      <c r="J496">
        <v>1390.9226074000001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186.70424399999999</v>
      </c>
      <c r="B497" s="1">
        <f>DATE(2010,11,3) + TIME(16,54,6)</f>
        <v>40485.704236111109</v>
      </c>
      <c r="C497">
        <v>80</v>
      </c>
      <c r="D497">
        <v>79.178153992000006</v>
      </c>
      <c r="E497">
        <v>50</v>
      </c>
      <c r="F497">
        <v>48.509384154999999</v>
      </c>
      <c r="G497">
        <v>1300.3642577999999</v>
      </c>
      <c r="H497">
        <v>1288.1166992000001</v>
      </c>
      <c r="I497">
        <v>1411.3337402</v>
      </c>
      <c r="J497">
        <v>1390.7070312000001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186.854567</v>
      </c>
      <c r="B498" s="1">
        <f>DATE(2010,11,3) + TIME(20,30,34)</f>
        <v>40485.854560185187</v>
      </c>
      <c r="C498">
        <v>80</v>
      </c>
      <c r="D498">
        <v>79.143829346000004</v>
      </c>
      <c r="E498">
        <v>50</v>
      </c>
      <c r="F498">
        <v>48.732486725000001</v>
      </c>
      <c r="G498">
        <v>1300.3574219</v>
      </c>
      <c r="H498">
        <v>1288.1085204999999</v>
      </c>
      <c r="I498">
        <v>1411.0494385</v>
      </c>
      <c r="J498">
        <v>1390.4942627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187.01201399999999</v>
      </c>
      <c r="B499" s="1">
        <f>DATE(2010,11,4) + TIME(0,17,17)</f>
        <v>40486.012002314812</v>
      </c>
      <c r="C499">
        <v>80</v>
      </c>
      <c r="D499">
        <v>79.108230590999995</v>
      </c>
      <c r="E499">
        <v>50</v>
      </c>
      <c r="F499">
        <v>48.927890777999998</v>
      </c>
      <c r="G499">
        <v>1300.3503418</v>
      </c>
      <c r="H499">
        <v>1288.1000977000001</v>
      </c>
      <c r="I499">
        <v>1410.7757568</v>
      </c>
      <c r="J499">
        <v>1390.2835693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187.17751100000001</v>
      </c>
      <c r="B500" s="1">
        <f>DATE(2010,11,4) + TIME(4,15,36)</f>
        <v>40486.177499999998</v>
      </c>
      <c r="C500">
        <v>80</v>
      </c>
      <c r="D500">
        <v>79.071205139</v>
      </c>
      <c r="E500">
        <v>50</v>
      </c>
      <c r="F500">
        <v>49.098228454999997</v>
      </c>
      <c r="G500">
        <v>1300.3428954999999</v>
      </c>
      <c r="H500">
        <v>1288.0911865</v>
      </c>
      <c r="I500">
        <v>1410.5108643000001</v>
      </c>
      <c r="J500">
        <v>1390.0737305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187.35220699999999</v>
      </c>
      <c r="B501" s="1">
        <f>DATE(2010,11,4) + TIME(8,27,10)</f>
        <v>40486.352199074077</v>
      </c>
      <c r="C501">
        <v>80</v>
      </c>
      <c r="D501">
        <v>79.032531738000003</v>
      </c>
      <c r="E501">
        <v>50</v>
      </c>
      <c r="F501">
        <v>49.245964049999998</v>
      </c>
      <c r="G501">
        <v>1300.3350829999999</v>
      </c>
      <c r="H501">
        <v>1288.0817870999999</v>
      </c>
      <c r="I501">
        <v>1410.2530518000001</v>
      </c>
      <c r="J501">
        <v>1389.8642577999999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187.53736699999999</v>
      </c>
      <c r="B502" s="1">
        <f>DATE(2010,11,4) + TIME(12,53,48)</f>
        <v>40486.537361111114</v>
      </c>
      <c r="C502">
        <v>80</v>
      </c>
      <c r="D502">
        <v>78.991989136000001</v>
      </c>
      <c r="E502">
        <v>50</v>
      </c>
      <c r="F502">
        <v>49.373291016000003</v>
      </c>
      <c r="G502">
        <v>1300.3266602000001</v>
      </c>
      <c r="H502">
        <v>1288.0718993999999</v>
      </c>
      <c r="I502">
        <v>1410.0008545000001</v>
      </c>
      <c r="J502">
        <v>1389.6540527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187.73445100000001</v>
      </c>
      <c r="B503" s="1">
        <f>DATE(2010,11,4) + TIME(17,37,36)</f>
        <v>40486.734444444446</v>
      </c>
      <c r="C503">
        <v>80</v>
      </c>
      <c r="D503">
        <v>78.949325561999999</v>
      </c>
      <c r="E503">
        <v>50</v>
      </c>
      <c r="F503">
        <v>49.482227324999997</v>
      </c>
      <c r="G503">
        <v>1300.3178711</v>
      </c>
      <c r="H503">
        <v>1288.0614014</v>
      </c>
      <c r="I503">
        <v>1409.7524414</v>
      </c>
      <c r="J503">
        <v>1389.4425048999999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187.94512900000001</v>
      </c>
      <c r="B504" s="1">
        <f>DATE(2010,11,4) + TIME(22,40,59)</f>
        <v>40486.945127314815</v>
      </c>
      <c r="C504">
        <v>80</v>
      </c>
      <c r="D504">
        <v>78.904251099000007</v>
      </c>
      <c r="E504">
        <v>50</v>
      </c>
      <c r="F504">
        <v>49.574615479000002</v>
      </c>
      <c r="G504">
        <v>1300.3083495999999</v>
      </c>
      <c r="H504">
        <v>1288.0501709</v>
      </c>
      <c r="I504">
        <v>1409.5067139</v>
      </c>
      <c r="J504">
        <v>1389.2286377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188.16945799999999</v>
      </c>
      <c r="B505" s="1">
        <f>DATE(2010,11,5) + TIME(4,4,1)</f>
        <v>40487.169456018521</v>
      </c>
      <c r="C505">
        <v>80</v>
      </c>
      <c r="D505">
        <v>78.856765746999997</v>
      </c>
      <c r="E505">
        <v>50</v>
      </c>
      <c r="F505">
        <v>49.651691436999997</v>
      </c>
      <c r="G505">
        <v>1300.2980957</v>
      </c>
      <c r="H505">
        <v>1288.0382079999999</v>
      </c>
      <c r="I505">
        <v>1409.2624512</v>
      </c>
      <c r="J505">
        <v>1389.0118408000001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188.408478</v>
      </c>
      <c r="B506" s="1">
        <f>DATE(2010,11,5) + TIME(9,48,12)</f>
        <v>40487.408472222225</v>
      </c>
      <c r="C506">
        <v>80</v>
      </c>
      <c r="D506">
        <v>78.806686400999993</v>
      </c>
      <c r="E506">
        <v>50</v>
      </c>
      <c r="F506">
        <v>49.715187073000003</v>
      </c>
      <c r="G506">
        <v>1300.2872314000001</v>
      </c>
      <c r="H506">
        <v>1288.0253906</v>
      </c>
      <c r="I506">
        <v>1409.0197754000001</v>
      </c>
      <c r="J506">
        <v>1388.7928466999999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188.654157</v>
      </c>
      <c r="B507" s="1">
        <f>DATE(2010,11,5) + TIME(15,41,59)</f>
        <v>40487.65415509259</v>
      </c>
      <c r="C507">
        <v>80</v>
      </c>
      <c r="D507">
        <v>78.755310058999996</v>
      </c>
      <c r="E507">
        <v>50</v>
      </c>
      <c r="F507">
        <v>49.765384674000003</v>
      </c>
      <c r="G507">
        <v>1300.2755127</v>
      </c>
      <c r="H507">
        <v>1288.0118408000001</v>
      </c>
      <c r="I507">
        <v>1408.7791748</v>
      </c>
      <c r="J507">
        <v>1388.5720214999999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188.90151599999999</v>
      </c>
      <c r="B508" s="1">
        <f>DATE(2010,11,5) + TIME(21,38,11)</f>
        <v>40487.901516203703</v>
      </c>
      <c r="C508">
        <v>80</v>
      </c>
      <c r="D508">
        <v>78.703498839999995</v>
      </c>
      <c r="E508">
        <v>50</v>
      </c>
      <c r="F508">
        <v>49.804248809999997</v>
      </c>
      <c r="G508">
        <v>1300.2633057</v>
      </c>
      <c r="H508">
        <v>1287.9978027</v>
      </c>
      <c r="I508">
        <v>1408.5473632999999</v>
      </c>
      <c r="J508">
        <v>1388.3566894999999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189.15190999999999</v>
      </c>
      <c r="B509" s="1">
        <f>DATE(2010,11,6) + TIME(3,38,45)</f>
        <v>40488.151909722219</v>
      </c>
      <c r="C509">
        <v>80</v>
      </c>
      <c r="D509">
        <v>78.651130675999994</v>
      </c>
      <c r="E509">
        <v>50</v>
      </c>
      <c r="F509">
        <v>49.834461212000001</v>
      </c>
      <c r="G509">
        <v>1300.2510986</v>
      </c>
      <c r="H509">
        <v>1287.9835204999999</v>
      </c>
      <c r="I509">
        <v>1408.3275146000001</v>
      </c>
      <c r="J509">
        <v>1388.1507568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189.40626</v>
      </c>
      <c r="B510" s="1">
        <f>DATE(2010,11,6) + TIME(9,45,0)</f>
        <v>40488.40625</v>
      </c>
      <c r="C510">
        <v>80</v>
      </c>
      <c r="D510">
        <v>78.598121642999999</v>
      </c>
      <c r="E510">
        <v>50</v>
      </c>
      <c r="F510">
        <v>49.857986449999999</v>
      </c>
      <c r="G510">
        <v>1300.2386475000001</v>
      </c>
      <c r="H510">
        <v>1287.9692382999999</v>
      </c>
      <c r="I510">
        <v>1408.1170654</v>
      </c>
      <c r="J510">
        <v>1387.9522704999999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189.66566700000001</v>
      </c>
      <c r="B511" s="1">
        <f>DATE(2010,11,6) + TIME(15,58,33)</f>
        <v>40488.665659722225</v>
      </c>
      <c r="C511">
        <v>80</v>
      </c>
      <c r="D511">
        <v>78.544342040999993</v>
      </c>
      <c r="E511">
        <v>50</v>
      </c>
      <c r="F511">
        <v>49.876331329000003</v>
      </c>
      <c r="G511">
        <v>1300.2260742000001</v>
      </c>
      <c r="H511">
        <v>1287.9545897999999</v>
      </c>
      <c r="I511">
        <v>1407.9144286999999</v>
      </c>
      <c r="J511">
        <v>1387.7600098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189.931299</v>
      </c>
      <c r="B512" s="1">
        <f>DATE(2010,11,6) + TIME(22,21,4)</f>
        <v>40488.931296296294</v>
      </c>
      <c r="C512">
        <v>80</v>
      </c>
      <c r="D512">
        <v>78.489639281999999</v>
      </c>
      <c r="E512">
        <v>50</v>
      </c>
      <c r="F512">
        <v>49.890659331999998</v>
      </c>
      <c r="G512">
        <v>1300.2131348</v>
      </c>
      <c r="H512">
        <v>1287.9395752</v>
      </c>
      <c r="I512">
        <v>1407.7181396000001</v>
      </c>
      <c r="J512">
        <v>1387.5729980000001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190.20420300000001</v>
      </c>
      <c r="B513" s="1">
        <f>DATE(2010,11,7) + TIME(4,54,3)</f>
        <v>40489.204201388886</v>
      </c>
      <c r="C513">
        <v>80</v>
      </c>
      <c r="D513">
        <v>78.433860779</v>
      </c>
      <c r="E513">
        <v>50</v>
      </c>
      <c r="F513">
        <v>49.901844025000003</v>
      </c>
      <c r="G513">
        <v>1300.1999512</v>
      </c>
      <c r="H513">
        <v>1287.9243164</v>
      </c>
      <c r="I513">
        <v>1407.5267334</v>
      </c>
      <c r="J513">
        <v>1387.3900146000001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190.48552900000001</v>
      </c>
      <c r="B514" s="1">
        <f>DATE(2010,11,7) + TIME(11,39,9)</f>
        <v>40489.485520833332</v>
      </c>
      <c r="C514">
        <v>80</v>
      </c>
      <c r="D514">
        <v>78.376838684000006</v>
      </c>
      <c r="E514">
        <v>50</v>
      </c>
      <c r="F514">
        <v>49.910575866999999</v>
      </c>
      <c r="G514">
        <v>1300.1864014</v>
      </c>
      <c r="H514">
        <v>1287.9085693</v>
      </c>
      <c r="I514">
        <v>1407.3393555</v>
      </c>
      <c r="J514">
        <v>1387.2103271000001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190.77646799999999</v>
      </c>
      <c r="B515" s="1">
        <f>DATE(2010,11,7) + TIME(18,38,6)</f>
        <v>40489.776458333334</v>
      </c>
      <c r="C515">
        <v>80</v>
      </c>
      <c r="D515">
        <v>78.318397521999998</v>
      </c>
      <c r="E515">
        <v>50</v>
      </c>
      <c r="F515">
        <v>49.917392731</v>
      </c>
      <c r="G515">
        <v>1300.1723632999999</v>
      </c>
      <c r="H515">
        <v>1287.8922118999999</v>
      </c>
      <c r="I515">
        <v>1407.1549072</v>
      </c>
      <c r="J515">
        <v>1387.0332031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191.078247</v>
      </c>
      <c r="B516" s="1">
        <f>DATE(2010,11,8) + TIME(1,52,40)</f>
        <v>40490.078240740739</v>
      </c>
      <c r="C516">
        <v>80</v>
      </c>
      <c r="D516">
        <v>78.258338928000001</v>
      </c>
      <c r="E516">
        <v>50</v>
      </c>
      <c r="F516">
        <v>49.922710418999998</v>
      </c>
      <c r="G516">
        <v>1300.1578368999999</v>
      </c>
      <c r="H516">
        <v>1287.8753661999999</v>
      </c>
      <c r="I516">
        <v>1406.9727783000001</v>
      </c>
      <c r="J516">
        <v>1386.8579102000001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191.392369</v>
      </c>
      <c r="B517" s="1">
        <f>DATE(2010,11,8) + TIME(9,25,0)</f>
        <v>40490.392361111109</v>
      </c>
      <c r="C517">
        <v>80</v>
      </c>
      <c r="D517">
        <v>78.196441649999997</v>
      </c>
      <c r="E517">
        <v>50</v>
      </c>
      <c r="F517">
        <v>49.926860808999997</v>
      </c>
      <c r="G517">
        <v>1300.1427002</v>
      </c>
      <c r="H517">
        <v>1287.8579102000001</v>
      </c>
      <c r="I517">
        <v>1406.7921143000001</v>
      </c>
      <c r="J517">
        <v>1386.6839600000001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191.72087500000001</v>
      </c>
      <c r="B518" s="1">
        <f>DATE(2010,11,8) + TIME(17,18,3)</f>
        <v>40490.720868055556</v>
      </c>
      <c r="C518">
        <v>80</v>
      </c>
      <c r="D518">
        <v>78.132392882999994</v>
      </c>
      <c r="E518">
        <v>50</v>
      </c>
      <c r="F518">
        <v>49.930103301999999</v>
      </c>
      <c r="G518">
        <v>1300.1269531</v>
      </c>
      <c r="H518">
        <v>1287.8397216999999</v>
      </c>
      <c r="I518">
        <v>1406.6123047000001</v>
      </c>
      <c r="J518">
        <v>1386.5106201000001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192.066148</v>
      </c>
      <c r="B519" s="1">
        <f>DATE(2010,11,9) + TIME(1,35,15)</f>
        <v>40491.066145833334</v>
      </c>
      <c r="C519">
        <v>80</v>
      </c>
      <c r="D519">
        <v>78.065849303999997</v>
      </c>
      <c r="E519">
        <v>50</v>
      </c>
      <c r="F519">
        <v>49.932647705000001</v>
      </c>
      <c r="G519">
        <v>1300.1104736</v>
      </c>
      <c r="H519">
        <v>1287.8205565999999</v>
      </c>
      <c r="I519">
        <v>1406.4324951000001</v>
      </c>
      <c r="J519">
        <v>1386.3372803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192.431027</v>
      </c>
      <c r="B520" s="1">
        <f>DATE(2010,11,9) + TIME(10,20,40)</f>
        <v>40491.431018518517</v>
      </c>
      <c r="C520">
        <v>80</v>
      </c>
      <c r="D520">
        <v>77.996391295999999</v>
      </c>
      <c r="E520">
        <v>50</v>
      </c>
      <c r="F520">
        <v>49.934646606000001</v>
      </c>
      <c r="G520">
        <v>1300.0930175999999</v>
      </c>
      <c r="H520">
        <v>1287.8004149999999</v>
      </c>
      <c r="I520">
        <v>1406.2518310999999</v>
      </c>
      <c r="J520">
        <v>1386.1630858999999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192.815382</v>
      </c>
      <c r="B521" s="1">
        <f>DATE(2010,11,9) + TIME(19,34,9)</f>
        <v>40491.815381944441</v>
      </c>
      <c r="C521">
        <v>80</v>
      </c>
      <c r="D521">
        <v>77.923980713000006</v>
      </c>
      <c r="E521">
        <v>50</v>
      </c>
      <c r="F521">
        <v>49.936214446999998</v>
      </c>
      <c r="G521">
        <v>1300.0745850000001</v>
      </c>
      <c r="H521">
        <v>1287.7791748</v>
      </c>
      <c r="I521">
        <v>1406.0692139</v>
      </c>
      <c r="J521">
        <v>1385.9870605000001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193.210658</v>
      </c>
      <c r="B522" s="1">
        <f>DATE(2010,11,10) + TIME(5,3,20)</f>
        <v>40492.210648148146</v>
      </c>
      <c r="C522">
        <v>80</v>
      </c>
      <c r="D522">
        <v>77.849678040000001</v>
      </c>
      <c r="E522">
        <v>50</v>
      </c>
      <c r="F522">
        <v>49.937419890999998</v>
      </c>
      <c r="G522">
        <v>1300.0550536999999</v>
      </c>
      <c r="H522">
        <v>1287.7567139</v>
      </c>
      <c r="I522">
        <v>1405.885376</v>
      </c>
      <c r="J522">
        <v>1385.8099365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193.60829200000001</v>
      </c>
      <c r="B523" s="1">
        <f>DATE(2010,11,10) + TIME(14,35,56)</f>
        <v>40492.608287037037</v>
      </c>
      <c r="C523">
        <v>80</v>
      </c>
      <c r="D523">
        <v>77.774719238000003</v>
      </c>
      <c r="E523">
        <v>50</v>
      </c>
      <c r="F523">
        <v>49.938346863</v>
      </c>
      <c r="G523">
        <v>1300.0347899999999</v>
      </c>
      <c r="H523">
        <v>1287.7335204999999</v>
      </c>
      <c r="I523">
        <v>1405.7047118999999</v>
      </c>
      <c r="J523">
        <v>1385.6358643000001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194.01001600000001</v>
      </c>
      <c r="B524" s="1">
        <f>DATE(2010,11,11) + TIME(0,14,25)</f>
        <v>40493.010011574072</v>
      </c>
      <c r="C524">
        <v>80</v>
      </c>
      <c r="D524">
        <v>77.699142456000004</v>
      </c>
      <c r="E524">
        <v>50</v>
      </c>
      <c r="F524">
        <v>49.939064025999997</v>
      </c>
      <c r="G524">
        <v>1300.0144043</v>
      </c>
      <c r="H524">
        <v>1287.7102050999999</v>
      </c>
      <c r="I524">
        <v>1405.5308838000001</v>
      </c>
      <c r="J524">
        <v>1385.4686279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194.41752</v>
      </c>
      <c r="B525" s="1">
        <f>DATE(2010,11,11) + TIME(10,1,13)</f>
        <v>40493.417511574073</v>
      </c>
      <c r="C525">
        <v>80</v>
      </c>
      <c r="D525">
        <v>77.622879028</v>
      </c>
      <c r="E525">
        <v>50</v>
      </c>
      <c r="F525">
        <v>49.939636229999998</v>
      </c>
      <c r="G525">
        <v>1299.9937743999999</v>
      </c>
      <c r="H525">
        <v>1287.6865233999999</v>
      </c>
      <c r="I525">
        <v>1405.3626709</v>
      </c>
      <c r="J525">
        <v>1385.3068848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194.83252300000001</v>
      </c>
      <c r="B526" s="1">
        <f>DATE(2010,11,11) + TIME(19,58,49)</f>
        <v>40493.832511574074</v>
      </c>
      <c r="C526">
        <v>80</v>
      </c>
      <c r="D526">
        <v>77.545783997000001</v>
      </c>
      <c r="E526">
        <v>50</v>
      </c>
      <c r="F526">
        <v>49.940093994000001</v>
      </c>
      <c r="G526">
        <v>1299.9727783000001</v>
      </c>
      <c r="H526">
        <v>1287.6624756000001</v>
      </c>
      <c r="I526">
        <v>1405.1992187999999</v>
      </c>
      <c r="J526">
        <v>1385.1496582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195.25641200000001</v>
      </c>
      <c r="B527" s="1">
        <f>DATE(2010,11,12) + TIME(6,9,13)</f>
        <v>40494.25640046296</v>
      </c>
      <c r="C527">
        <v>80</v>
      </c>
      <c r="D527">
        <v>77.467720032000003</v>
      </c>
      <c r="E527">
        <v>50</v>
      </c>
      <c r="F527">
        <v>49.94046402</v>
      </c>
      <c r="G527">
        <v>1299.9514160000001</v>
      </c>
      <c r="H527">
        <v>1287.6378173999999</v>
      </c>
      <c r="I527">
        <v>1405.0394286999999</v>
      </c>
      <c r="J527">
        <v>1384.9962158000001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195.690833</v>
      </c>
      <c r="B528" s="1">
        <f>DATE(2010,11,12) + TIME(16,34,47)</f>
        <v>40494.690821759257</v>
      </c>
      <c r="C528">
        <v>80</v>
      </c>
      <c r="D528">
        <v>77.388481139999996</v>
      </c>
      <c r="E528">
        <v>50</v>
      </c>
      <c r="F528">
        <v>49.940773010000001</v>
      </c>
      <c r="G528">
        <v>1299.9294434000001</v>
      </c>
      <c r="H528">
        <v>1287.6125488</v>
      </c>
      <c r="I528">
        <v>1404.8826904</v>
      </c>
      <c r="J528">
        <v>1384.8458252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196.137775</v>
      </c>
      <c r="B529" s="1">
        <f>DATE(2010,11,13) + TIME(3,18,23)</f>
        <v>40495.137766203705</v>
      </c>
      <c r="C529">
        <v>80</v>
      </c>
      <c r="D529">
        <v>77.307815551999994</v>
      </c>
      <c r="E529">
        <v>50</v>
      </c>
      <c r="F529">
        <v>49.941032409999998</v>
      </c>
      <c r="G529">
        <v>1299.9069824000001</v>
      </c>
      <c r="H529">
        <v>1287.5866699000001</v>
      </c>
      <c r="I529">
        <v>1404.7283935999999</v>
      </c>
      <c r="J529">
        <v>1384.6977539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196.59972200000001</v>
      </c>
      <c r="B530" s="1">
        <f>DATE(2010,11,13) + TIME(14,23,35)</f>
        <v>40495.599710648145</v>
      </c>
      <c r="C530">
        <v>80</v>
      </c>
      <c r="D530">
        <v>77.225395203000005</v>
      </c>
      <c r="E530">
        <v>50</v>
      </c>
      <c r="F530">
        <v>49.941253662000001</v>
      </c>
      <c r="G530">
        <v>1299.8837891000001</v>
      </c>
      <c r="H530">
        <v>1287.5599365</v>
      </c>
      <c r="I530">
        <v>1404.5758057</v>
      </c>
      <c r="J530">
        <v>1384.5515137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197.079453</v>
      </c>
      <c r="B531" s="1">
        <f>DATE(2010,11,14) + TIME(1,54,24)</f>
        <v>40496.079444444447</v>
      </c>
      <c r="C531">
        <v>80</v>
      </c>
      <c r="D531">
        <v>77.140846252000003</v>
      </c>
      <c r="E531">
        <v>50</v>
      </c>
      <c r="F531">
        <v>49.941440581999998</v>
      </c>
      <c r="G531">
        <v>1299.8596190999999</v>
      </c>
      <c r="H531">
        <v>1287.5322266000001</v>
      </c>
      <c r="I531">
        <v>1404.4241943</v>
      </c>
      <c r="J531">
        <v>1384.40625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197.580163</v>
      </c>
      <c r="B532" s="1">
        <f>DATE(2010,11,14) + TIME(13,55,26)</f>
        <v>40496.58016203704</v>
      </c>
      <c r="C532">
        <v>80</v>
      </c>
      <c r="D532">
        <v>77.053741454999994</v>
      </c>
      <c r="E532">
        <v>50</v>
      </c>
      <c r="F532">
        <v>49.941608428999999</v>
      </c>
      <c r="G532">
        <v>1299.8345947</v>
      </c>
      <c r="H532">
        <v>1287.503418</v>
      </c>
      <c r="I532">
        <v>1404.2728271000001</v>
      </c>
      <c r="J532">
        <v>1384.2613524999999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198.10559699999999</v>
      </c>
      <c r="B533" s="1">
        <f>DATE(2010,11,15) + TIME(2,32,3)</f>
        <v>40497.105590277781</v>
      </c>
      <c r="C533">
        <v>80</v>
      </c>
      <c r="D533">
        <v>76.963592528999996</v>
      </c>
      <c r="E533">
        <v>50</v>
      </c>
      <c r="F533">
        <v>49.941753386999999</v>
      </c>
      <c r="G533">
        <v>1299.8083495999999</v>
      </c>
      <c r="H533">
        <v>1287.4731445</v>
      </c>
      <c r="I533">
        <v>1404.1209716999999</v>
      </c>
      <c r="J533">
        <v>1384.1160889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198.64690899999999</v>
      </c>
      <c r="B534" s="1">
        <f>DATE(2010,11,15) + TIME(15,31,32)</f>
        <v>40497.646898148145</v>
      </c>
      <c r="C534">
        <v>80</v>
      </c>
      <c r="D534">
        <v>76.871192932</v>
      </c>
      <c r="E534">
        <v>50</v>
      </c>
      <c r="F534">
        <v>49.941879272000001</v>
      </c>
      <c r="G534">
        <v>1299.7805175999999</v>
      </c>
      <c r="H534">
        <v>1287.4412841999999</v>
      </c>
      <c r="I534">
        <v>1403.9677733999999</v>
      </c>
      <c r="J534">
        <v>1383.9696045000001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199.191033</v>
      </c>
      <c r="B535" s="1">
        <f>DATE(2010,11,16) + TIME(4,35,5)</f>
        <v>40498.191030092596</v>
      </c>
      <c r="C535">
        <v>80</v>
      </c>
      <c r="D535">
        <v>76.778060913000004</v>
      </c>
      <c r="E535">
        <v>50</v>
      </c>
      <c r="F535">
        <v>49.941989898999999</v>
      </c>
      <c r="G535">
        <v>1299.7517089999999</v>
      </c>
      <c r="H535">
        <v>1287.4084473</v>
      </c>
      <c r="I535">
        <v>1403.8160399999999</v>
      </c>
      <c r="J535">
        <v>1383.8248291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199.74051499999999</v>
      </c>
      <c r="B536" s="1">
        <f>DATE(2010,11,16) + TIME(17,46,20)</f>
        <v>40498.74050925926</v>
      </c>
      <c r="C536">
        <v>80</v>
      </c>
      <c r="D536">
        <v>76.684356688999998</v>
      </c>
      <c r="E536">
        <v>50</v>
      </c>
      <c r="F536">
        <v>49.942085265999999</v>
      </c>
      <c r="G536">
        <v>1299.7226562000001</v>
      </c>
      <c r="H536">
        <v>1287.3751221</v>
      </c>
      <c r="I536">
        <v>1403.6695557</v>
      </c>
      <c r="J536">
        <v>1383.6849365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200.29739799999999</v>
      </c>
      <c r="B537" s="1">
        <f>DATE(2010,11,17) + TIME(7,8,15)</f>
        <v>40499.297395833331</v>
      </c>
      <c r="C537">
        <v>80</v>
      </c>
      <c r="D537">
        <v>76.590080260999997</v>
      </c>
      <c r="E537">
        <v>50</v>
      </c>
      <c r="F537">
        <v>49.942173003999997</v>
      </c>
      <c r="G537">
        <v>1299.6932373</v>
      </c>
      <c r="H537">
        <v>1287.3413086</v>
      </c>
      <c r="I537">
        <v>1403.5272216999999</v>
      </c>
      <c r="J537">
        <v>1383.5491943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200.86401699999999</v>
      </c>
      <c r="B538" s="1">
        <f>DATE(2010,11,17) + TIME(20,44,11)</f>
        <v>40499.864016203705</v>
      </c>
      <c r="C538">
        <v>80</v>
      </c>
      <c r="D538">
        <v>76.495063782000003</v>
      </c>
      <c r="E538">
        <v>50</v>
      </c>
      <c r="F538">
        <v>49.942249298</v>
      </c>
      <c r="G538">
        <v>1299.6632079999999</v>
      </c>
      <c r="H538">
        <v>1287.3068848</v>
      </c>
      <c r="I538">
        <v>1403.3883057</v>
      </c>
      <c r="J538">
        <v>1383.4167480000001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201.442519</v>
      </c>
      <c r="B539" s="1">
        <f>DATE(2010,11,18) + TIME(10,37,13)</f>
        <v>40500.442511574074</v>
      </c>
      <c r="C539">
        <v>80</v>
      </c>
      <c r="D539">
        <v>76.399101256999998</v>
      </c>
      <c r="E539">
        <v>50</v>
      </c>
      <c r="F539">
        <v>49.942325592000003</v>
      </c>
      <c r="G539">
        <v>1299.6325684000001</v>
      </c>
      <c r="H539">
        <v>1287.2716064000001</v>
      </c>
      <c r="I539">
        <v>1403.2521973</v>
      </c>
      <c r="J539">
        <v>1383.2871094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202.03483399999999</v>
      </c>
      <c r="B540" s="1">
        <f>DATE(2010,11,19) + TIME(0,50,9)</f>
        <v>40501.034826388888</v>
      </c>
      <c r="C540">
        <v>80</v>
      </c>
      <c r="D540">
        <v>76.301971436000002</v>
      </c>
      <c r="E540">
        <v>50</v>
      </c>
      <c r="F540">
        <v>49.942394256999997</v>
      </c>
      <c r="G540">
        <v>1299.6011963000001</v>
      </c>
      <c r="H540">
        <v>1287.2354736</v>
      </c>
      <c r="I540">
        <v>1403.1181641000001</v>
      </c>
      <c r="J540">
        <v>1383.1594238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202.643292</v>
      </c>
      <c r="B541" s="1">
        <f>DATE(2010,11,19) + TIME(15,26,20)</f>
        <v>40501.643287037034</v>
      </c>
      <c r="C541">
        <v>80</v>
      </c>
      <c r="D541">
        <v>76.203399657999995</v>
      </c>
      <c r="E541">
        <v>50</v>
      </c>
      <c r="F541">
        <v>49.942459106000001</v>
      </c>
      <c r="G541">
        <v>1299.5688477000001</v>
      </c>
      <c r="H541">
        <v>1287.1982422000001</v>
      </c>
      <c r="I541">
        <v>1402.9857178</v>
      </c>
      <c r="J541">
        <v>1383.0335693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203.270478</v>
      </c>
      <c r="B542" s="1">
        <f>DATE(2010,11,20) + TIME(6,29,29)</f>
        <v>40502.270474537036</v>
      </c>
      <c r="C542">
        <v>80</v>
      </c>
      <c r="D542">
        <v>76.103065490999995</v>
      </c>
      <c r="E542">
        <v>50</v>
      </c>
      <c r="F542">
        <v>49.942523956000002</v>
      </c>
      <c r="G542">
        <v>1299.5354004000001</v>
      </c>
      <c r="H542">
        <v>1287.1597899999999</v>
      </c>
      <c r="I542">
        <v>1402.8546143000001</v>
      </c>
      <c r="J542">
        <v>1382.9088135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203.91976199999999</v>
      </c>
      <c r="B543" s="1">
        <f>DATE(2010,11,20) + TIME(22,4,27)</f>
        <v>40502.919756944444</v>
      </c>
      <c r="C543">
        <v>80</v>
      </c>
      <c r="D543">
        <v>76.000579834000007</v>
      </c>
      <c r="E543">
        <v>50</v>
      </c>
      <c r="F543">
        <v>49.942588806000003</v>
      </c>
      <c r="G543">
        <v>1299.5008545000001</v>
      </c>
      <c r="H543">
        <v>1287.1198730000001</v>
      </c>
      <c r="I543">
        <v>1402.7241211</v>
      </c>
      <c r="J543">
        <v>1382.7849120999999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204.595359</v>
      </c>
      <c r="B544" s="1">
        <f>DATE(2010,11,21) + TIME(14,17,19)</f>
        <v>40503.595358796294</v>
      </c>
      <c r="C544">
        <v>80</v>
      </c>
      <c r="D544">
        <v>75.895462035999998</v>
      </c>
      <c r="E544">
        <v>50</v>
      </c>
      <c r="F544">
        <v>49.942653655999997</v>
      </c>
      <c r="G544">
        <v>1299.4647216999999</v>
      </c>
      <c r="H544">
        <v>1287.0782471</v>
      </c>
      <c r="I544">
        <v>1402.59375</v>
      </c>
      <c r="J544">
        <v>1382.6611327999999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205.30217099999999</v>
      </c>
      <c r="B545" s="1">
        <f>DATE(2010,11,22) + TIME(7,15,7)</f>
        <v>40504.302164351851</v>
      </c>
      <c r="C545">
        <v>80</v>
      </c>
      <c r="D545">
        <v>75.787139893000003</v>
      </c>
      <c r="E545">
        <v>50</v>
      </c>
      <c r="F545">
        <v>49.942718505999999</v>
      </c>
      <c r="G545">
        <v>1299.4270019999999</v>
      </c>
      <c r="H545">
        <v>1287.0345459</v>
      </c>
      <c r="I545">
        <v>1402.4628906</v>
      </c>
      <c r="J545">
        <v>1382.5369873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206.01203100000001</v>
      </c>
      <c r="B546" s="1">
        <f>DATE(2010,11,23) + TIME(0,17,19)</f>
        <v>40505.012025462966</v>
      </c>
      <c r="C546">
        <v>80</v>
      </c>
      <c r="D546">
        <v>75.677795410000002</v>
      </c>
      <c r="E546">
        <v>50</v>
      </c>
      <c r="F546">
        <v>49.942783356</v>
      </c>
      <c r="G546">
        <v>1299.3869629000001</v>
      </c>
      <c r="H546">
        <v>1286.9886475000001</v>
      </c>
      <c r="I546">
        <v>1402.3308105000001</v>
      </c>
      <c r="J546">
        <v>1382.4117432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206.72739300000001</v>
      </c>
      <c r="B547" s="1">
        <f>DATE(2010,11,23) + TIME(17,27,26)</f>
        <v>40505.727384259262</v>
      </c>
      <c r="C547">
        <v>80</v>
      </c>
      <c r="D547">
        <v>75.567993164000001</v>
      </c>
      <c r="E547">
        <v>50</v>
      </c>
      <c r="F547">
        <v>49.942848206000001</v>
      </c>
      <c r="G547">
        <v>1299.3465576000001</v>
      </c>
      <c r="H547">
        <v>1286.9420166</v>
      </c>
      <c r="I547">
        <v>1402.2030029</v>
      </c>
      <c r="J547">
        <v>1382.2905272999999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207.45116400000001</v>
      </c>
      <c r="B548" s="1">
        <f>DATE(2010,11,24) + TIME(10,49,40)</f>
        <v>40506.451157407406</v>
      </c>
      <c r="C548">
        <v>80</v>
      </c>
      <c r="D548">
        <v>75.457824707</v>
      </c>
      <c r="E548">
        <v>50</v>
      </c>
      <c r="F548">
        <v>49.942909241000002</v>
      </c>
      <c r="G548">
        <v>1299.3054199000001</v>
      </c>
      <c r="H548">
        <v>1286.8946533000001</v>
      </c>
      <c r="I548">
        <v>1402.0786132999999</v>
      </c>
      <c r="J548">
        <v>1382.1727295000001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208.18579700000001</v>
      </c>
      <c r="B549" s="1">
        <f>DATE(2010,11,25) + TIME(4,27,32)</f>
        <v>40507.185787037037</v>
      </c>
      <c r="C549">
        <v>80</v>
      </c>
      <c r="D549">
        <v>75.347213745000005</v>
      </c>
      <c r="E549">
        <v>50</v>
      </c>
      <c r="F549">
        <v>49.942974091000004</v>
      </c>
      <c r="G549">
        <v>1299.2636719</v>
      </c>
      <c r="H549">
        <v>1286.8461914</v>
      </c>
      <c r="I549">
        <v>1401.9570312000001</v>
      </c>
      <c r="J549">
        <v>1382.0576172000001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208.933808</v>
      </c>
      <c r="B550" s="1">
        <f>DATE(2010,11,25) + TIME(22,24,40)</f>
        <v>40507.933796296296</v>
      </c>
      <c r="C550">
        <v>80</v>
      </c>
      <c r="D550">
        <v>75.235961914000001</v>
      </c>
      <c r="E550">
        <v>50</v>
      </c>
      <c r="F550">
        <v>49.943038940000001</v>
      </c>
      <c r="G550">
        <v>1299.2208252</v>
      </c>
      <c r="H550">
        <v>1286.7966309000001</v>
      </c>
      <c r="I550">
        <v>1401.8378906</v>
      </c>
      <c r="J550">
        <v>1381.9448242000001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209.69862599999999</v>
      </c>
      <c r="B551" s="1">
        <f>DATE(2010,11,26) + TIME(16,46,1)</f>
        <v>40508.698622685188</v>
      </c>
      <c r="C551">
        <v>80</v>
      </c>
      <c r="D551">
        <v>75.123741150000001</v>
      </c>
      <c r="E551">
        <v>50</v>
      </c>
      <c r="F551">
        <v>49.943103790000002</v>
      </c>
      <c r="G551">
        <v>1299.1770019999999</v>
      </c>
      <c r="H551">
        <v>1286.7456055</v>
      </c>
      <c r="I551">
        <v>1401.7205810999999</v>
      </c>
      <c r="J551">
        <v>1381.8339844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210.48343800000001</v>
      </c>
      <c r="B552" s="1">
        <f>DATE(2010,11,27) + TIME(11,36,9)</f>
        <v>40509.483437499999</v>
      </c>
      <c r="C552">
        <v>80</v>
      </c>
      <c r="D552">
        <v>75.010215759000005</v>
      </c>
      <c r="E552">
        <v>50</v>
      </c>
      <c r="F552">
        <v>49.943172455000003</v>
      </c>
      <c r="G552">
        <v>1299.1317139</v>
      </c>
      <c r="H552">
        <v>1286.6929932</v>
      </c>
      <c r="I552">
        <v>1401.6046143000001</v>
      </c>
      <c r="J552">
        <v>1381.7242432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211.29195000000001</v>
      </c>
      <c r="B553" s="1">
        <f>DATE(2010,11,28) + TIME(7,0,24)</f>
        <v>40510.291944444441</v>
      </c>
      <c r="C553">
        <v>80</v>
      </c>
      <c r="D553">
        <v>74.894882202000005</v>
      </c>
      <c r="E553">
        <v>50</v>
      </c>
      <c r="F553">
        <v>49.943241119</v>
      </c>
      <c r="G553">
        <v>1299.0848389</v>
      </c>
      <c r="H553">
        <v>1286.6383057</v>
      </c>
      <c r="I553">
        <v>1401.4893798999999</v>
      </c>
      <c r="J553">
        <v>1381.6154785000001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212.12911700000001</v>
      </c>
      <c r="B554" s="1">
        <f>DATE(2010,11,29) + TIME(3,5,55)</f>
        <v>40511.129108796296</v>
      </c>
      <c r="C554">
        <v>80</v>
      </c>
      <c r="D554">
        <v>74.777275084999999</v>
      </c>
      <c r="E554">
        <v>50</v>
      </c>
      <c r="F554">
        <v>49.943313599</v>
      </c>
      <c r="G554">
        <v>1299.0361327999999</v>
      </c>
      <c r="H554">
        <v>1286.581543</v>
      </c>
      <c r="I554">
        <v>1401.3747559000001</v>
      </c>
      <c r="J554">
        <v>1381.5072021000001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213.00059899999999</v>
      </c>
      <c r="B555" s="1">
        <f>DATE(2010,11,30) + TIME(0,0,51)</f>
        <v>40512.000590277778</v>
      </c>
      <c r="C555">
        <v>80</v>
      </c>
      <c r="D555">
        <v>74.656814574999999</v>
      </c>
      <c r="E555">
        <v>50</v>
      </c>
      <c r="F555">
        <v>49.943389893000003</v>
      </c>
      <c r="G555">
        <v>1298.9851074000001</v>
      </c>
      <c r="H555">
        <v>1286.5219727000001</v>
      </c>
      <c r="I555">
        <v>1401.2598877</v>
      </c>
      <c r="J555">
        <v>1381.3988036999999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213.888362</v>
      </c>
      <c r="B556" s="1">
        <f>DATE(2010,11,30) + TIME(21,19,14)</f>
        <v>40512.888356481482</v>
      </c>
      <c r="C556">
        <v>80</v>
      </c>
      <c r="D556">
        <v>74.534492493000002</v>
      </c>
      <c r="E556">
        <v>50</v>
      </c>
      <c r="F556">
        <v>49.943466186999999</v>
      </c>
      <c r="G556">
        <v>1298.9313964999999</v>
      </c>
      <c r="H556">
        <v>1286.4592285000001</v>
      </c>
      <c r="I556">
        <v>1401.1441649999999</v>
      </c>
      <c r="J556">
        <v>1381.2896728999999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214</v>
      </c>
      <c r="B557" s="1">
        <f>DATE(2010,12,1) + TIME(0,0,0)</f>
        <v>40513</v>
      </c>
      <c r="C557">
        <v>80</v>
      </c>
      <c r="D557">
        <v>74.507095336999996</v>
      </c>
      <c r="E557">
        <v>50</v>
      </c>
      <c r="F557">
        <v>49.943462371999999</v>
      </c>
      <c r="G557">
        <v>1298.8718262</v>
      </c>
      <c r="H557">
        <v>1286.4003906</v>
      </c>
      <c r="I557">
        <v>1401.0286865</v>
      </c>
      <c r="J557">
        <v>1381.1807861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214.89260300000001</v>
      </c>
      <c r="B558" s="1">
        <f>DATE(2010,12,1) + TIME(21,25,20)</f>
        <v>40513.892592592594</v>
      </c>
      <c r="C558">
        <v>80</v>
      </c>
      <c r="D558">
        <v>74.390274047999995</v>
      </c>
      <c r="E558">
        <v>50</v>
      </c>
      <c r="F558">
        <v>49.943550109999997</v>
      </c>
      <c r="G558">
        <v>1298.8690185999999</v>
      </c>
      <c r="H558">
        <v>1286.3854980000001</v>
      </c>
      <c r="I558">
        <v>1401.0162353999999</v>
      </c>
      <c r="J558">
        <v>1381.1690673999999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215.79605799999999</v>
      </c>
      <c r="B559" s="1">
        <f>DATE(2010,12,2) + TIME(19,6,19)</f>
        <v>40514.796053240738</v>
      </c>
      <c r="C559">
        <v>80</v>
      </c>
      <c r="D559">
        <v>74.270179748999993</v>
      </c>
      <c r="E559">
        <v>50</v>
      </c>
      <c r="F559">
        <v>49.943630218999999</v>
      </c>
      <c r="G559">
        <v>1298.8127440999999</v>
      </c>
      <c r="H559">
        <v>1286.3198242000001</v>
      </c>
      <c r="I559">
        <v>1400.9058838000001</v>
      </c>
      <c r="J559">
        <v>1381.0650635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216.71257199999999</v>
      </c>
      <c r="B560" s="1">
        <f>DATE(2010,12,3) + TIME(17,6,6)</f>
        <v>40515.712569444448</v>
      </c>
      <c r="C560">
        <v>80</v>
      </c>
      <c r="D560">
        <v>74.148269653</v>
      </c>
      <c r="E560">
        <v>50</v>
      </c>
      <c r="F560">
        <v>49.943710326999998</v>
      </c>
      <c r="G560">
        <v>1298.7550048999999</v>
      </c>
      <c r="H560">
        <v>1286.2520752</v>
      </c>
      <c r="I560">
        <v>1400.7978516000001</v>
      </c>
      <c r="J560">
        <v>1380.9632568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217.64534699999999</v>
      </c>
      <c r="B561" s="1">
        <f>DATE(2010,12,4) + TIME(15,29,18)</f>
        <v>40516.64534722222</v>
      </c>
      <c r="C561">
        <v>80</v>
      </c>
      <c r="D561">
        <v>74.025085449000002</v>
      </c>
      <c r="E561">
        <v>50</v>
      </c>
      <c r="F561">
        <v>49.943790436</v>
      </c>
      <c r="G561">
        <v>1298.6958007999999</v>
      </c>
      <c r="H561">
        <v>1286.182251</v>
      </c>
      <c r="I561">
        <v>1400.6916504000001</v>
      </c>
      <c r="J561">
        <v>1380.8632812000001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218.59758099999999</v>
      </c>
      <c r="B562" s="1">
        <f>DATE(2010,12,5) + TIME(14,20,30)</f>
        <v>40517.597569444442</v>
      </c>
      <c r="C562">
        <v>80</v>
      </c>
      <c r="D562">
        <v>73.900688170999999</v>
      </c>
      <c r="E562">
        <v>50</v>
      </c>
      <c r="F562">
        <v>49.943874358999999</v>
      </c>
      <c r="G562">
        <v>1298.6348877</v>
      </c>
      <c r="H562">
        <v>1286.1101074000001</v>
      </c>
      <c r="I562">
        <v>1400.5869141000001</v>
      </c>
      <c r="J562">
        <v>1380.7647704999999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219.57232400000001</v>
      </c>
      <c r="B563" s="1">
        <f>DATE(2010,12,6) + TIME(13,44,8)</f>
        <v>40518.572314814817</v>
      </c>
      <c r="C563">
        <v>80</v>
      </c>
      <c r="D563">
        <v>73.774955750000004</v>
      </c>
      <c r="E563">
        <v>50</v>
      </c>
      <c r="F563">
        <v>49.943958281999997</v>
      </c>
      <c r="G563">
        <v>1298.5717772999999</v>
      </c>
      <c r="H563">
        <v>1286.0352783000001</v>
      </c>
      <c r="I563">
        <v>1400.4833983999999</v>
      </c>
      <c r="J563">
        <v>1380.6673584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220.574928</v>
      </c>
      <c r="B564" s="1">
        <f>DATE(2010,12,7) + TIME(13,47,53)</f>
        <v>40519.574918981481</v>
      </c>
      <c r="C564">
        <v>80</v>
      </c>
      <c r="D564">
        <v>73.647506714000002</v>
      </c>
      <c r="E564">
        <v>50</v>
      </c>
      <c r="F564">
        <v>49.944046020999998</v>
      </c>
      <c r="G564">
        <v>1298.5063477000001</v>
      </c>
      <c r="H564">
        <v>1285.9575195</v>
      </c>
      <c r="I564">
        <v>1400.3806152</v>
      </c>
      <c r="J564">
        <v>1380.5706786999999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221.61143000000001</v>
      </c>
      <c r="B565" s="1">
        <f>DATE(2010,12,8) + TIME(14,40,27)</f>
        <v>40520.61142361111</v>
      </c>
      <c r="C565">
        <v>80</v>
      </c>
      <c r="D565">
        <v>73.517829895000006</v>
      </c>
      <c r="E565">
        <v>50</v>
      </c>
      <c r="F565">
        <v>49.944137572999999</v>
      </c>
      <c r="G565">
        <v>1298.4381103999999</v>
      </c>
      <c r="H565">
        <v>1285.8762207</v>
      </c>
      <c r="I565">
        <v>1400.2781981999999</v>
      </c>
      <c r="J565">
        <v>1380.4744873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222.67562799999999</v>
      </c>
      <c r="B566" s="1">
        <f>DATE(2010,12,9) + TIME(16,12,54)</f>
        <v>40521.675625000003</v>
      </c>
      <c r="C566">
        <v>80</v>
      </c>
      <c r="D566">
        <v>73.386016846000004</v>
      </c>
      <c r="E566">
        <v>50</v>
      </c>
      <c r="F566">
        <v>49.944229126000003</v>
      </c>
      <c r="G566">
        <v>1298.3665771000001</v>
      </c>
      <c r="H566">
        <v>1285.7907714999999</v>
      </c>
      <c r="I566">
        <v>1400.1756591999999</v>
      </c>
      <c r="J566">
        <v>1380.3780518000001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223.74502799999999</v>
      </c>
      <c r="B567" s="1">
        <f>DATE(2010,12,10) + TIME(17,52,50)</f>
        <v>40522.745023148149</v>
      </c>
      <c r="C567">
        <v>80</v>
      </c>
      <c r="D567">
        <v>73.253463745000005</v>
      </c>
      <c r="E567">
        <v>50</v>
      </c>
      <c r="F567">
        <v>49.944324493000003</v>
      </c>
      <c r="G567">
        <v>1298.2919922000001</v>
      </c>
      <c r="H567">
        <v>1285.7015381000001</v>
      </c>
      <c r="I567">
        <v>1400.0734863</v>
      </c>
      <c r="J567">
        <v>1380.2821045000001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224.82386500000001</v>
      </c>
      <c r="B568" s="1">
        <f>DATE(2010,12,11) + TIME(19,46,21)</f>
        <v>40523.823854166665</v>
      </c>
      <c r="C568">
        <v>80</v>
      </c>
      <c r="D568">
        <v>73.120826721</v>
      </c>
      <c r="E568">
        <v>50</v>
      </c>
      <c r="F568">
        <v>49.944416046000001</v>
      </c>
      <c r="G568">
        <v>1298.2158202999999</v>
      </c>
      <c r="H568">
        <v>1285.6099853999999</v>
      </c>
      <c r="I568">
        <v>1399.973999</v>
      </c>
      <c r="J568">
        <v>1380.1887207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225.916168</v>
      </c>
      <c r="B569" s="1">
        <f>DATE(2010,12,12) + TIME(21,59,16)</f>
        <v>40524.91615740741</v>
      </c>
      <c r="C569">
        <v>80</v>
      </c>
      <c r="D569">
        <v>72.988128661999994</v>
      </c>
      <c r="E569">
        <v>50</v>
      </c>
      <c r="F569">
        <v>49.944511413999997</v>
      </c>
      <c r="G569">
        <v>1298.1378173999999</v>
      </c>
      <c r="H569">
        <v>1285.5158690999999</v>
      </c>
      <c r="I569">
        <v>1399.8768310999999</v>
      </c>
      <c r="J569">
        <v>1380.0974120999999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227.02580599999999</v>
      </c>
      <c r="B570" s="1">
        <f>DATE(2010,12,14) + TIME(0,37,9)</f>
        <v>40526.02579861111</v>
      </c>
      <c r="C570">
        <v>80</v>
      </c>
      <c r="D570">
        <v>72.855117797999995</v>
      </c>
      <c r="E570">
        <v>50</v>
      </c>
      <c r="F570">
        <v>49.944610595999997</v>
      </c>
      <c r="G570">
        <v>1298.0574951000001</v>
      </c>
      <c r="H570">
        <v>1285.4188231999999</v>
      </c>
      <c r="I570">
        <v>1399.78125</v>
      </c>
      <c r="J570">
        <v>1380.0078125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228.15644700000001</v>
      </c>
      <c r="B571" s="1">
        <f>DATE(2010,12,15) + TIME(3,45,17)</f>
        <v>40527.156446759262</v>
      </c>
      <c r="C571">
        <v>80</v>
      </c>
      <c r="D571">
        <v>72.721450806000007</v>
      </c>
      <c r="E571">
        <v>50</v>
      </c>
      <c r="F571">
        <v>49.944709778000004</v>
      </c>
      <c r="G571">
        <v>1297.9746094</v>
      </c>
      <c r="H571">
        <v>1285.3182373</v>
      </c>
      <c r="I571">
        <v>1399.6870117000001</v>
      </c>
      <c r="J571">
        <v>1379.9194336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229.312847</v>
      </c>
      <c r="B572" s="1">
        <f>DATE(2010,12,16) + TIME(7,30,29)</f>
        <v>40528.312835648147</v>
      </c>
      <c r="C572">
        <v>80</v>
      </c>
      <c r="D572">
        <v>72.586708068999997</v>
      </c>
      <c r="E572">
        <v>50</v>
      </c>
      <c r="F572">
        <v>49.944808960000003</v>
      </c>
      <c r="G572">
        <v>1297.8887939000001</v>
      </c>
      <c r="H572">
        <v>1285.2137451000001</v>
      </c>
      <c r="I572">
        <v>1399.5938721</v>
      </c>
      <c r="J572">
        <v>1379.8320312000001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230.50154599999999</v>
      </c>
      <c r="B573" s="1">
        <f>DATE(2010,12,17) + TIME(12,2,13)</f>
        <v>40529.501539351855</v>
      </c>
      <c r="C573">
        <v>80</v>
      </c>
      <c r="D573">
        <v>72.450302124000004</v>
      </c>
      <c r="E573">
        <v>50</v>
      </c>
      <c r="F573">
        <v>49.944915770999998</v>
      </c>
      <c r="G573">
        <v>1297.7995605000001</v>
      </c>
      <c r="H573">
        <v>1285.1046143000001</v>
      </c>
      <c r="I573">
        <v>1399.5013428</v>
      </c>
      <c r="J573">
        <v>1379.7453613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231.72979599999999</v>
      </c>
      <c r="B574" s="1">
        <f>DATE(2010,12,18) + TIME(17,30,54)</f>
        <v>40530.729791666665</v>
      </c>
      <c r="C574">
        <v>80</v>
      </c>
      <c r="D574">
        <v>72.311569214000002</v>
      </c>
      <c r="E574">
        <v>50</v>
      </c>
      <c r="F574">
        <v>49.945022582999997</v>
      </c>
      <c r="G574">
        <v>1297.7062988</v>
      </c>
      <c r="H574">
        <v>1284.9902344</v>
      </c>
      <c r="I574">
        <v>1399.4090576000001</v>
      </c>
      <c r="J574">
        <v>1379.6588135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232.991061</v>
      </c>
      <c r="B575" s="1">
        <f>DATE(2010,12,19) + TIME(23,47,7)</f>
        <v>40531.991053240738</v>
      </c>
      <c r="C575">
        <v>80</v>
      </c>
      <c r="D575">
        <v>72.170433044000006</v>
      </c>
      <c r="E575">
        <v>50</v>
      </c>
      <c r="F575">
        <v>49.945133208999998</v>
      </c>
      <c r="G575">
        <v>1297.6081543</v>
      </c>
      <c r="H575">
        <v>1284.8696289</v>
      </c>
      <c r="I575">
        <v>1399.3165283000001</v>
      </c>
      <c r="J575">
        <v>1379.5721435999999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234.258453</v>
      </c>
      <c r="B576" s="1">
        <f>DATE(2010,12,21) + TIME(6,12,10)</f>
        <v>40533.258449074077</v>
      </c>
      <c r="C576">
        <v>80</v>
      </c>
      <c r="D576">
        <v>72.028221130000006</v>
      </c>
      <c r="E576">
        <v>50</v>
      </c>
      <c r="F576">
        <v>49.945243834999999</v>
      </c>
      <c r="G576">
        <v>1297.5053711</v>
      </c>
      <c r="H576">
        <v>1284.7431641000001</v>
      </c>
      <c r="I576">
        <v>1399.2241211</v>
      </c>
      <c r="J576">
        <v>1379.4855957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235.53633300000001</v>
      </c>
      <c r="B577" s="1">
        <f>DATE(2010,12,22) + TIME(12,52,19)</f>
        <v>40534.53633101852</v>
      </c>
      <c r="C577">
        <v>80</v>
      </c>
      <c r="D577">
        <v>71.885803222999996</v>
      </c>
      <c r="E577">
        <v>50</v>
      </c>
      <c r="F577">
        <v>49.945354461999997</v>
      </c>
      <c r="G577">
        <v>1297.4001464999999</v>
      </c>
      <c r="H577">
        <v>1284.6129149999999</v>
      </c>
      <c r="I577">
        <v>1399.1340332</v>
      </c>
      <c r="J577">
        <v>1379.4012451000001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236.829677</v>
      </c>
      <c r="B578" s="1">
        <f>DATE(2010,12,23) + TIME(19,54,44)</f>
        <v>40535.829675925925</v>
      </c>
      <c r="C578">
        <v>80</v>
      </c>
      <c r="D578">
        <v>71.743179321</v>
      </c>
      <c r="E578">
        <v>50</v>
      </c>
      <c r="F578">
        <v>49.945465087999999</v>
      </c>
      <c r="G578">
        <v>1297.2919922000001</v>
      </c>
      <c r="H578">
        <v>1284.4783935999999</v>
      </c>
      <c r="I578">
        <v>1399.0458983999999</v>
      </c>
      <c r="J578">
        <v>1379.3187256000001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238.14322300000001</v>
      </c>
      <c r="B579" s="1">
        <f>DATE(2010,12,25) + TIME(3,26,14)</f>
        <v>40537.143217592595</v>
      </c>
      <c r="C579">
        <v>80</v>
      </c>
      <c r="D579">
        <v>71.600021362000007</v>
      </c>
      <c r="E579">
        <v>50</v>
      </c>
      <c r="F579">
        <v>49.945579529</v>
      </c>
      <c r="G579">
        <v>1297.1802978999999</v>
      </c>
      <c r="H579">
        <v>1284.3391113</v>
      </c>
      <c r="I579">
        <v>1398.9591064000001</v>
      </c>
      <c r="J579">
        <v>1379.2375488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239.48171500000001</v>
      </c>
      <c r="B580" s="1">
        <f>DATE(2010,12,26) + TIME(11,33,40)</f>
        <v>40538.481712962966</v>
      </c>
      <c r="C580">
        <v>80</v>
      </c>
      <c r="D580">
        <v>71.455879210999996</v>
      </c>
      <c r="E580">
        <v>50</v>
      </c>
      <c r="F580">
        <v>49.945697783999996</v>
      </c>
      <c r="G580">
        <v>1297.0648193</v>
      </c>
      <c r="H580">
        <v>1284.1945800999999</v>
      </c>
      <c r="I580">
        <v>1398.8735352000001</v>
      </c>
      <c r="J580">
        <v>1379.1573486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240.852555</v>
      </c>
      <c r="B581" s="1">
        <f>DATE(2010,12,27) + TIME(20,27,40)</f>
        <v>40539.852546296293</v>
      </c>
      <c r="C581">
        <v>80</v>
      </c>
      <c r="D581">
        <v>71.310119628999999</v>
      </c>
      <c r="E581">
        <v>50</v>
      </c>
      <c r="F581">
        <v>49.945816039999997</v>
      </c>
      <c r="G581">
        <v>1296.9448242000001</v>
      </c>
      <c r="H581">
        <v>1284.0437012</v>
      </c>
      <c r="I581">
        <v>1398.7888184000001</v>
      </c>
      <c r="J581">
        <v>1379.078125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242.25896599999999</v>
      </c>
      <c r="B582" s="1">
        <f>DATE(2010,12,29) + TIME(6,12,54)</f>
        <v>40541.258958333332</v>
      </c>
      <c r="C582">
        <v>80</v>
      </c>
      <c r="D582">
        <v>71.162178040000001</v>
      </c>
      <c r="E582">
        <v>50</v>
      </c>
      <c r="F582">
        <v>49.94593811</v>
      </c>
      <c r="G582">
        <v>1296.8194579999999</v>
      </c>
      <c r="H582">
        <v>1283.8857422000001</v>
      </c>
      <c r="I582">
        <v>1398.7043457</v>
      </c>
      <c r="J582">
        <v>1378.9991454999999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243.70495299999999</v>
      </c>
      <c r="B583" s="1">
        <f>DATE(2010,12,30) + TIME(16,55,7)</f>
        <v>40542.704942129632</v>
      </c>
      <c r="C583">
        <v>80</v>
      </c>
      <c r="D583">
        <v>71.011573791999993</v>
      </c>
      <c r="E583">
        <v>50</v>
      </c>
      <c r="F583">
        <v>49.946063995000003</v>
      </c>
      <c r="G583">
        <v>1296.6883545000001</v>
      </c>
      <c r="H583">
        <v>1283.7197266000001</v>
      </c>
      <c r="I583">
        <v>1398.6202393000001</v>
      </c>
      <c r="J583">
        <v>1378.9204102000001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245</v>
      </c>
      <c r="B584" s="1">
        <f>DATE(2011,1,1) + TIME(0,0,0)</f>
        <v>40544</v>
      </c>
      <c r="C584">
        <v>80</v>
      </c>
      <c r="D584">
        <v>70.866027832</v>
      </c>
      <c r="E584">
        <v>50</v>
      </c>
      <c r="F584">
        <v>49.946174622000001</v>
      </c>
      <c r="G584">
        <v>1296.5509033000001</v>
      </c>
      <c r="H584">
        <v>1283.5465088000001</v>
      </c>
      <c r="I584">
        <v>1398.5357666</v>
      </c>
      <c r="J584">
        <v>1378.8414307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246.460387</v>
      </c>
      <c r="B585" s="1">
        <f>DATE(2011,1,2) + TIME(11,2,57)</f>
        <v>40545.460381944446</v>
      </c>
      <c r="C585">
        <v>80</v>
      </c>
      <c r="D585">
        <v>70.719169617000006</v>
      </c>
      <c r="E585">
        <v>50</v>
      </c>
      <c r="F585">
        <v>49.946300506999997</v>
      </c>
      <c r="G585">
        <v>1296.4240723</v>
      </c>
      <c r="H585">
        <v>1283.3826904</v>
      </c>
      <c r="I585">
        <v>1398.4626464999999</v>
      </c>
      <c r="J585">
        <v>1378.7730713000001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247.94580500000001</v>
      </c>
      <c r="B586" s="1">
        <f>DATE(2011,1,3) + TIME(22,41,57)</f>
        <v>40546.945798611108</v>
      </c>
      <c r="C586">
        <v>80</v>
      </c>
      <c r="D586">
        <v>70.567550659000005</v>
      </c>
      <c r="E586">
        <v>50</v>
      </c>
      <c r="F586">
        <v>49.946430206000002</v>
      </c>
      <c r="G586">
        <v>1296.2799072</v>
      </c>
      <c r="H586">
        <v>1283.1987305</v>
      </c>
      <c r="I586">
        <v>1398.3819579999999</v>
      </c>
      <c r="J586">
        <v>1378.6976318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249.451539</v>
      </c>
      <c r="B587" s="1">
        <f>DATE(2011,1,5) + TIME(10,50,12)</f>
        <v>40548.451527777775</v>
      </c>
      <c r="C587">
        <v>80</v>
      </c>
      <c r="D587">
        <v>70.413047790999997</v>
      </c>
      <c r="E587">
        <v>50</v>
      </c>
      <c r="F587">
        <v>49.946556090999998</v>
      </c>
      <c r="G587">
        <v>1296.1298827999999</v>
      </c>
      <c r="H587">
        <v>1283.0062256000001</v>
      </c>
      <c r="I587">
        <v>1398.3022461</v>
      </c>
      <c r="J587">
        <v>1378.6230469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250.983419</v>
      </c>
      <c r="B588" s="1">
        <f>DATE(2011,1,6) + TIME(23,36,7)</f>
        <v>40549.983414351853</v>
      </c>
      <c r="C588">
        <v>80</v>
      </c>
      <c r="D588">
        <v>70.256210327000005</v>
      </c>
      <c r="E588">
        <v>50</v>
      </c>
      <c r="F588">
        <v>49.946689606</v>
      </c>
      <c r="G588">
        <v>1295.9744873</v>
      </c>
      <c r="H588">
        <v>1282.8060303</v>
      </c>
      <c r="I588">
        <v>1398.2235106999999</v>
      </c>
      <c r="J588">
        <v>1378.5495605000001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252.54609400000001</v>
      </c>
      <c r="B589" s="1">
        <f>DATE(2011,1,8) + TIME(13,6,22)</f>
        <v>40551.546087962961</v>
      </c>
      <c r="C589">
        <v>80</v>
      </c>
      <c r="D589">
        <v>70.096847534000005</v>
      </c>
      <c r="E589">
        <v>50</v>
      </c>
      <c r="F589">
        <v>49.946823119999998</v>
      </c>
      <c r="G589">
        <v>1295.8131103999999</v>
      </c>
      <c r="H589">
        <v>1282.597168</v>
      </c>
      <c r="I589">
        <v>1398.1455077999999</v>
      </c>
      <c r="J589">
        <v>1378.4766846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254.14534699999999</v>
      </c>
      <c r="B590" s="1">
        <f>DATE(2011,1,10) + TIME(3,29,17)</f>
        <v>40553.145335648151</v>
      </c>
      <c r="C590">
        <v>80</v>
      </c>
      <c r="D590">
        <v>69.934402465999995</v>
      </c>
      <c r="E590">
        <v>50</v>
      </c>
      <c r="F590">
        <v>49.946956634999999</v>
      </c>
      <c r="G590">
        <v>1295.6450195</v>
      </c>
      <c r="H590">
        <v>1282.3787841999999</v>
      </c>
      <c r="I590">
        <v>1398.0681152</v>
      </c>
      <c r="J590">
        <v>1378.4044189000001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255.788738</v>
      </c>
      <c r="B591" s="1">
        <f>DATE(2011,1,11) + TIME(18,55,46)</f>
        <v>40554.788726851853</v>
      </c>
      <c r="C591">
        <v>80</v>
      </c>
      <c r="D591">
        <v>69.768028259000005</v>
      </c>
      <c r="E591">
        <v>50</v>
      </c>
      <c r="F591">
        <v>49.947097778</v>
      </c>
      <c r="G591">
        <v>1295.4694824000001</v>
      </c>
      <c r="H591">
        <v>1282.1499022999999</v>
      </c>
      <c r="I591">
        <v>1397.9910889</v>
      </c>
      <c r="J591">
        <v>1378.3323975000001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257.45155199999999</v>
      </c>
      <c r="B592" s="1">
        <f>DATE(2011,1,13) + TIME(10,50,14)</f>
        <v>40556.451550925929</v>
      </c>
      <c r="C592">
        <v>80</v>
      </c>
      <c r="D592">
        <v>69.598045349000003</v>
      </c>
      <c r="E592">
        <v>50</v>
      </c>
      <c r="F592">
        <v>49.947235106999997</v>
      </c>
      <c r="G592">
        <v>1295.2852783000001</v>
      </c>
      <c r="H592">
        <v>1281.9091797000001</v>
      </c>
      <c r="I592">
        <v>1397.9138184000001</v>
      </c>
      <c r="J592">
        <v>1378.2602539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259.126464</v>
      </c>
      <c r="B593" s="1">
        <f>DATE(2011,1,15) + TIME(3,2,6)</f>
        <v>40558.126458333332</v>
      </c>
      <c r="C593">
        <v>80</v>
      </c>
      <c r="D593">
        <v>69.425369262999993</v>
      </c>
      <c r="E593">
        <v>50</v>
      </c>
      <c r="F593">
        <v>49.947376251000001</v>
      </c>
      <c r="G593">
        <v>1295.0948486</v>
      </c>
      <c r="H593">
        <v>1281.6590576000001</v>
      </c>
      <c r="I593">
        <v>1397.8377685999999</v>
      </c>
      <c r="J593">
        <v>1378.1892089999999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260.81874399999998</v>
      </c>
      <c r="B594" s="1">
        <f>DATE(2011,1,16) + TIME(19,38,59)</f>
        <v>40559.818738425929</v>
      </c>
      <c r="C594">
        <v>80</v>
      </c>
      <c r="D594">
        <v>69.250221252000003</v>
      </c>
      <c r="E594">
        <v>50</v>
      </c>
      <c r="F594">
        <v>49.947517394999998</v>
      </c>
      <c r="G594">
        <v>1294.8988036999999</v>
      </c>
      <c r="H594">
        <v>1281.4005127</v>
      </c>
      <c r="I594">
        <v>1397.7631836</v>
      </c>
      <c r="J594">
        <v>1378.1196289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262.53536800000001</v>
      </c>
      <c r="B595" s="1">
        <f>DATE(2011,1,18) + TIME(12,50,55)</f>
        <v>40561.535358796296</v>
      </c>
      <c r="C595">
        <v>80</v>
      </c>
      <c r="D595">
        <v>69.072082519999995</v>
      </c>
      <c r="E595">
        <v>50</v>
      </c>
      <c r="F595">
        <v>49.947662354000002</v>
      </c>
      <c r="G595">
        <v>1294.6966553</v>
      </c>
      <c r="H595">
        <v>1281.1328125</v>
      </c>
      <c r="I595">
        <v>1397.6898193</v>
      </c>
      <c r="J595">
        <v>1378.0510254000001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264.28165999999999</v>
      </c>
      <c r="B596" s="1">
        <f>DATE(2011,1,20) + TIME(6,45,35)</f>
        <v>40563.281655092593</v>
      </c>
      <c r="C596">
        <v>80</v>
      </c>
      <c r="D596">
        <v>68.890136718999997</v>
      </c>
      <c r="E596">
        <v>50</v>
      </c>
      <c r="F596">
        <v>49.947807312000002</v>
      </c>
      <c r="G596">
        <v>1294.4873047000001</v>
      </c>
      <c r="H596">
        <v>1280.8547363</v>
      </c>
      <c r="I596">
        <v>1397.6171875</v>
      </c>
      <c r="J596">
        <v>1377.9832764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266.06439</v>
      </c>
      <c r="B597" s="1">
        <f>DATE(2011,1,22) + TIME(1,32,43)</f>
        <v>40565.064386574071</v>
      </c>
      <c r="C597">
        <v>80</v>
      </c>
      <c r="D597">
        <v>68.703468322999996</v>
      </c>
      <c r="E597">
        <v>50</v>
      </c>
      <c r="F597">
        <v>49.947956085000001</v>
      </c>
      <c r="G597">
        <v>1294.2701416</v>
      </c>
      <c r="H597">
        <v>1280.5649414</v>
      </c>
      <c r="I597">
        <v>1397.5451660000001</v>
      </c>
      <c r="J597">
        <v>1377.9160156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267.88956999999999</v>
      </c>
      <c r="B598" s="1">
        <f>DATE(2011,1,23) + TIME(21,20,58)</f>
        <v>40566.889560185184</v>
      </c>
      <c r="C598">
        <v>80</v>
      </c>
      <c r="D598">
        <v>68.511047363000003</v>
      </c>
      <c r="E598">
        <v>50</v>
      </c>
      <c r="F598">
        <v>49.948104858000001</v>
      </c>
      <c r="G598">
        <v>1294.0439452999999</v>
      </c>
      <c r="H598">
        <v>1280.262207</v>
      </c>
      <c r="I598">
        <v>1397.4735106999999</v>
      </c>
      <c r="J598">
        <v>1377.8491211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269.76579900000002</v>
      </c>
      <c r="B599" s="1">
        <f>DATE(2011,1,25) + TIME(18,22,44)</f>
        <v>40568.765787037039</v>
      </c>
      <c r="C599">
        <v>80</v>
      </c>
      <c r="D599">
        <v>68.311706543</v>
      </c>
      <c r="E599">
        <v>50</v>
      </c>
      <c r="F599">
        <v>49.948261260999999</v>
      </c>
      <c r="G599">
        <v>1293.8077393000001</v>
      </c>
      <c r="H599">
        <v>1279.9449463000001</v>
      </c>
      <c r="I599">
        <v>1397.4019774999999</v>
      </c>
      <c r="J599">
        <v>1377.7823486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271.65012000000002</v>
      </c>
      <c r="B600" s="1">
        <f>DATE(2011,1,27) + TIME(15,36,10)</f>
        <v>40570.65011574074</v>
      </c>
      <c r="C600">
        <v>80</v>
      </c>
      <c r="D600">
        <v>68.105804442999997</v>
      </c>
      <c r="E600">
        <v>50</v>
      </c>
      <c r="F600">
        <v>49.948413848999998</v>
      </c>
      <c r="G600">
        <v>1293.5604248</v>
      </c>
      <c r="H600">
        <v>1279.6118164</v>
      </c>
      <c r="I600">
        <v>1397.3302002</v>
      </c>
      <c r="J600">
        <v>1377.715332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273.54779100000002</v>
      </c>
      <c r="B601" s="1">
        <f>DATE(2011,1,29) + TIME(13,8,49)</f>
        <v>40572.547789351855</v>
      </c>
      <c r="C601">
        <v>80</v>
      </c>
      <c r="D601">
        <v>67.894714355000005</v>
      </c>
      <c r="E601">
        <v>50</v>
      </c>
      <c r="F601">
        <v>49.948566436999997</v>
      </c>
      <c r="G601">
        <v>1293.3063964999999</v>
      </c>
      <c r="H601">
        <v>1279.2681885</v>
      </c>
      <c r="I601">
        <v>1397.2598877</v>
      </c>
      <c r="J601">
        <v>1377.6497803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275.46907199999998</v>
      </c>
      <c r="B602" s="1">
        <f>DATE(2011,1,31) + TIME(11,15,27)</f>
        <v>40574.4690625</v>
      </c>
      <c r="C602">
        <v>80</v>
      </c>
      <c r="D602">
        <v>67.678016662999994</v>
      </c>
      <c r="E602">
        <v>50</v>
      </c>
      <c r="F602">
        <v>49.948722838999998</v>
      </c>
      <c r="G602">
        <v>1293.0455322</v>
      </c>
      <c r="H602">
        <v>1278.9136963000001</v>
      </c>
      <c r="I602">
        <v>1397.1907959</v>
      </c>
      <c r="J602">
        <v>1377.5853271000001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276</v>
      </c>
      <c r="B603" s="1">
        <f>DATE(2011,2,1) + TIME(0,0,0)</f>
        <v>40575</v>
      </c>
      <c r="C603">
        <v>80</v>
      </c>
      <c r="D603">
        <v>67.555068969999994</v>
      </c>
      <c r="E603">
        <v>50</v>
      </c>
      <c r="F603">
        <v>49.948757172000001</v>
      </c>
      <c r="G603">
        <v>1292.7883300999999</v>
      </c>
      <c r="H603">
        <v>1278.5866699000001</v>
      </c>
      <c r="I603">
        <v>1397.1207274999999</v>
      </c>
      <c r="J603">
        <v>1377.5197754000001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277.94802299999998</v>
      </c>
      <c r="B604" s="1">
        <f>DATE(2011,2,2) + TIME(22,45,9)</f>
        <v>40576.948020833333</v>
      </c>
      <c r="C604">
        <v>80</v>
      </c>
      <c r="D604">
        <v>67.372985839999998</v>
      </c>
      <c r="E604">
        <v>50</v>
      </c>
      <c r="F604">
        <v>49.948921204000001</v>
      </c>
      <c r="G604">
        <v>1292.6899414</v>
      </c>
      <c r="H604">
        <v>1278.4211425999999</v>
      </c>
      <c r="I604">
        <v>1397.1038818</v>
      </c>
      <c r="J604">
        <v>1377.5042725000001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279.942744</v>
      </c>
      <c r="B605" s="1">
        <f>DATE(2011,2,4) + TIME(22,37,33)</f>
        <v>40578.942743055559</v>
      </c>
      <c r="C605">
        <v>80</v>
      </c>
      <c r="D605">
        <v>67.153182982999994</v>
      </c>
      <c r="E605">
        <v>50</v>
      </c>
      <c r="F605">
        <v>49.949081421000002</v>
      </c>
      <c r="G605">
        <v>1292.4185791</v>
      </c>
      <c r="H605">
        <v>1278.0540771000001</v>
      </c>
      <c r="I605">
        <v>1397.0366211</v>
      </c>
      <c r="J605">
        <v>1377.4415283000001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281.98030799999998</v>
      </c>
      <c r="B606" s="1">
        <f>DATE(2011,2,6) + TIME(23,31,38)</f>
        <v>40580.980300925927</v>
      </c>
      <c r="C606">
        <v>80</v>
      </c>
      <c r="D606">
        <v>66.914146423000005</v>
      </c>
      <c r="E606">
        <v>50</v>
      </c>
      <c r="F606">
        <v>49.949241637999997</v>
      </c>
      <c r="G606">
        <v>1292.1301269999999</v>
      </c>
      <c r="H606">
        <v>1277.6588135</v>
      </c>
      <c r="I606">
        <v>1396.9693603999999</v>
      </c>
      <c r="J606">
        <v>1377.3786620999999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284.065113</v>
      </c>
      <c r="B607" s="1">
        <f>DATE(2011,2,9) + TIME(1,33,45)</f>
        <v>40583.065104166664</v>
      </c>
      <c r="C607">
        <v>80</v>
      </c>
      <c r="D607">
        <v>66.661193847999996</v>
      </c>
      <c r="E607">
        <v>50</v>
      </c>
      <c r="F607">
        <v>49.949409484999997</v>
      </c>
      <c r="G607">
        <v>1291.8283690999999</v>
      </c>
      <c r="H607">
        <v>1277.2429199000001</v>
      </c>
      <c r="I607">
        <v>1396.9022216999999</v>
      </c>
      <c r="J607">
        <v>1377.3160399999999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286.15756099999999</v>
      </c>
      <c r="B608" s="1">
        <f>DATE(2011,2,11) + TIME(3,46,53)</f>
        <v>40585.157557870371</v>
      </c>
      <c r="C608">
        <v>80</v>
      </c>
      <c r="D608">
        <v>66.396537781000006</v>
      </c>
      <c r="E608">
        <v>50</v>
      </c>
      <c r="F608">
        <v>49.949573516999997</v>
      </c>
      <c r="G608">
        <v>1291.5141602000001</v>
      </c>
      <c r="H608">
        <v>1276.8078613</v>
      </c>
      <c r="I608">
        <v>1396.8349608999999</v>
      </c>
      <c r="J608">
        <v>1377.253418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288.26924400000001</v>
      </c>
      <c r="B609" s="1">
        <f>DATE(2011,2,13) + TIME(6,27,42)</f>
        <v>40587.269236111111</v>
      </c>
      <c r="C609">
        <v>80</v>
      </c>
      <c r="D609">
        <v>66.122138977000006</v>
      </c>
      <c r="E609">
        <v>50</v>
      </c>
      <c r="F609">
        <v>49.949737548999998</v>
      </c>
      <c r="G609">
        <v>1291.1925048999999</v>
      </c>
      <c r="H609">
        <v>1276.3604736</v>
      </c>
      <c r="I609">
        <v>1396.769043</v>
      </c>
      <c r="J609">
        <v>1377.1918945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290.404132</v>
      </c>
      <c r="B610" s="1">
        <f>DATE(2011,2,15) + TIME(9,41,57)</f>
        <v>40589.404131944444</v>
      </c>
      <c r="C610">
        <v>80</v>
      </c>
      <c r="D610">
        <v>65.837341308999996</v>
      </c>
      <c r="E610">
        <v>50</v>
      </c>
      <c r="F610">
        <v>49.949901580999999</v>
      </c>
      <c r="G610">
        <v>1290.8624268000001</v>
      </c>
      <c r="H610">
        <v>1275.8996582</v>
      </c>
      <c r="I610">
        <v>1396.7039795000001</v>
      </c>
      <c r="J610">
        <v>1377.1311035000001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292.571845</v>
      </c>
      <c r="B611" s="1">
        <f>DATE(2011,2,17) + TIME(13,43,27)</f>
        <v>40591.571840277778</v>
      </c>
      <c r="C611">
        <v>80</v>
      </c>
      <c r="D611">
        <v>65.540878296000002</v>
      </c>
      <c r="E611">
        <v>50</v>
      </c>
      <c r="F611">
        <v>49.950069427000003</v>
      </c>
      <c r="G611">
        <v>1290.5235596</v>
      </c>
      <c r="H611">
        <v>1275.4244385</v>
      </c>
      <c r="I611">
        <v>1396.6394043</v>
      </c>
      <c r="J611">
        <v>1377.0709228999999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294.77813300000003</v>
      </c>
      <c r="B612" s="1">
        <f>DATE(2011,2,19) + TIME(18,40,30)</f>
        <v>40593.778124999997</v>
      </c>
      <c r="C612">
        <v>80</v>
      </c>
      <c r="D612">
        <v>65.231018066000004</v>
      </c>
      <c r="E612">
        <v>50</v>
      </c>
      <c r="F612">
        <v>49.950241089000002</v>
      </c>
      <c r="G612">
        <v>1290.1743164</v>
      </c>
      <c r="H612">
        <v>1274.9329834</v>
      </c>
      <c r="I612">
        <v>1396.5753173999999</v>
      </c>
      <c r="J612">
        <v>1377.0111084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297.03074900000001</v>
      </c>
      <c r="B613" s="1">
        <f>DATE(2011,2,22) + TIME(0,44,16)</f>
        <v>40596.030740740738</v>
      </c>
      <c r="C613">
        <v>80</v>
      </c>
      <c r="D613">
        <v>64.906021117999998</v>
      </c>
      <c r="E613">
        <v>50</v>
      </c>
      <c r="F613">
        <v>49.950412749999998</v>
      </c>
      <c r="G613">
        <v>1289.8138428</v>
      </c>
      <c r="H613">
        <v>1274.4235839999999</v>
      </c>
      <c r="I613">
        <v>1396.5113524999999</v>
      </c>
      <c r="J613">
        <v>1376.9514160000001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299.33572700000002</v>
      </c>
      <c r="B614" s="1">
        <f>DATE(2011,2,24) + TIME(8,3,26)</f>
        <v>40598.335717592592</v>
      </c>
      <c r="C614">
        <v>80</v>
      </c>
      <c r="D614">
        <v>64.564064025999997</v>
      </c>
      <c r="E614">
        <v>50</v>
      </c>
      <c r="F614">
        <v>49.950584411999998</v>
      </c>
      <c r="G614">
        <v>1289.4405518000001</v>
      </c>
      <c r="H614">
        <v>1273.8941649999999</v>
      </c>
      <c r="I614">
        <v>1396.4472656</v>
      </c>
      <c r="J614">
        <v>1376.8916016000001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301.653505</v>
      </c>
      <c r="B615" s="1">
        <f>DATE(2011,2,26) + TIME(15,41,2)</f>
        <v>40600.653495370374</v>
      </c>
      <c r="C615">
        <v>80</v>
      </c>
      <c r="D615">
        <v>64.204879761000001</v>
      </c>
      <c r="E615">
        <v>50</v>
      </c>
      <c r="F615">
        <v>49.950759888</v>
      </c>
      <c r="G615">
        <v>1289.0538329999999</v>
      </c>
      <c r="H615">
        <v>1273.3438721</v>
      </c>
      <c r="I615">
        <v>1396.3829346</v>
      </c>
      <c r="J615">
        <v>1376.8316649999999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304</v>
      </c>
      <c r="B616" s="1">
        <f>DATE(2011,3,1) + TIME(0,0,0)</f>
        <v>40603</v>
      </c>
      <c r="C616">
        <v>80</v>
      </c>
      <c r="D616">
        <v>63.830268859999997</v>
      </c>
      <c r="E616">
        <v>50</v>
      </c>
      <c r="F616">
        <v>49.950935364000003</v>
      </c>
      <c r="G616">
        <v>1288.6590576000001</v>
      </c>
      <c r="H616">
        <v>1272.7792969</v>
      </c>
      <c r="I616">
        <v>1396.3194579999999</v>
      </c>
      <c r="J616">
        <v>1376.7723389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306.33616899999998</v>
      </c>
      <c r="B617" s="1">
        <f>DATE(2011,3,3) + TIME(8,4,5)</f>
        <v>40605.336168981485</v>
      </c>
      <c r="C617">
        <v>80</v>
      </c>
      <c r="D617">
        <v>63.440677643000001</v>
      </c>
      <c r="E617">
        <v>50</v>
      </c>
      <c r="F617">
        <v>49.951107024999999</v>
      </c>
      <c r="G617">
        <v>1288.2547606999999</v>
      </c>
      <c r="H617">
        <v>1272.1992187999999</v>
      </c>
      <c r="I617">
        <v>1396.2563477000001</v>
      </c>
      <c r="J617">
        <v>1376.713501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308.73409500000002</v>
      </c>
      <c r="B618" s="1">
        <f>DATE(2011,3,5) + TIME(17,37,5)</f>
        <v>40607.734085648146</v>
      </c>
      <c r="C618">
        <v>80</v>
      </c>
      <c r="D618">
        <v>63.036075592000003</v>
      </c>
      <c r="E618">
        <v>50</v>
      </c>
      <c r="F618">
        <v>49.951282501000001</v>
      </c>
      <c r="G618">
        <v>1287.8466797000001</v>
      </c>
      <c r="H618">
        <v>1271.6099853999999</v>
      </c>
      <c r="I618">
        <v>1396.1947021000001</v>
      </c>
      <c r="J618">
        <v>1376.6557617000001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311.14715699999999</v>
      </c>
      <c r="B619" s="1">
        <f>DATE(2011,3,8) + TIME(3,31,54)</f>
        <v>40610.147152777776</v>
      </c>
      <c r="C619">
        <v>80</v>
      </c>
      <c r="D619">
        <v>62.611907959</v>
      </c>
      <c r="E619">
        <v>50</v>
      </c>
      <c r="F619">
        <v>49.951461792000003</v>
      </c>
      <c r="G619">
        <v>1287.4248047000001</v>
      </c>
      <c r="H619">
        <v>1270.9993896000001</v>
      </c>
      <c r="I619">
        <v>1396.1323242000001</v>
      </c>
      <c r="J619">
        <v>1376.5975341999999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313.57626099999999</v>
      </c>
      <c r="B620" s="1">
        <f>DATE(2011,3,10) + TIME(13,49,48)</f>
        <v>40612.576249999998</v>
      </c>
      <c r="C620">
        <v>80</v>
      </c>
      <c r="D620">
        <v>62.170635222999998</v>
      </c>
      <c r="E620">
        <v>50</v>
      </c>
      <c r="F620">
        <v>49.951637267999999</v>
      </c>
      <c r="G620">
        <v>1286.9953613</v>
      </c>
      <c r="H620">
        <v>1270.3748779</v>
      </c>
      <c r="I620">
        <v>1396.0705565999999</v>
      </c>
      <c r="J620">
        <v>1376.5399170000001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316.02610700000002</v>
      </c>
      <c r="B621" s="1">
        <f>DATE(2011,3,13) + TIME(0,37,35)</f>
        <v>40615.026099537034</v>
      </c>
      <c r="C621">
        <v>80</v>
      </c>
      <c r="D621">
        <v>61.712444304999998</v>
      </c>
      <c r="E621">
        <v>50</v>
      </c>
      <c r="F621">
        <v>49.951812744000001</v>
      </c>
      <c r="G621">
        <v>1286.559082</v>
      </c>
      <c r="H621">
        <v>1269.7375488</v>
      </c>
      <c r="I621">
        <v>1396.0092772999999</v>
      </c>
      <c r="J621">
        <v>1376.4826660000001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318.48796099999998</v>
      </c>
      <c r="B622" s="1">
        <f>DATE(2011,3,15) + TIME(11,42,39)</f>
        <v>40617.487951388888</v>
      </c>
      <c r="C622">
        <v>80</v>
      </c>
      <c r="D622">
        <v>61.237220764</v>
      </c>
      <c r="E622">
        <v>50</v>
      </c>
      <c r="F622">
        <v>49.951988219999997</v>
      </c>
      <c r="G622">
        <v>1286.1154785000001</v>
      </c>
      <c r="H622">
        <v>1269.0869141000001</v>
      </c>
      <c r="I622">
        <v>1395.9484863</v>
      </c>
      <c r="J622">
        <v>1376.4257812000001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320.96701200000001</v>
      </c>
      <c r="B623" s="1">
        <f>DATE(2011,3,17) + TIME(23,12,29)</f>
        <v>40619.967002314814</v>
      </c>
      <c r="C623">
        <v>80</v>
      </c>
      <c r="D623">
        <v>60.745735168000003</v>
      </c>
      <c r="E623">
        <v>50</v>
      </c>
      <c r="F623">
        <v>49.952163696</v>
      </c>
      <c r="G623">
        <v>1285.6663818</v>
      </c>
      <c r="H623">
        <v>1268.4249268000001</v>
      </c>
      <c r="I623">
        <v>1395.8880615</v>
      </c>
      <c r="J623">
        <v>1376.3693848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323.46805599999999</v>
      </c>
      <c r="B624" s="1">
        <f>DATE(2011,3,20) + TIME(11,14,0)</f>
        <v>40622.468055555553</v>
      </c>
      <c r="C624">
        <v>80</v>
      </c>
      <c r="D624">
        <v>60.237266540999997</v>
      </c>
      <c r="E624">
        <v>50</v>
      </c>
      <c r="F624">
        <v>49.952339172000002</v>
      </c>
      <c r="G624">
        <v>1285.2114257999999</v>
      </c>
      <c r="H624">
        <v>1267.7512207</v>
      </c>
      <c r="I624">
        <v>1395.828125</v>
      </c>
      <c r="J624">
        <v>1376.3132324000001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325.98206199999998</v>
      </c>
      <c r="B625" s="1">
        <f>DATE(2011,3,22) + TIME(23,34,10)</f>
        <v>40624.982060185182</v>
      </c>
      <c r="C625">
        <v>80</v>
      </c>
      <c r="D625">
        <v>59.711162567000002</v>
      </c>
      <c r="E625">
        <v>50</v>
      </c>
      <c r="F625">
        <v>49.952514647999998</v>
      </c>
      <c r="G625">
        <v>1284.75</v>
      </c>
      <c r="H625">
        <v>1267.0651855000001</v>
      </c>
      <c r="I625">
        <v>1395.7683105000001</v>
      </c>
      <c r="J625">
        <v>1376.2573242000001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328.51556499999998</v>
      </c>
      <c r="B626" s="1">
        <f>DATE(2011,3,25) + TIME(12,22,24)</f>
        <v>40627.515555555554</v>
      </c>
      <c r="C626">
        <v>80</v>
      </c>
      <c r="D626">
        <v>59.168273925999998</v>
      </c>
      <c r="E626">
        <v>50</v>
      </c>
      <c r="F626">
        <v>49.952690124999997</v>
      </c>
      <c r="G626">
        <v>1284.2841797000001</v>
      </c>
      <c r="H626">
        <v>1266.3690185999999</v>
      </c>
      <c r="I626">
        <v>1395.7088623</v>
      </c>
      <c r="J626">
        <v>1376.2016602000001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331.07478400000002</v>
      </c>
      <c r="B627" s="1">
        <f>DATE(2011,3,28) + TIME(1,47,41)</f>
        <v>40630.074780092589</v>
      </c>
      <c r="C627">
        <v>80</v>
      </c>
      <c r="D627">
        <v>58.608276367000002</v>
      </c>
      <c r="E627">
        <v>50</v>
      </c>
      <c r="F627">
        <v>49.952865600999999</v>
      </c>
      <c r="G627">
        <v>1283.8132324000001</v>
      </c>
      <c r="H627">
        <v>1265.6618652</v>
      </c>
      <c r="I627">
        <v>1395.6496582</v>
      </c>
      <c r="J627">
        <v>1376.1462402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333.65470900000003</v>
      </c>
      <c r="B628" s="1">
        <f>DATE(2011,3,30) + TIME(15,42,46)</f>
        <v>40632.654699074075</v>
      </c>
      <c r="C628">
        <v>80</v>
      </c>
      <c r="D628">
        <v>58.030902863000001</v>
      </c>
      <c r="E628">
        <v>50</v>
      </c>
      <c r="F628">
        <v>49.953041077000002</v>
      </c>
      <c r="G628">
        <v>1283.3365478999999</v>
      </c>
      <c r="H628">
        <v>1264.9428711</v>
      </c>
      <c r="I628">
        <v>1395.5904541</v>
      </c>
      <c r="J628">
        <v>1376.0906981999999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335</v>
      </c>
      <c r="B629" s="1">
        <f>DATE(2011,4,1) + TIME(0,0,0)</f>
        <v>40634</v>
      </c>
      <c r="C629">
        <v>80</v>
      </c>
      <c r="D629">
        <v>57.540569304999998</v>
      </c>
      <c r="E629">
        <v>50</v>
      </c>
      <c r="F629">
        <v>49.953128814999999</v>
      </c>
      <c r="G629">
        <v>1282.8626709</v>
      </c>
      <c r="H629">
        <v>1264.2573242000001</v>
      </c>
      <c r="I629">
        <v>1395.5303954999999</v>
      </c>
      <c r="J629">
        <v>1376.0343018000001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337.60266999999999</v>
      </c>
      <c r="B630" s="1">
        <f>DATE(2011,4,3) + TIME(14,27,50)</f>
        <v>40636.602662037039</v>
      </c>
      <c r="C630">
        <v>80</v>
      </c>
      <c r="D630">
        <v>57.079998015999998</v>
      </c>
      <c r="E630">
        <v>50</v>
      </c>
      <c r="F630">
        <v>49.953308104999998</v>
      </c>
      <c r="G630">
        <v>1282.5875243999999</v>
      </c>
      <c r="H630">
        <v>1263.7904053</v>
      </c>
      <c r="I630">
        <v>1395.5006103999999</v>
      </c>
      <c r="J630">
        <v>1376.0064697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340.24388599999997</v>
      </c>
      <c r="B631" s="1">
        <f>DATE(2011,4,6) + TIME(5,51,11)</f>
        <v>40639.243877314817</v>
      </c>
      <c r="C631">
        <v>80</v>
      </c>
      <c r="D631">
        <v>56.495021819999998</v>
      </c>
      <c r="E631">
        <v>50</v>
      </c>
      <c r="F631">
        <v>49.953487396</v>
      </c>
      <c r="G631">
        <v>1282.1157227000001</v>
      </c>
      <c r="H631">
        <v>1263.0816649999999</v>
      </c>
      <c r="I631">
        <v>1395.4416504000001</v>
      </c>
      <c r="J631">
        <v>1375.9510498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342.912217</v>
      </c>
      <c r="B632" s="1">
        <f>DATE(2011,4,8) + TIME(21,53,35)</f>
        <v>40641.912210648145</v>
      </c>
      <c r="C632">
        <v>80</v>
      </c>
      <c r="D632">
        <v>55.867725372000002</v>
      </c>
      <c r="E632">
        <v>50</v>
      </c>
      <c r="F632">
        <v>49.953662872000002</v>
      </c>
      <c r="G632">
        <v>1281.6276855000001</v>
      </c>
      <c r="H632">
        <v>1262.3356934000001</v>
      </c>
      <c r="I632">
        <v>1395.3822021000001</v>
      </c>
      <c r="J632">
        <v>1375.8952637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345.61424699999998</v>
      </c>
      <c r="B633" s="1">
        <f>DATE(2011,4,11) + TIME(14,44,30)</f>
        <v>40644.614236111112</v>
      </c>
      <c r="C633">
        <v>80</v>
      </c>
      <c r="D633">
        <v>55.218894958</v>
      </c>
      <c r="E633">
        <v>50</v>
      </c>
      <c r="F633">
        <v>49.953842162999997</v>
      </c>
      <c r="G633">
        <v>1281.1335449000001</v>
      </c>
      <c r="H633">
        <v>1261.5740966999999</v>
      </c>
      <c r="I633">
        <v>1395.3226318</v>
      </c>
      <c r="J633">
        <v>1375.8392334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348.34458999999998</v>
      </c>
      <c r="B634" s="1">
        <f>DATE(2011,4,14) + TIME(8,16,12)</f>
        <v>40647.344583333332</v>
      </c>
      <c r="C634">
        <v>80</v>
      </c>
      <c r="D634">
        <v>54.553306579999997</v>
      </c>
      <c r="E634">
        <v>50</v>
      </c>
      <c r="F634">
        <v>49.954017639</v>
      </c>
      <c r="G634">
        <v>1280.6348877</v>
      </c>
      <c r="H634">
        <v>1260.8012695</v>
      </c>
      <c r="I634">
        <v>1395.2628173999999</v>
      </c>
      <c r="J634">
        <v>1375.7829589999999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351.10670900000002</v>
      </c>
      <c r="B635" s="1">
        <f>DATE(2011,4,17) + TIME(2,33,39)</f>
        <v>40650.10670138889</v>
      </c>
      <c r="C635">
        <v>80</v>
      </c>
      <c r="D635">
        <v>53.873477936</v>
      </c>
      <c r="E635">
        <v>50</v>
      </c>
      <c r="F635">
        <v>49.954196930000002</v>
      </c>
      <c r="G635">
        <v>1280.1335449000001</v>
      </c>
      <c r="H635">
        <v>1260.0200195</v>
      </c>
      <c r="I635">
        <v>1395.2026367000001</v>
      </c>
      <c r="J635">
        <v>1375.7263184000001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353.907398</v>
      </c>
      <c r="B636" s="1">
        <f>DATE(2011,4,19) + TIME(21,46,39)</f>
        <v>40652.907395833332</v>
      </c>
      <c r="C636">
        <v>80</v>
      </c>
      <c r="D636">
        <v>53.180114746000001</v>
      </c>
      <c r="E636">
        <v>50</v>
      </c>
      <c r="F636">
        <v>49.954376220999997</v>
      </c>
      <c r="G636">
        <v>1279.6301269999999</v>
      </c>
      <c r="H636">
        <v>1259.2312012</v>
      </c>
      <c r="I636">
        <v>1395.1420897999999</v>
      </c>
      <c r="J636">
        <v>1375.6691894999999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356.75416100000001</v>
      </c>
      <c r="B637" s="1">
        <f>DATE(2011,4,22) + TIME(18,5,59)</f>
        <v>40655.754155092596</v>
      </c>
      <c r="C637">
        <v>80</v>
      </c>
      <c r="D637">
        <v>52.473133087000001</v>
      </c>
      <c r="E637">
        <v>50</v>
      </c>
      <c r="F637">
        <v>49.954559326000002</v>
      </c>
      <c r="G637">
        <v>1279.1241454999999</v>
      </c>
      <c r="H637">
        <v>1258.4342041</v>
      </c>
      <c r="I637">
        <v>1395.0809326000001</v>
      </c>
      <c r="J637">
        <v>1375.6116943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359.64622200000002</v>
      </c>
      <c r="B638" s="1">
        <f>DATE(2011,4,25) + TIME(15,30,33)</f>
        <v>40658.646215277775</v>
      </c>
      <c r="C638">
        <v>80</v>
      </c>
      <c r="D638">
        <v>51.752815247000001</v>
      </c>
      <c r="E638">
        <v>50</v>
      </c>
      <c r="F638">
        <v>49.954738616999997</v>
      </c>
      <c r="G638">
        <v>1278.6153564000001</v>
      </c>
      <c r="H638">
        <v>1257.6285399999999</v>
      </c>
      <c r="I638">
        <v>1395.0191649999999</v>
      </c>
      <c r="J638">
        <v>1375.5533447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362.57848200000001</v>
      </c>
      <c r="B639" s="1">
        <f>DATE(2011,4,28) + TIME(13,53,0)</f>
        <v>40661.578472222223</v>
      </c>
      <c r="C639">
        <v>80</v>
      </c>
      <c r="D639">
        <v>51.020576476999999</v>
      </c>
      <c r="E639">
        <v>50</v>
      </c>
      <c r="F639">
        <v>49.954921722000002</v>
      </c>
      <c r="G639">
        <v>1278.1047363</v>
      </c>
      <c r="H639">
        <v>1256.8156738</v>
      </c>
      <c r="I639">
        <v>1394.956543</v>
      </c>
      <c r="J639">
        <v>1375.4941406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365</v>
      </c>
      <c r="B640" s="1">
        <f>DATE(2011,5,1) + TIME(0,0,0)</f>
        <v>40664</v>
      </c>
      <c r="C640">
        <v>80</v>
      </c>
      <c r="D640">
        <v>50.311157227000002</v>
      </c>
      <c r="E640">
        <v>50</v>
      </c>
      <c r="F640">
        <v>49.955070495999998</v>
      </c>
      <c r="G640">
        <v>1277.5955810999999</v>
      </c>
      <c r="H640">
        <v>1256.0124512</v>
      </c>
      <c r="I640">
        <v>1394.8930664</v>
      </c>
      <c r="J640">
        <v>1375.4342041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365.000001</v>
      </c>
      <c r="B641" s="1">
        <f>DATE(2011,5,1) + TIME(0,0,0)</f>
        <v>40664</v>
      </c>
      <c r="C641">
        <v>80</v>
      </c>
      <c r="D641">
        <v>50.311771393000001</v>
      </c>
      <c r="E641">
        <v>50</v>
      </c>
      <c r="F641">
        <v>49.954570769999997</v>
      </c>
      <c r="G641">
        <v>1304.6060791</v>
      </c>
      <c r="H641">
        <v>1282.6480713000001</v>
      </c>
      <c r="I641">
        <v>1371.0112305</v>
      </c>
      <c r="J641">
        <v>1352.1234131000001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365.00000399999999</v>
      </c>
      <c r="B642" s="1">
        <f>DATE(2011,5,1) + TIME(0,0,0)</f>
        <v>40664</v>
      </c>
      <c r="C642">
        <v>80</v>
      </c>
      <c r="D642">
        <v>50.312938690000003</v>
      </c>
      <c r="E642">
        <v>50</v>
      </c>
      <c r="F642">
        <v>49.953643798999998</v>
      </c>
      <c r="G642">
        <v>1313.3935547000001</v>
      </c>
      <c r="H642">
        <v>1291.9051514</v>
      </c>
      <c r="I642">
        <v>1362.8239745999999</v>
      </c>
      <c r="J642">
        <v>1343.9335937999999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365.00001300000002</v>
      </c>
      <c r="B643" s="1">
        <f>DATE(2011,5,1) + TIME(0,0,1)</f>
        <v>40664.000011574077</v>
      </c>
      <c r="C643">
        <v>80</v>
      </c>
      <c r="D643">
        <v>50.314685822000001</v>
      </c>
      <c r="E643">
        <v>50</v>
      </c>
      <c r="F643">
        <v>49.952419280999997</v>
      </c>
      <c r="G643">
        <v>1325.5853271000001</v>
      </c>
      <c r="H643">
        <v>1304.1368408000001</v>
      </c>
      <c r="I643">
        <v>1352.0085449000001</v>
      </c>
      <c r="J643">
        <v>1333.1217041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365.00004000000001</v>
      </c>
      <c r="B644" s="1">
        <f>DATE(2011,5,1) + TIME(0,0,3)</f>
        <v>40664.000034722223</v>
      </c>
      <c r="C644">
        <v>80</v>
      </c>
      <c r="D644">
        <v>50.317237853999998</v>
      </c>
      <c r="E644">
        <v>50</v>
      </c>
      <c r="F644">
        <v>49.951137543000002</v>
      </c>
      <c r="G644">
        <v>1338.6683350000001</v>
      </c>
      <c r="H644">
        <v>1317.0820312000001</v>
      </c>
      <c r="I644">
        <v>1340.7255858999999</v>
      </c>
      <c r="J644">
        <v>1321.8535156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365.00012099999998</v>
      </c>
      <c r="B645" s="1">
        <f>DATE(2011,5,1) + TIME(0,0,10)</f>
        <v>40664.000115740739</v>
      </c>
      <c r="C645">
        <v>80</v>
      </c>
      <c r="D645">
        <v>50.322002411</v>
      </c>
      <c r="E645">
        <v>50</v>
      </c>
      <c r="F645">
        <v>49.949859619000001</v>
      </c>
      <c r="G645">
        <v>1351.9244385</v>
      </c>
      <c r="H645">
        <v>1330.1845702999999</v>
      </c>
      <c r="I645">
        <v>1329.6047363</v>
      </c>
      <c r="J645">
        <v>1310.7563477000001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365.00036399999999</v>
      </c>
      <c r="B646" s="1">
        <f>DATE(2011,5,1) + TIME(0,0,31)</f>
        <v>40664.000358796293</v>
      </c>
      <c r="C646">
        <v>80</v>
      </c>
      <c r="D646">
        <v>50.333469391000001</v>
      </c>
      <c r="E646">
        <v>50</v>
      </c>
      <c r="F646">
        <v>49.948543549</v>
      </c>
      <c r="G646">
        <v>1365.8367920000001</v>
      </c>
      <c r="H646">
        <v>1343.9487305</v>
      </c>
      <c r="I646">
        <v>1318.4143065999999</v>
      </c>
      <c r="J646">
        <v>1299.5791016000001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365.00109300000003</v>
      </c>
      <c r="B647" s="1">
        <f>DATE(2011,5,1) + TIME(0,1,34)</f>
        <v>40664.001087962963</v>
      </c>
      <c r="C647">
        <v>80</v>
      </c>
      <c r="D647">
        <v>50.365009307999998</v>
      </c>
      <c r="E647">
        <v>50</v>
      </c>
      <c r="F647">
        <v>49.947078705000003</v>
      </c>
      <c r="G647">
        <v>1380.4912108999999</v>
      </c>
      <c r="H647">
        <v>1358.4652100000001</v>
      </c>
      <c r="I647">
        <v>1306.7822266000001</v>
      </c>
      <c r="J647">
        <v>1287.9210204999999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365.00328000000002</v>
      </c>
      <c r="B648" s="1">
        <f>DATE(2011,5,1) + TIME(0,4,43)</f>
        <v>40664.003275462965</v>
      </c>
      <c r="C648">
        <v>80</v>
      </c>
      <c r="D648">
        <v>50.456428528000004</v>
      </c>
      <c r="E648">
        <v>50</v>
      </c>
      <c r="F648">
        <v>49.945384979000004</v>
      </c>
      <c r="G648">
        <v>1393.8414307</v>
      </c>
      <c r="H648">
        <v>1371.7246094</v>
      </c>
      <c r="I648">
        <v>1295.8166504000001</v>
      </c>
      <c r="J648">
        <v>1276.9157714999999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365.00984099999999</v>
      </c>
      <c r="B649" s="1">
        <f>DATE(2011,5,1) + TIME(0,14,10)</f>
        <v>40664.009837962964</v>
      </c>
      <c r="C649">
        <v>80</v>
      </c>
      <c r="D649">
        <v>50.725482941000003</v>
      </c>
      <c r="E649">
        <v>50</v>
      </c>
      <c r="F649">
        <v>49.943256378000001</v>
      </c>
      <c r="G649">
        <v>1402.4139404</v>
      </c>
      <c r="H649">
        <v>1380.3323975000001</v>
      </c>
      <c r="I649">
        <v>1288.9909668</v>
      </c>
      <c r="J649">
        <v>1270.0690918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365.02952399999998</v>
      </c>
      <c r="B650" s="1">
        <f>DATE(2011,5,1) + TIME(0,42,30)</f>
        <v>40664.029513888891</v>
      </c>
      <c r="C650">
        <v>80</v>
      </c>
      <c r="D650">
        <v>51.509014129999997</v>
      </c>
      <c r="E650">
        <v>50</v>
      </c>
      <c r="F650">
        <v>49.939048767000003</v>
      </c>
      <c r="G650">
        <v>1405.230957</v>
      </c>
      <c r="H650">
        <v>1383.4215088000001</v>
      </c>
      <c r="I650">
        <v>1287.1573486</v>
      </c>
      <c r="J650">
        <v>1268.2294922000001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365.05163900000002</v>
      </c>
      <c r="B651" s="1">
        <f>DATE(2011,5,1) + TIME(1,14,21)</f>
        <v>40664.051631944443</v>
      </c>
      <c r="C651">
        <v>80</v>
      </c>
      <c r="D651">
        <v>52.363471984999997</v>
      </c>
      <c r="E651">
        <v>50</v>
      </c>
      <c r="F651">
        <v>49.934577941999997</v>
      </c>
      <c r="G651">
        <v>1405.3034668</v>
      </c>
      <c r="H651">
        <v>1383.7829589999999</v>
      </c>
      <c r="I651">
        <v>1287.0494385</v>
      </c>
      <c r="J651">
        <v>1268.1204834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365.07418200000001</v>
      </c>
      <c r="B652" s="1">
        <f>DATE(2011,5,1) + TIME(1,46,49)</f>
        <v>40664.074178240742</v>
      </c>
      <c r="C652">
        <v>80</v>
      </c>
      <c r="D652">
        <v>53.208766937</v>
      </c>
      <c r="E652">
        <v>50</v>
      </c>
      <c r="F652">
        <v>49.930072783999996</v>
      </c>
      <c r="G652">
        <v>1404.9589844</v>
      </c>
      <c r="H652">
        <v>1383.7160644999999</v>
      </c>
      <c r="I652">
        <v>1287.0649414</v>
      </c>
      <c r="J652">
        <v>1268.1354980000001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365.09716600000002</v>
      </c>
      <c r="B653" s="1">
        <f>DATE(2011,5,1) + TIME(2,19,55)</f>
        <v>40664.09716435185</v>
      </c>
      <c r="C653">
        <v>80</v>
      </c>
      <c r="D653">
        <v>54.044628142999997</v>
      </c>
      <c r="E653">
        <v>50</v>
      </c>
      <c r="F653">
        <v>49.925518036</v>
      </c>
      <c r="G653">
        <v>1404.5573730000001</v>
      </c>
      <c r="H653">
        <v>1383.5817870999999</v>
      </c>
      <c r="I653">
        <v>1287.0734863</v>
      </c>
      <c r="J653">
        <v>1268.1436768000001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365.12059799999997</v>
      </c>
      <c r="B654" s="1">
        <f>DATE(2011,5,1) + TIME(2,53,39)</f>
        <v>40664.12059027778</v>
      </c>
      <c r="C654">
        <v>80</v>
      </c>
      <c r="D654">
        <v>54.870597838999998</v>
      </c>
      <c r="E654">
        <v>50</v>
      </c>
      <c r="F654">
        <v>49.920913696</v>
      </c>
      <c r="G654">
        <v>1404.1575928</v>
      </c>
      <c r="H654">
        <v>1383.4394531</v>
      </c>
      <c r="I654">
        <v>1287.0764160000001</v>
      </c>
      <c r="J654">
        <v>1268.1461182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365.14446900000002</v>
      </c>
      <c r="B655" s="1">
        <f>DATE(2011,5,1) + TIME(3,28,2)</f>
        <v>40664.144467592596</v>
      </c>
      <c r="C655">
        <v>80</v>
      </c>
      <c r="D655">
        <v>55.685729979999998</v>
      </c>
      <c r="E655">
        <v>50</v>
      </c>
      <c r="F655">
        <v>49.916259766000003</v>
      </c>
      <c r="G655">
        <v>1403.7702637</v>
      </c>
      <c r="H655">
        <v>1383.2996826000001</v>
      </c>
      <c r="I655">
        <v>1287.0775146000001</v>
      </c>
      <c r="J655">
        <v>1268.1467285000001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365.16880200000003</v>
      </c>
      <c r="B656" s="1">
        <f>DATE(2011,5,1) + TIME(4,3,4)</f>
        <v>40664.168796296297</v>
      </c>
      <c r="C656">
        <v>80</v>
      </c>
      <c r="D656">
        <v>56.490081787000001</v>
      </c>
      <c r="E656">
        <v>50</v>
      </c>
      <c r="F656">
        <v>49.911560059000003</v>
      </c>
      <c r="G656">
        <v>1403.3967285000001</v>
      </c>
      <c r="H656">
        <v>1383.1643065999999</v>
      </c>
      <c r="I656">
        <v>1287.078125</v>
      </c>
      <c r="J656">
        <v>1268.1468506000001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365.19361900000001</v>
      </c>
      <c r="B657" s="1">
        <f>DATE(2011,5,1) + TIME(4,38,48)</f>
        <v>40664.193611111114</v>
      </c>
      <c r="C657">
        <v>80</v>
      </c>
      <c r="D657">
        <v>57.283699036000002</v>
      </c>
      <c r="E657">
        <v>50</v>
      </c>
      <c r="F657">
        <v>49.906803130999997</v>
      </c>
      <c r="G657">
        <v>1403.0367432</v>
      </c>
      <c r="H657">
        <v>1383.0335693</v>
      </c>
      <c r="I657">
        <v>1287.0784911999999</v>
      </c>
      <c r="J657">
        <v>1268.1468506000001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365.21894400000002</v>
      </c>
      <c r="B658" s="1">
        <f>DATE(2011,5,1) + TIME(5,15,16)</f>
        <v>40664.218935185185</v>
      </c>
      <c r="C658">
        <v>80</v>
      </c>
      <c r="D658">
        <v>58.066608428999999</v>
      </c>
      <c r="E658">
        <v>50</v>
      </c>
      <c r="F658">
        <v>49.901992798000002</v>
      </c>
      <c r="G658">
        <v>1402.6896973</v>
      </c>
      <c r="H658">
        <v>1382.9072266000001</v>
      </c>
      <c r="I658">
        <v>1287.0787353999999</v>
      </c>
      <c r="J658">
        <v>1268.1466064000001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365.24480299999999</v>
      </c>
      <c r="B659" s="1">
        <f>DATE(2011,5,1) + TIME(5,52,30)</f>
        <v>40664.244791666664</v>
      </c>
      <c r="C659">
        <v>80</v>
      </c>
      <c r="D659">
        <v>58.838825225999997</v>
      </c>
      <c r="E659">
        <v>50</v>
      </c>
      <c r="F659">
        <v>49.897121429000002</v>
      </c>
      <c r="G659">
        <v>1402.3549805</v>
      </c>
      <c r="H659">
        <v>1382.7850341999999</v>
      </c>
      <c r="I659">
        <v>1287.0789795000001</v>
      </c>
      <c r="J659">
        <v>1268.1463623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365.27122400000002</v>
      </c>
      <c r="B660" s="1">
        <f>DATE(2011,5,1) + TIME(6,30,33)</f>
        <v>40664.271215277775</v>
      </c>
      <c r="C660">
        <v>80</v>
      </c>
      <c r="D660">
        <v>59.600360870000003</v>
      </c>
      <c r="E660">
        <v>50</v>
      </c>
      <c r="F660">
        <v>49.892189025999997</v>
      </c>
      <c r="G660">
        <v>1402.0321045000001</v>
      </c>
      <c r="H660">
        <v>1382.6668701000001</v>
      </c>
      <c r="I660">
        <v>1287.0791016000001</v>
      </c>
      <c r="J660">
        <v>1268.1459961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365.29823599999997</v>
      </c>
      <c r="B661" s="1">
        <f>DATE(2011,5,1) + TIME(7,9,27)</f>
        <v>40664.298229166663</v>
      </c>
      <c r="C661">
        <v>80</v>
      </c>
      <c r="D661">
        <v>60.350948334000002</v>
      </c>
      <c r="E661">
        <v>50</v>
      </c>
      <c r="F661">
        <v>49.887187957999998</v>
      </c>
      <c r="G661">
        <v>1401.7202147999999</v>
      </c>
      <c r="H661">
        <v>1382.5523682</v>
      </c>
      <c r="I661">
        <v>1287.0791016000001</v>
      </c>
      <c r="J661">
        <v>1268.1455077999999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365.32586800000001</v>
      </c>
      <c r="B662" s="1">
        <f>DATE(2011,5,1) + TIME(7,49,14)</f>
        <v>40664.325856481482</v>
      </c>
      <c r="C662">
        <v>80</v>
      </c>
      <c r="D662">
        <v>61.090450287000003</v>
      </c>
      <c r="E662">
        <v>50</v>
      </c>
      <c r="F662">
        <v>49.88211441</v>
      </c>
      <c r="G662">
        <v>1401.4190673999999</v>
      </c>
      <c r="H662">
        <v>1382.4412841999999</v>
      </c>
      <c r="I662">
        <v>1287.0791016000001</v>
      </c>
      <c r="J662">
        <v>1268.1450195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365.354152</v>
      </c>
      <c r="B663" s="1">
        <f>DATE(2011,5,1) + TIME(8,29,58)</f>
        <v>40664.354143518518</v>
      </c>
      <c r="C663">
        <v>80</v>
      </c>
      <c r="D663">
        <v>61.819103241000001</v>
      </c>
      <c r="E663">
        <v>50</v>
      </c>
      <c r="F663">
        <v>49.876968384000001</v>
      </c>
      <c r="G663">
        <v>1401.1280518000001</v>
      </c>
      <c r="H663">
        <v>1382.3334961</v>
      </c>
      <c r="I663">
        <v>1287.0789795000001</v>
      </c>
      <c r="J663">
        <v>1268.1444091999999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365.383129</v>
      </c>
      <c r="B664" s="1">
        <f>DATE(2011,5,1) + TIME(9,11,42)</f>
        <v>40664.383125</v>
      </c>
      <c r="C664">
        <v>80</v>
      </c>
      <c r="D664">
        <v>62.536949157999999</v>
      </c>
      <c r="E664">
        <v>50</v>
      </c>
      <c r="F664">
        <v>49.871742249</v>
      </c>
      <c r="G664">
        <v>1400.8466797000001</v>
      </c>
      <c r="H664">
        <v>1382.2287598</v>
      </c>
      <c r="I664">
        <v>1287.0788574000001</v>
      </c>
      <c r="J664">
        <v>1268.1437988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365.41283600000003</v>
      </c>
      <c r="B665" s="1">
        <f>DATE(2011,5,1) + TIME(9,54,29)</f>
        <v>40664.412835648145</v>
      </c>
      <c r="C665">
        <v>80</v>
      </c>
      <c r="D665">
        <v>63.243930816999999</v>
      </c>
      <c r="E665">
        <v>50</v>
      </c>
      <c r="F665">
        <v>49.866428374999998</v>
      </c>
      <c r="G665">
        <v>1400.5743408000001</v>
      </c>
      <c r="H665">
        <v>1382.1269531</v>
      </c>
      <c r="I665">
        <v>1287.0786132999999</v>
      </c>
      <c r="J665">
        <v>1268.1430664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365.44331699999998</v>
      </c>
      <c r="B666" s="1">
        <f>DATE(2011,5,1) + TIME(10,38,22)</f>
        <v>40664.443310185183</v>
      </c>
      <c r="C666">
        <v>80</v>
      </c>
      <c r="D666">
        <v>63.939975738999998</v>
      </c>
      <c r="E666">
        <v>50</v>
      </c>
      <c r="F666">
        <v>49.861026764000002</v>
      </c>
      <c r="G666">
        <v>1400.3107910000001</v>
      </c>
      <c r="H666">
        <v>1382.027832</v>
      </c>
      <c r="I666">
        <v>1287.0783690999999</v>
      </c>
      <c r="J666">
        <v>1268.1422118999999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365.47461700000002</v>
      </c>
      <c r="B667" s="1">
        <f>DATE(2011,5,1) + TIME(11,23,26)</f>
        <v>40664.474606481483</v>
      </c>
      <c r="C667">
        <v>80</v>
      </c>
      <c r="D667">
        <v>64.625</v>
      </c>
      <c r="E667">
        <v>50</v>
      </c>
      <c r="F667">
        <v>49.855529785000002</v>
      </c>
      <c r="G667">
        <v>1400.0555420000001</v>
      </c>
      <c r="H667">
        <v>1381.9311522999999</v>
      </c>
      <c r="I667">
        <v>1287.0780029</v>
      </c>
      <c r="J667">
        <v>1268.1413574000001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365.50678399999998</v>
      </c>
      <c r="B668" s="1">
        <f>DATE(2011,5,1) + TIME(12,9,46)</f>
        <v>40664.506782407407</v>
      </c>
      <c r="C668">
        <v>80</v>
      </c>
      <c r="D668">
        <v>65.298980713000006</v>
      </c>
      <c r="E668">
        <v>50</v>
      </c>
      <c r="F668">
        <v>49.849929809999999</v>
      </c>
      <c r="G668">
        <v>1399.8081055</v>
      </c>
      <c r="H668">
        <v>1381.8366699000001</v>
      </c>
      <c r="I668">
        <v>1287.0776367000001</v>
      </c>
      <c r="J668">
        <v>1268.1403809000001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365.539873</v>
      </c>
      <c r="B669" s="1">
        <f>DATE(2011,5,1) + TIME(12,57,25)</f>
        <v>40664.539872685185</v>
      </c>
      <c r="C669">
        <v>80</v>
      </c>
      <c r="D669">
        <v>65.961830139</v>
      </c>
      <c r="E669">
        <v>50</v>
      </c>
      <c r="F669">
        <v>49.844219207999998</v>
      </c>
      <c r="G669">
        <v>1399.5681152</v>
      </c>
      <c r="H669">
        <v>1381.7443848</v>
      </c>
      <c r="I669">
        <v>1287.0771483999999</v>
      </c>
      <c r="J669">
        <v>1268.1394043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365.57394099999999</v>
      </c>
      <c r="B670" s="1">
        <f>DATE(2011,5,1) + TIME(13,46,28)</f>
        <v>40664.573935185188</v>
      </c>
      <c r="C670">
        <v>80</v>
      </c>
      <c r="D670">
        <v>66.613334656000006</v>
      </c>
      <c r="E670">
        <v>50</v>
      </c>
      <c r="F670">
        <v>49.838394164999997</v>
      </c>
      <c r="G670">
        <v>1399.3352050999999</v>
      </c>
      <c r="H670">
        <v>1381.6539307</v>
      </c>
      <c r="I670">
        <v>1287.0766602000001</v>
      </c>
      <c r="J670">
        <v>1268.1383057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365.60905200000002</v>
      </c>
      <c r="B671" s="1">
        <f>DATE(2011,5,1) + TIME(14,37,2)</f>
        <v>40664.609050925923</v>
      </c>
      <c r="C671">
        <v>80</v>
      </c>
      <c r="D671">
        <v>67.253356933999996</v>
      </c>
      <c r="E671">
        <v>50</v>
      </c>
      <c r="F671">
        <v>49.832447051999999</v>
      </c>
      <c r="G671">
        <v>1399.1091309000001</v>
      </c>
      <c r="H671">
        <v>1381.5653076000001</v>
      </c>
      <c r="I671">
        <v>1287.0760498</v>
      </c>
      <c r="J671">
        <v>1268.1370850000001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365.64527900000002</v>
      </c>
      <c r="B672" s="1">
        <f>DATE(2011,5,1) + TIME(15,29,12)</f>
        <v>40664.645277777781</v>
      </c>
      <c r="C672">
        <v>80</v>
      </c>
      <c r="D672">
        <v>67.881797790999997</v>
      </c>
      <c r="E672">
        <v>50</v>
      </c>
      <c r="F672">
        <v>49.826362609999997</v>
      </c>
      <c r="G672">
        <v>1398.8892822</v>
      </c>
      <c r="H672">
        <v>1381.4782714999999</v>
      </c>
      <c r="I672">
        <v>1287.0754394999999</v>
      </c>
      <c r="J672">
        <v>1268.1358643000001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365.68270899999999</v>
      </c>
      <c r="B673" s="1">
        <f>DATE(2011,5,1) + TIME(16,23,6)</f>
        <v>40664.682708333334</v>
      </c>
      <c r="C673">
        <v>80</v>
      </c>
      <c r="D673">
        <v>68.498664856000005</v>
      </c>
      <c r="E673">
        <v>50</v>
      </c>
      <c r="F673">
        <v>49.820137023999997</v>
      </c>
      <c r="G673">
        <v>1398.6755370999999</v>
      </c>
      <c r="H673">
        <v>1381.3924560999999</v>
      </c>
      <c r="I673">
        <v>1287.0748291</v>
      </c>
      <c r="J673">
        <v>1268.1346435999999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365.72141199999999</v>
      </c>
      <c r="B674" s="1">
        <f>DATE(2011,5,1) + TIME(17,18,50)</f>
        <v>40664.721412037034</v>
      </c>
      <c r="C674">
        <v>80</v>
      </c>
      <c r="D674">
        <v>69.103546143000003</v>
      </c>
      <c r="E674">
        <v>50</v>
      </c>
      <c r="F674">
        <v>49.813758849999999</v>
      </c>
      <c r="G674">
        <v>1398.4674072</v>
      </c>
      <c r="H674">
        <v>1381.3079834</v>
      </c>
      <c r="I674">
        <v>1287.0740966999999</v>
      </c>
      <c r="J674">
        <v>1268.1333007999999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365.761482</v>
      </c>
      <c r="B675" s="1">
        <f>DATE(2011,5,1) + TIME(18,16,32)</f>
        <v>40664.761481481481</v>
      </c>
      <c r="C675">
        <v>80</v>
      </c>
      <c r="D675">
        <v>69.696250915999997</v>
      </c>
      <c r="E675">
        <v>50</v>
      </c>
      <c r="F675">
        <v>49.807220459</v>
      </c>
      <c r="G675">
        <v>1398.2647704999999</v>
      </c>
      <c r="H675">
        <v>1381.2244873</v>
      </c>
      <c r="I675">
        <v>1287.0732422000001</v>
      </c>
      <c r="J675">
        <v>1268.1318358999999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365.803021</v>
      </c>
      <c r="B676" s="1">
        <f>DATE(2011,5,1) + TIME(19,16,21)</f>
        <v>40664.803020833337</v>
      </c>
      <c r="C676">
        <v>80</v>
      </c>
      <c r="D676">
        <v>70.276359557999996</v>
      </c>
      <c r="E676">
        <v>50</v>
      </c>
      <c r="F676">
        <v>49.800502776999998</v>
      </c>
      <c r="G676">
        <v>1398.0672606999999</v>
      </c>
      <c r="H676">
        <v>1381.1419678</v>
      </c>
      <c r="I676">
        <v>1287.0723877</v>
      </c>
      <c r="J676">
        <v>1268.1303711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365.84614299999998</v>
      </c>
      <c r="B677" s="1">
        <f>DATE(2011,5,1) + TIME(20,18,26)</f>
        <v>40664.846134259256</v>
      </c>
      <c r="C677">
        <v>80</v>
      </c>
      <c r="D677">
        <v>70.843612671000002</v>
      </c>
      <c r="E677">
        <v>50</v>
      </c>
      <c r="F677">
        <v>49.79359436</v>
      </c>
      <c r="G677">
        <v>1397.8745117000001</v>
      </c>
      <c r="H677">
        <v>1381.0600586</v>
      </c>
      <c r="I677">
        <v>1287.0715332</v>
      </c>
      <c r="J677">
        <v>1268.1287841999999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365.89097500000003</v>
      </c>
      <c r="B678" s="1">
        <f>DATE(2011,5,1) + TIME(21,23,0)</f>
        <v>40664.890972222223</v>
      </c>
      <c r="C678">
        <v>80</v>
      </c>
      <c r="D678">
        <v>71.397987365999995</v>
      </c>
      <c r="E678">
        <v>50</v>
      </c>
      <c r="F678">
        <v>49.786483765</v>
      </c>
      <c r="G678">
        <v>1397.6862793</v>
      </c>
      <c r="H678">
        <v>1380.9786377</v>
      </c>
      <c r="I678">
        <v>1287.0705565999999</v>
      </c>
      <c r="J678">
        <v>1268.1271973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365.937659</v>
      </c>
      <c r="B679" s="1">
        <f>DATE(2011,5,1) + TIME(22,30,13)</f>
        <v>40664.937650462962</v>
      </c>
      <c r="C679">
        <v>80</v>
      </c>
      <c r="D679">
        <v>71.939216614000003</v>
      </c>
      <c r="E679">
        <v>50</v>
      </c>
      <c r="F679">
        <v>49.779151917</v>
      </c>
      <c r="G679">
        <v>1397.5021973</v>
      </c>
      <c r="H679">
        <v>1380.8975829999999</v>
      </c>
      <c r="I679">
        <v>1287.0695800999999</v>
      </c>
      <c r="J679">
        <v>1268.1254882999999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365.986355</v>
      </c>
      <c r="B680" s="1">
        <f>DATE(2011,5,1) + TIME(23,40,21)</f>
        <v>40664.986354166664</v>
      </c>
      <c r="C680">
        <v>80</v>
      </c>
      <c r="D680">
        <v>72.467010497999993</v>
      </c>
      <c r="E680">
        <v>50</v>
      </c>
      <c r="F680">
        <v>49.771579742</v>
      </c>
      <c r="G680">
        <v>1397.3220214999999</v>
      </c>
      <c r="H680">
        <v>1380.8166504000001</v>
      </c>
      <c r="I680">
        <v>1287.0684814000001</v>
      </c>
      <c r="J680">
        <v>1268.1237793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366.03724499999998</v>
      </c>
      <c r="B681" s="1">
        <f>DATE(2011,5,2) + TIME(0,53,37)</f>
        <v>40665.037233796298</v>
      </c>
      <c r="C681">
        <v>80</v>
      </c>
      <c r="D681">
        <v>72.981086731000005</v>
      </c>
      <c r="E681">
        <v>50</v>
      </c>
      <c r="F681">
        <v>49.763744354000004</v>
      </c>
      <c r="G681">
        <v>1397.1455077999999</v>
      </c>
      <c r="H681">
        <v>1380.7357178</v>
      </c>
      <c r="I681">
        <v>1287.0673827999999</v>
      </c>
      <c r="J681">
        <v>1268.1219481999999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366.09053299999999</v>
      </c>
      <c r="B682" s="1">
        <f>DATE(2011,5,2) + TIME(2,10,22)</f>
        <v>40665.090532407405</v>
      </c>
      <c r="C682">
        <v>80</v>
      </c>
      <c r="D682">
        <v>73.481117248999993</v>
      </c>
      <c r="E682">
        <v>50</v>
      </c>
      <c r="F682">
        <v>49.755622864000003</v>
      </c>
      <c r="G682">
        <v>1396.9722899999999</v>
      </c>
      <c r="H682">
        <v>1380.6545410000001</v>
      </c>
      <c r="I682">
        <v>1287.0661620999999</v>
      </c>
      <c r="J682">
        <v>1268.1199951000001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366.14648899999997</v>
      </c>
      <c r="B683" s="1">
        <f>DATE(2011,5,2) + TIME(3,30,56)</f>
        <v>40665.146481481483</v>
      </c>
      <c r="C683">
        <v>80</v>
      </c>
      <c r="D683">
        <v>73.967025757000002</v>
      </c>
      <c r="E683">
        <v>50</v>
      </c>
      <c r="F683">
        <v>49.747184752999999</v>
      </c>
      <c r="G683">
        <v>1396.8020019999999</v>
      </c>
      <c r="H683">
        <v>1380.572876</v>
      </c>
      <c r="I683">
        <v>1287.0648193</v>
      </c>
      <c r="J683">
        <v>1268.1179199000001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366.20536399999997</v>
      </c>
      <c r="B684" s="1">
        <f>DATE(2011,5,2) + TIME(4,55,43)</f>
        <v>40665.205358796295</v>
      </c>
      <c r="C684">
        <v>80</v>
      </c>
      <c r="D684">
        <v>74.438255310000002</v>
      </c>
      <c r="E684">
        <v>50</v>
      </c>
      <c r="F684">
        <v>49.738399506</v>
      </c>
      <c r="G684">
        <v>1396.6342772999999</v>
      </c>
      <c r="H684">
        <v>1380.4904785000001</v>
      </c>
      <c r="I684">
        <v>1287.0634766000001</v>
      </c>
      <c r="J684">
        <v>1268.1158447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366.26746300000002</v>
      </c>
      <c r="B685" s="1">
        <f>DATE(2011,5,2) + TIME(6,25,8)</f>
        <v>40665.267453703702</v>
      </c>
      <c r="C685">
        <v>80</v>
      </c>
      <c r="D685">
        <v>74.894348144999995</v>
      </c>
      <c r="E685">
        <v>50</v>
      </c>
      <c r="F685">
        <v>49.729232787999997</v>
      </c>
      <c r="G685">
        <v>1396.4689940999999</v>
      </c>
      <c r="H685">
        <v>1380.4072266000001</v>
      </c>
      <c r="I685">
        <v>1287.0621338000001</v>
      </c>
      <c r="J685">
        <v>1268.1135254000001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366.33315399999998</v>
      </c>
      <c r="B686" s="1">
        <f>DATE(2011,5,2) + TIME(7,59,44)</f>
        <v>40665.333148148151</v>
      </c>
      <c r="C686">
        <v>80</v>
      </c>
      <c r="D686">
        <v>75.334640503000003</v>
      </c>
      <c r="E686">
        <v>50</v>
      </c>
      <c r="F686">
        <v>49.719638824</v>
      </c>
      <c r="G686">
        <v>1396.3057861</v>
      </c>
      <c r="H686">
        <v>1380.3226318</v>
      </c>
      <c r="I686">
        <v>1287.0605469</v>
      </c>
      <c r="J686">
        <v>1268.1112060999999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366.40286600000002</v>
      </c>
      <c r="B687" s="1">
        <f>DATE(2011,5,2) + TIME(9,40,7)</f>
        <v>40665.402858796297</v>
      </c>
      <c r="C687">
        <v>80</v>
      </c>
      <c r="D687">
        <v>75.758872986</v>
      </c>
      <c r="E687">
        <v>50</v>
      </c>
      <c r="F687">
        <v>49.709575653000002</v>
      </c>
      <c r="G687">
        <v>1396.1441649999999</v>
      </c>
      <c r="H687">
        <v>1380.2366943</v>
      </c>
      <c r="I687">
        <v>1287.0589600000001</v>
      </c>
      <c r="J687">
        <v>1268.1087646000001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366.477101</v>
      </c>
      <c r="B688" s="1">
        <f>DATE(2011,5,2) + TIME(11,27,1)</f>
        <v>40665.477094907408</v>
      </c>
      <c r="C688">
        <v>80</v>
      </c>
      <c r="D688">
        <v>76.166587829999997</v>
      </c>
      <c r="E688">
        <v>50</v>
      </c>
      <c r="F688">
        <v>49.698982239000003</v>
      </c>
      <c r="G688">
        <v>1395.9838867000001</v>
      </c>
      <c r="H688">
        <v>1380.1488036999999</v>
      </c>
      <c r="I688">
        <v>1287.057251</v>
      </c>
      <c r="J688">
        <v>1268.1060791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366.556466</v>
      </c>
      <c r="B689" s="1">
        <f>DATE(2011,5,2) + TIME(13,21,18)</f>
        <v>40665.556458333333</v>
      </c>
      <c r="C689">
        <v>80</v>
      </c>
      <c r="D689">
        <v>76.557304381999998</v>
      </c>
      <c r="E689">
        <v>50</v>
      </c>
      <c r="F689">
        <v>49.687793732000003</v>
      </c>
      <c r="G689">
        <v>1395.8243408000001</v>
      </c>
      <c r="H689">
        <v>1380.0589600000001</v>
      </c>
      <c r="I689">
        <v>1287.0554199000001</v>
      </c>
      <c r="J689">
        <v>1268.1032714999999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366.64170999999999</v>
      </c>
      <c r="B690" s="1">
        <f>DATE(2011,5,2) + TIME(15,24,3)</f>
        <v>40665.641701388886</v>
      </c>
      <c r="C690">
        <v>80</v>
      </c>
      <c r="D690">
        <v>76.930541992000002</v>
      </c>
      <c r="E690">
        <v>50</v>
      </c>
      <c r="F690">
        <v>49.675922393999997</v>
      </c>
      <c r="G690">
        <v>1395.6654053</v>
      </c>
      <c r="H690">
        <v>1379.9664307</v>
      </c>
      <c r="I690">
        <v>1287.0535889</v>
      </c>
      <c r="J690">
        <v>1268.1003418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366.73373600000002</v>
      </c>
      <c r="B691" s="1">
        <f>DATE(2011,5,2) + TIME(17,36,34)</f>
        <v>40665.733726851853</v>
      </c>
      <c r="C691">
        <v>80</v>
      </c>
      <c r="D691">
        <v>77.285728454999997</v>
      </c>
      <c r="E691">
        <v>50</v>
      </c>
      <c r="F691">
        <v>49.663272857999999</v>
      </c>
      <c r="G691">
        <v>1395.5062256000001</v>
      </c>
      <c r="H691">
        <v>1379.8709716999999</v>
      </c>
      <c r="I691">
        <v>1287.0513916</v>
      </c>
      <c r="J691">
        <v>1268.097168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366.83142800000002</v>
      </c>
      <c r="B692" s="1">
        <f>DATE(2011,5,2) + TIME(19,57,15)</f>
        <v>40665.831423611111</v>
      </c>
      <c r="C692">
        <v>80</v>
      </c>
      <c r="D692">
        <v>77.615653992000006</v>
      </c>
      <c r="E692">
        <v>50</v>
      </c>
      <c r="F692">
        <v>49.649993895999998</v>
      </c>
      <c r="G692">
        <v>1395.3491211</v>
      </c>
      <c r="H692">
        <v>1379.7733154</v>
      </c>
      <c r="I692">
        <v>1287.0490723</v>
      </c>
      <c r="J692">
        <v>1268.09375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366.92948799999999</v>
      </c>
      <c r="B693" s="1">
        <f>DATE(2011,5,2) + TIME(22,18,27)</f>
        <v>40665.929479166669</v>
      </c>
      <c r="C693">
        <v>80</v>
      </c>
      <c r="D693">
        <v>77.905281067000004</v>
      </c>
      <c r="E693">
        <v>50</v>
      </c>
      <c r="F693">
        <v>49.636734009000001</v>
      </c>
      <c r="G693">
        <v>1395.2003173999999</v>
      </c>
      <c r="H693">
        <v>1379.6766356999999</v>
      </c>
      <c r="I693">
        <v>1287.0466309000001</v>
      </c>
      <c r="J693">
        <v>1268.0902100000001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367.028368</v>
      </c>
      <c r="B694" s="1">
        <f>DATE(2011,5,3) + TIME(0,40,51)</f>
        <v>40666.028368055559</v>
      </c>
      <c r="C694">
        <v>80</v>
      </c>
      <c r="D694">
        <v>78.160408020000006</v>
      </c>
      <c r="E694">
        <v>50</v>
      </c>
      <c r="F694">
        <v>49.623432158999996</v>
      </c>
      <c r="G694">
        <v>1395.0598144999999</v>
      </c>
      <c r="H694">
        <v>1379.5827637</v>
      </c>
      <c r="I694">
        <v>1287.0440673999999</v>
      </c>
      <c r="J694">
        <v>1268.0866699000001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367.12829099999999</v>
      </c>
      <c r="B695" s="1">
        <f>DATE(2011,5,3) + TIME(3,4,44)</f>
        <v>40666.128287037034</v>
      </c>
      <c r="C695">
        <v>80</v>
      </c>
      <c r="D695">
        <v>78.385307311999995</v>
      </c>
      <c r="E695">
        <v>50</v>
      </c>
      <c r="F695">
        <v>49.610065460000001</v>
      </c>
      <c r="G695">
        <v>1394.9261475000001</v>
      </c>
      <c r="H695">
        <v>1379.4912108999999</v>
      </c>
      <c r="I695">
        <v>1287.0413818</v>
      </c>
      <c r="J695">
        <v>1268.0830077999999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367.22920099999999</v>
      </c>
      <c r="B696" s="1">
        <f>DATE(2011,5,3) + TIME(5,30,2)</f>
        <v>40666.229189814818</v>
      </c>
      <c r="C696">
        <v>80</v>
      </c>
      <c r="D696">
        <v>78.583175659000005</v>
      </c>
      <c r="E696">
        <v>50</v>
      </c>
      <c r="F696">
        <v>49.596641540999997</v>
      </c>
      <c r="G696">
        <v>1394.7988281</v>
      </c>
      <c r="H696">
        <v>1379.4017334</v>
      </c>
      <c r="I696">
        <v>1287.0388184000001</v>
      </c>
      <c r="J696">
        <v>1268.0793457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367.33123699999999</v>
      </c>
      <c r="B697" s="1">
        <f>DATE(2011,5,3) + TIME(7,56,58)</f>
        <v>40666.331226851849</v>
      </c>
      <c r="C697">
        <v>80</v>
      </c>
      <c r="D697">
        <v>78.757240295000003</v>
      </c>
      <c r="E697">
        <v>50</v>
      </c>
      <c r="F697">
        <v>49.583137512</v>
      </c>
      <c r="G697">
        <v>1394.677124</v>
      </c>
      <c r="H697">
        <v>1379.3143310999999</v>
      </c>
      <c r="I697">
        <v>1287.0361327999999</v>
      </c>
      <c r="J697">
        <v>1268.0756836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367.43460599999997</v>
      </c>
      <c r="B698" s="1">
        <f>DATE(2011,5,3) + TIME(10,25,49)</f>
        <v>40666.434594907405</v>
      </c>
      <c r="C698">
        <v>80</v>
      </c>
      <c r="D698">
        <v>78.910392760999997</v>
      </c>
      <c r="E698">
        <v>50</v>
      </c>
      <c r="F698">
        <v>49.569526672000002</v>
      </c>
      <c r="G698">
        <v>1394.5601807</v>
      </c>
      <c r="H698">
        <v>1379.2286377</v>
      </c>
      <c r="I698">
        <v>1287.0334473</v>
      </c>
      <c r="J698">
        <v>1268.0718993999999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367.53950800000001</v>
      </c>
      <c r="B699" s="1">
        <f>DATE(2011,5,3) + TIME(12,56,53)</f>
        <v>40666.539502314816</v>
      </c>
      <c r="C699">
        <v>80</v>
      </c>
      <c r="D699">
        <v>79.045127868999998</v>
      </c>
      <c r="E699">
        <v>50</v>
      </c>
      <c r="F699">
        <v>49.555789947999997</v>
      </c>
      <c r="G699">
        <v>1394.4476318</v>
      </c>
      <c r="H699">
        <v>1379.1444091999999</v>
      </c>
      <c r="I699">
        <v>1287.0306396000001</v>
      </c>
      <c r="J699">
        <v>1268.0681152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367.64614899999998</v>
      </c>
      <c r="B700" s="1">
        <f>DATE(2011,5,3) + TIME(15,30,27)</f>
        <v>40666.646145833336</v>
      </c>
      <c r="C700">
        <v>80</v>
      </c>
      <c r="D700">
        <v>79.163619995000005</v>
      </c>
      <c r="E700">
        <v>50</v>
      </c>
      <c r="F700">
        <v>49.541904449</v>
      </c>
      <c r="G700">
        <v>1394.3387451000001</v>
      </c>
      <c r="H700">
        <v>1379.0616454999999</v>
      </c>
      <c r="I700">
        <v>1287.027832</v>
      </c>
      <c r="J700">
        <v>1268.0642089999999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367.75474000000003</v>
      </c>
      <c r="B701" s="1">
        <f>DATE(2011,5,3) + TIME(18,6,49)</f>
        <v>40666.754733796297</v>
      </c>
      <c r="C701">
        <v>80</v>
      </c>
      <c r="D701">
        <v>79.267738342000001</v>
      </c>
      <c r="E701">
        <v>50</v>
      </c>
      <c r="F701">
        <v>49.527839661000002</v>
      </c>
      <c r="G701">
        <v>1394.2330322</v>
      </c>
      <c r="H701">
        <v>1378.9798584</v>
      </c>
      <c r="I701">
        <v>1287.0250243999999</v>
      </c>
      <c r="J701">
        <v>1268.0603027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367.86550899999997</v>
      </c>
      <c r="B702" s="1">
        <f>DATE(2011,5,3) + TIME(20,46,19)</f>
        <v>40666.865497685183</v>
      </c>
      <c r="C702">
        <v>80</v>
      </c>
      <c r="D702">
        <v>79.359169006000002</v>
      </c>
      <c r="E702">
        <v>50</v>
      </c>
      <c r="F702">
        <v>49.513572693</v>
      </c>
      <c r="G702">
        <v>1394.1301269999999</v>
      </c>
      <c r="H702">
        <v>1378.8991699000001</v>
      </c>
      <c r="I702">
        <v>1287.0220947</v>
      </c>
      <c r="J702">
        <v>1268.0562743999999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367.97872100000001</v>
      </c>
      <c r="B703" s="1">
        <f>DATE(2011,5,3) + TIME(23,29,21)</f>
        <v>40666.978715277779</v>
      </c>
      <c r="C703">
        <v>80</v>
      </c>
      <c r="D703">
        <v>79.439369201999995</v>
      </c>
      <c r="E703">
        <v>50</v>
      </c>
      <c r="F703">
        <v>49.499069214000002</v>
      </c>
      <c r="G703">
        <v>1394.0296631000001</v>
      </c>
      <c r="H703">
        <v>1378.8193358999999</v>
      </c>
      <c r="I703">
        <v>1287.019043</v>
      </c>
      <c r="J703">
        <v>1268.0522461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368.094583</v>
      </c>
      <c r="B704" s="1">
        <f>DATE(2011,5,4) + TIME(2,16,12)</f>
        <v>40667.094583333332</v>
      </c>
      <c r="C704">
        <v>80</v>
      </c>
      <c r="D704">
        <v>79.509605407999999</v>
      </c>
      <c r="E704">
        <v>50</v>
      </c>
      <c r="F704">
        <v>49.484313964999998</v>
      </c>
      <c r="G704">
        <v>1393.9312743999999</v>
      </c>
      <c r="H704">
        <v>1378.7399902</v>
      </c>
      <c r="I704">
        <v>1287.0159911999999</v>
      </c>
      <c r="J704">
        <v>1268.0480957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368.21336200000002</v>
      </c>
      <c r="B705" s="1">
        <f>DATE(2011,5,4) + TIME(5,7,14)</f>
        <v>40667.213356481479</v>
      </c>
      <c r="C705">
        <v>80</v>
      </c>
      <c r="D705">
        <v>79.571006775000001</v>
      </c>
      <c r="E705">
        <v>50</v>
      </c>
      <c r="F705">
        <v>49.469268798999998</v>
      </c>
      <c r="G705">
        <v>1393.8347168</v>
      </c>
      <c r="H705">
        <v>1378.6613769999999</v>
      </c>
      <c r="I705">
        <v>1287.0128173999999</v>
      </c>
      <c r="J705">
        <v>1268.0437012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368.33534400000002</v>
      </c>
      <c r="B706" s="1">
        <f>DATE(2011,5,4) + TIME(8,2,53)</f>
        <v>40667.335335648146</v>
      </c>
      <c r="C706">
        <v>80</v>
      </c>
      <c r="D706">
        <v>79.624580382999994</v>
      </c>
      <c r="E706">
        <v>50</v>
      </c>
      <c r="F706">
        <v>49.453910827999998</v>
      </c>
      <c r="G706">
        <v>1393.7395019999999</v>
      </c>
      <c r="H706">
        <v>1378.5830077999999</v>
      </c>
      <c r="I706">
        <v>1287.0096435999999</v>
      </c>
      <c r="J706">
        <v>1268.0393065999999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368.46083900000002</v>
      </c>
      <c r="B707" s="1">
        <f>DATE(2011,5,4) + TIME(11,3,36)</f>
        <v>40667.460833333331</v>
      </c>
      <c r="C707">
        <v>80</v>
      </c>
      <c r="D707">
        <v>79.671226501000007</v>
      </c>
      <c r="E707">
        <v>50</v>
      </c>
      <c r="F707">
        <v>49.438201904000003</v>
      </c>
      <c r="G707">
        <v>1393.6455077999999</v>
      </c>
      <c r="H707">
        <v>1378.5050048999999</v>
      </c>
      <c r="I707">
        <v>1287.0063477000001</v>
      </c>
      <c r="J707">
        <v>1268.0347899999999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368.59018900000001</v>
      </c>
      <c r="B708" s="1">
        <f>DATE(2011,5,4) + TIME(14,9,52)</f>
        <v>40667.590185185189</v>
      </c>
      <c r="C708">
        <v>80</v>
      </c>
      <c r="D708">
        <v>79.711746215999995</v>
      </c>
      <c r="E708">
        <v>50</v>
      </c>
      <c r="F708">
        <v>49.422103882000002</v>
      </c>
      <c r="G708">
        <v>1393.5524902</v>
      </c>
      <c r="H708">
        <v>1378.427124</v>
      </c>
      <c r="I708">
        <v>1287.0028076000001</v>
      </c>
      <c r="J708">
        <v>1268.0301514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368.723772</v>
      </c>
      <c r="B709" s="1">
        <f>DATE(2011,5,4) + TIME(17,22,13)</f>
        <v>40667.723761574074</v>
      </c>
      <c r="C709">
        <v>80</v>
      </c>
      <c r="D709">
        <v>79.746833800999994</v>
      </c>
      <c r="E709">
        <v>50</v>
      </c>
      <c r="F709">
        <v>49.405578613000003</v>
      </c>
      <c r="G709">
        <v>1393.4602050999999</v>
      </c>
      <c r="H709">
        <v>1378.3491211</v>
      </c>
      <c r="I709">
        <v>1286.9992675999999</v>
      </c>
      <c r="J709">
        <v>1268.0253906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368.86200700000001</v>
      </c>
      <c r="B710" s="1">
        <f>DATE(2011,5,4) + TIME(20,41,17)</f>
        <v>40667.862002314818</v>
      </c>
      <c r="C710">
        <v>80</v>
      </c>
      <c r="D710">
        <v>79.777145386000001</v>
      </c>
      <c r="E710">
        <v>50</v>
      </c>
      <c r="F710">
        <v>49.388584137000002</v>
      </c>
      <c r="G710">
        <v>1393.3682861</v>
      </c>
      <c r="H710">
        <v>1378.2709961</v>
      </c>
      <c r="I710">
        <v>1286.9956055</v>
      </c>
      <c r="J710">
        <v>1268.0203856999999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369.00536399999999</v>
      </c>
      <c r="B711" s="1">
        <f>DATE(2011,5,5) + TIME(0,7,43)</f>
        <v>40668.005358796298</v>
      </c>
      <c r="C711">
        <v>80</v>
      </c>
      <c r="D711">
        <v>79.803230286000002</v>
      </c>
      <c r="E711">
        <v>50</v>
      </c>
      <c r="F711">
        <v>49.371070862000003</v>
      </c>
      <c r="G711">
        <v>1393.2764893000001</v>
      </c>
      <c r="H711">
        <v>1378.1926269999999</v>
      </c>
      <c r="I711">
        <v>1286.9918213000001</v>
      </c>
      <c r="J711">
        <v>1268.0152588000001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369.15436999999997</v>
      </c>
      <c r="B712" s="1">
        <f>DATE(2011,5,5) + TIME(3,42,17)</f>
        <v>40668.154363425929</v>
      </c>
      <c r="C712">
        <v>80</v>
      </c>
      <c r="D712">
        <v>79.825599670000003</v>
      </c>
      <c r="E712">
        <v>50</v>
      </c>
      <c r="F712">
        <v>49.352981567</v>
      </c>
      <c r="G712">
        <v>1393.1846923999999</v>
      </c>
      <c r="H712">
        <v>1378.1137695</v>
      </c>
      <c r="I712">
        <v>1286.987793</v>
      </c>
      <c r="J712">
        <v>1268.0098877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369.30972100000002</v>
      </c>
      <c r="B713" s="1">
        <f>DATE(2011,5,5) + TIME(7,25,59)</f>
        <v>40668.309710648151</v>
      </c>
      <c r="C713">
        <v>80</v>
      </c>
      <c r="D713">
        <v>79.844726562000005</v>
      </c>
      <c r="E713">
        <v>50</v>
      </c>
      <c r="F713">
        <v>49.334251404</v>
      </c>
      <c r="G713">
        <v>1393.0925293</v>
      </c>
      <c r="H713">
        <v>1378.0343018000001</v>
      </c>
      <c r="I713">
        <v>1286.9836425999999</v>
      </c>
      <c r="J713">
        <v>1268.0043945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369.47202900000002</v>
      </c>
      <c r="B714" s="1">
        <f>DATE(2011,5,5) + TIME(11,19,43)</f>
        <v>40668.472025462965</v>
      </c>
      <c r="C714">
        <v>80</v>
      </c>
      <c r="D714">
        <v>79.860984802000004</v>
      </c>
      <c r="E714">
        <v>50</v>
      </c>
      <c r="F714">
        <v>49.314811706999997</v>
      </c>
      <c r="G714">
        <v>1392.9997559000001</v>
      </c>
      <c r="H714">
        <v>1377.9539795000001</v>
      </c>
      <c r="I714">
        <v>1286.9793701000001</v>
      </c>
      <c r="J714">
        <v>1267.9986572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369.641346</v>
      </c>
      <c r="B715" s="1">
        <f>DATE(2011,5,5) + TIME(15,23,32)</f>
        <v>40668.641342592593</v>
      </c>
      <c r="C715">
        <v>80</v>
      </c>
      <c r="D715">
        <v>79.874710082999997</v>
      </c>
      <c r="E715">
        <v>50</v>
      </c>
      <c r="F715">
        <v>49.294666290000002</v>
      </c>
      <c r="G715">
        <v>1392.9061279</v>
      </c>
      <c r="H715">
        <v>1377.8726807</v>
      </c>
      <c r="I715">
        <v>1286.9748535000001</v>
      </c>
      <c r="J715">
        <v>1267.9925536999999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369.81688200000002</v>
      </c>
      <c r="B716" s="1">
        <f>DATE(2011,5,5) + TIME(19,36,18)</f>
        <v>40668.816874999997</v>
      </c>
      <c r="C716">
        <v>80</v>
      </c>
      <c r="D716">
        <v>79.886146545000003</v>
      </c>
      <c r="E716">
        <v>50</v>
      </c>
      <c r="F716">
        <v>49.273883820000002</v>
      </c>
      <c r="G716">
        <v>1392.8118896000001</v>
      </c>
      <c r="H716">
        <v>1377.7906493999999</v>
      </c>
      <c r="I716">
        <v>1286.9699707</v>
      </c>
      <c r="J716">
        <v>1267.9862060999999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369.99931600000002</v>
      </c>
      <c r="B717" s="1">
        <f>DATE(2011,5,5) + TIME(23,59,0)</f>
        <v>40668.999305555553</v>
      </c>
      <c r="C717">
        <v>80</v>
      </c>
      <c r="D717">
        <v>79.895652771000002</v>
      </c>
      <c r="E717">
        <v>50</v>
      </c>
      <c r="F717">
        <v>49.252407073999997</v>
      </c>
      <c r="G717">
        <v>1392.7174072</v>
      </c>
      <c r="H717">
        <v>1377.7081298999999</v>
      </c>
      <c r="I717">
        <v>1286.9650879000001</v>
      </c>
      <c r="J717">
        <v>1267.9797363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370.18940099999998</v>
      </c>
      <c r="B718" s="1">
        <f>DATE(2011,5,6) + TIME(4,32,44)</f>
        <v>40669.189398148148</v>
      </c>
      <c r="C718">
        <v>80</v>
      </c>
      <c r="D718">
        <v>79.903526306000003</v>
      </c>
      <c r="E718">
        <v>50</v>
      </c>
      <c r="F718">
        <v>49.230159759999999</v>
      </c>
      <c r="G718">
        <v>1392.6223144999999</v>
      </c>
      <c r="H718">
        <v>1377.6251221</v>
      </c>
      <c r="I718">
        <v>1286.9599608999999</v>
      </c>
      <c r="J718">
        <v>1267.9729004000001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370.38796400000001</v>
      </c>
      <c r="B719" s="1">
        <f>DATE(2011,5,6) + TIME(9,18,40)</f>
        <v>40669.387962962966</v>
      </c>
      <c r="C719">
        <v>80</v>
      </c>
      <c r="D719">
        <v>79.910011291999993</v>
      </c>
      <c r="E719">
        <v>50</v>
      </c>
      <c r="F719">
        <v>49.207065581999998</v>
      </c>
      <c r="G719">
        <v>1392.5266113</v>
      </c>
      <c r="H719">
        <v>1377.5413818</v>
      </c>
      <c r="I719">
        <v>1286.9544678</v>
      </c>
      <c r="J719">
        <v>1267.9656981999999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370.58885600000002</v>
      </c>
      <c r="B720" s="1">
        <f>DATE(2011,5,6) + TIME(14,7,57)</f>
        <v>40669.588854166665</v>
      </c>
      <c r="C720">
        <v>80</v>
      </c>
      <c r="D720">
        <v>79.915199279999996</v>
      </c>
      <c r="E720">
        <v>50</v>
      </c>
      <c r="F720">
        <v>49.183704376000001</v>
      </c>
      <c r="G720">
        <v>1392.4299315999999</v>
      </c>
      <c r="H720">
        <v>1377.4566649999999</v>
      </c>
      <c r="I720">
        <v>1286.9488524999999</v>
      </c>
      <c r="J720">
        <v>1267.958374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370.79103099999998</v>
      </c>
      <c r="B721" s="1">
        <f>DATE(2011,5,6) + TIME(18,59,5)</f>
        <v>40669.791030092594</v>
      </c>
      <c r="C721">
        <v>80</v>
      </c>
      <c r="D721">
        <v>79.919326781999999</v>
      </c>
      <c r="E721">
        <v>50</v>
      </c>
      <c r="F721">
        <v>49.160186768000003</v>
      </c>
      <c r="G721">
        <v>1392.3352050999999</v>
      </c>
      <c r="H721">
        <v>1377.3736572</v>
      </c>
      <c r="I721">
        <v>1286.9429932</v>
      </c>
      <c r="J721">
        <v>1267.9508057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370.99499700000001</v>
      </c>
      <c r="B722" s="1">
        <f>DATE(2011,5,6) + TIME(23,52,47)</f>
        <v>40669.994988425926</v>
      </c>
      <c r="C722">
        <v>80</v>
      </c>
      <c r="D722">
        <v>79.922630310000002</v>
      </c>
      <c r="E722">
        <v>50</v>
      </c>
      <c r="F722">
        <v>49.136486052999999</v>
      </c>
      <c r="G722">
        <v>1392.2427978999999</v>
      </c>
      <c r="H722">
        <v>1377.2927245999999</v>
      </c>
      <c r="I722">
        <v>1286.9371338000001</v>
      </c>
      <c r="J722">
        <v>1267.9432373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371.20130899999998</v>
      </c>
      <c r="B723" s="1">
        <f>DATE(2011,5,7) + TIME(4,49,53)</f>
        <v>40670.201307870368</v>
      </c>
      <c r="C723">
        <v>80</v>
      </c>
      <c r="D723">
        <v>79.925285338999998</v>
      </c>
      <c r="E723">
        <v>50</v>
      </c>
      <c r="F723">
        <v>49.112567902000002</v>
      </c>
      <c r="G723">
        <v>1392.1523437999999</v>
      </c>
      <c r="H723">
        <v>1377.213501</v>
      </c>
      <c r="I723">
        <v>1286.9312743999999</v>
      </c>
      <c r="J723">
        <v>1267.9356689000001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371.41022400000003</v>
      </c>
      <c r="B724" s="1">
        <f>DATE(2011,5,7) + TIME(9,50,43)</f>
        <v>40670.410219907404</v>
      </c>
      <c r="C724">
        <v>80</v>
      </c>
      <c r="D724">
        <v>79.927421570000007</v>
      </c>
      <c r="E724">
        <v>50</v>
      </c>
      <c r="F724">
        <v>49.088420868</v>
      </c>
      <c r="G724">
        <v>1392.0634766000001</v>
      </c>
      <c r="H724">
        <v>1377.1356201000001</v>
      </c>
      <c r="I724">
        <v>1286.925293</v>
      </c>
      <c r="J724">
        <v>1267.9278564000001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371.62125700000001</v>
      </c>
      <c r="B725" s="1">
        <f>DATE(2011,5,7) + TIME(14,54,36)</f>
        <v>40670.621249999997</v>
      </c>
      <c r="C725">
        <v>80</v>
      </c>
      <c r="D725">
        <v>79.929138183999996</v>
      </c>
      <c r="E725">
        <v>50</v>
      </c>
      <c r="F725">
        <v>49.064090729</v>
      </c>
      <c r="G725">
        <v>1391.9760742000001</v>
      </c>
      <c r="H725">
        <v>1377.0592041</v>
      </c>
      <c r="I725">
        <v>1286.9193115</v>
      </c>
      <c r="J725">
        <v>1267.9200439000001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371.83486699999997</v>
      </c>
      <c r="B726" s="1">
        <f>DATE(2011,5,7) + TIME(20,2,12)</f>
        <v>40670.834861111114</v>
      </c>
      <c r="C726">
        <v>80</v>
      </c>
      <c r="D726">
        <v>79.930526732999994</v>
      </c>
      <c r="E726">
        <v>50</v>
      </c>
      <c r="F726">
        <v>49.039546967</v>
      </c>
      <c r="G726">
        <v>1391.8901367000001</v>
      </c>
      <c r="H726">
        <v>1376.9840088000001</v>
      </c>
      <c r="I726">
        <v>1286.9130858999999</v>
      </c>
      <c r="J726">
        <v>1267.9121094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372.051582</v>
      </c>
      <c r="B727" s="1">
        <f>DATE(2011,5,8) + TIME(1,14,16)</f>
        <v>40671.051574074074</v>
      </c>
      <c r="C727">
        <v>80</v>
      </c>
      <c r="D727">
        <v>79.931663513000004</v>
      </c>
      <c r="E727">
        <v>50</v>
      </c>
      <c r="F727">
        <v>49.014751433999997</v>
      </c>
      <c r="G727">
        <v>1391.8055420000001</v>
      </c>
      <c r="H727">
        <v>1376.9100341999999</v>
      </c>
      <c r="I727">
        <v>1286.9069824000001</v>
      </c>
      <c r="J727">
        <v>1267.9040527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372.27177899999998</v>
      </c>
      <c r="B728" s="1">
        <f>DATE(2011,5,8) + TIME(6,31,21)</f>
        <v>40671.271770833337</v>
      </c>
      <c r="C728">
        <v>80</v>
      </c>
      <c r="D728">
        <v>79.932586670000006</v>
      </c>
      <c r="E728">
        <v>50</v>
      </c>
      <c r="F728">
        <v>48.989662170000003</v>
      </c>
      <c r="G728">
        <v>1391.7219238</v>
      </c>
      <c r="H728">
        <v>1376.8370361</v>
      </c>
      <c r="I728">
        <v>1286.9006348</v>
      </c>
      <c r="J728">
        <v>1267.895874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372.49593900000002</v>
      </c>
      <c r="B729" s="1">
        <f>DATE(2011,5,8) + TIME(11,54,9)</f>
        <v>40671.495937500003</v>
      </c>
      <c r="C729">
        <v>80</v>
      </c>
      <c r="D729">
        <v>79.933349609000004</v>
      </c>
      <c r="E729">
        <v>50</v>
      </c>
      <c r="F729">
        <v>48.964248656999999</v>
      </c>
      <c r="G729">
        <v>1391.6391602000001</v>
      </c>
      <c r="H729">
        <v>1376.7648925999999</v>
      </c>
      <c r="I729">
        <v>1286.8942870999999</v>
      </c>
      <c r="J729">
        <v>1267.8875731999999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372.72457100000003</v>
      </c>
      <c r="B730" s="1">
        <f>DATE(2011,5,8) + TIME(17,23,22)</f>
        <v>40671.724560185183</v>
      </c>
      <c r="C730">
        <v>80</v>
      </c>
      <c r="D730">
        <v>79.933975219999994</v>
      </c>
      <c r="E730">
        <v>50</v>
      </c>
      <c r="F730">
        <v>48.938457489000001</v>
      </c>
      <c r="G730">
        <v>1391.5570068</v>
      </c>
      <c r="H730">
        <v>1376.6932373</v>
      </c>
      <c r="I730">
        <v>1286.8876952999999</v>
      </c>
      <c r="J730">
        <v>1267.8791504000001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372.95821599999999</v>
      </c>
      <c r="B731" s="1">
        <f>DATE(2011,5,8) + TIME(22,59,49)</f>
        <v>40671.95820601852</v>
      </c>
      <c r="C731">
        <v>80</v>
      </c>
      <c r="D731">
        <v>79.934494018999999</v>
      </c>
      <c r="E731">
        <v>50</v>
      </c>
      <c r="F731">
        <v>48.912242888999998</v>
      </c>
      <c r="G731">
        <v>1391.4753418</v>
      </c>
      <c r="H731">
        <v>1376.6220702999999</v>
      </c>
      <c r="I731">
        <v>1286.8811035000001</v>
      </c>
      <c r="J731">
        <v>1267.8704834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373.19745699999999</v>
      </c>
      <c r="B732" s="1">
        <f>DATE(2011,5,9) + TIME(4,44,20)</f>
        <v>40672.197453703702</v>
      </c>
      <c r="C732">
        <v>80</v>
      </c>
      <c r="D732">
        <v>79.934928893999995</v>
      </c>
      <c r="E732">
        <v>50</v>
      </c>
      <c r="F732">
        <v>48.885551452999998</v>
      </c>
      <c r="G732">
        <v>1391.3939209</v>
      </c>
      <c r="H732">
        <v>1376.5512695</v>
      </c>
      <c r="I732">
        <v>1286.8742675999999</v>
      </c>
      <c r="J732">
        <v>1267.8616943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373.44292899999999</v>
      </c>
      <c r="B733" s="1">
        <f>DATE(2011,5,9) + TIME(10,37,49)</f>
        <v>40672.442928240744</v>
      </c>
      <c r="C733">
        <v>80</v>
      </c>
      <c r="D733">
        <v>79.935287475999999</v>
      </c>
      <c r="E733">
        <v>50</v>
      </c>
      <c r="F733">
        <v>48.858325958000002</v>
      </c>
      <c r="G733">
        <v>1391.3126221</v>
      </c>
      <c r="H733">
        <v>1376.4805908000001</v>
      </c>
      <c r="I733">
        <v>1286.8673096</v>
      </c>
      <c r="J733">
        <v>1267.8526611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373.69533100000001</v>
      </c>
      <c r="B734" s="1">
        <f>DATE(2011,5,9) + TIME(16,41,16)</f>
        <v>40672.695324074077</v>
      </c>
      <c r="C734">
        <v>80</v>
      </c>
      <c r="D734">
        <v>79.935592650999993</v>
      </c>
      <c r="E734">
        <v>50</v>
      </c>
      <c r="F734">
        <v>48.830501556000002</v>
      </c>
      <c r="G734">
        <v>1391.2313231999999</v>
      </c>
      <c r="H734">
        <v>1376.4099120999999</v>
      </c>
      <c r="I734">
        <v>1286.8601074000001</v>
      </c>
      <c r="J734">
        <v>1267.8433838000001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373.95543800000002</v>
      </c>
      <c r="B735" s="1">
        <f>DATE(2011,5,9) + TIME(22,55,49)</f>
        <v>40672.955428240741</v>
      </c>
      <c r="C735">
        <v>80</v>
      </c>
      <c r="D735">
        <v>79.935844420999999</v>
      </c>
      <c r="E735">
        <v>50</v>
      </c>
      <c r="F735">
        <v>48.802005768000001</v>
      </c>
      <c r="G735">
        <v>1391.1496582</v>
      </c>
      <c r="H735">
        <v>1376.3391113</v>
      </c>
      <c r="I735">
        <v>1286.8526611</v>
      </c>
      <c r="J735">
        <v>1267.8337402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374.22411499999998</v>
      </c>
      <c r="B736" s="1">
        <f>DATE(2011,5,10) + TIME(5,22,43)</f>
        <v>40673.224108796298</v>
      </c>
      <c r="C736">
        <v>80</v>
      </c>
      <c r="D736">
        <v>79.936065674000005</v>
      </c>
      <c r="E736">
        <v>50</v>
      </c>
      <c r="F736">
        <v>48.772766113000003</v>
      </c>
      <c r="G736">
        <v>1391.0675048999999</v>
      </c>
      <c r="H736">
        <v>1376.2679443</v>
      </c>
      <c r="I736">
        <v>1286.8450928</v>
      </c>
      <c r="J736">
        <v>1267.8238524999999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374.50250199999999</v>
      </c>
      <c r="B737" s="1">
        <f>DATE(2011,5,10) + TIME(12,3,36)</f>
        <v>40673.502500000002</v>
      </c>
      <c r="C737">
        <v>80</v>
      </c>
      <c r="D737">
        <v>79.936248778999996</v>
      </c>
      <c r="E737">
        <v>50</v>
      </c>
      <c r="F737">
        <v>48.742675781000003</v>
      </c>
      <c r="G737">
        <v>1390.9847411999999</v>
      </c>
      <c r="H737">
        <v>1376.1962891000001</v>
      </c>
      <c r="I737">
        <v>1286.8371582</v>
      </c>
      <c r="J737">
        <v>1267.8137207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374.79154499999999</v>
      </c>
      <c r="B738" s="1">
        <f>DATE(2011,5,10) + TIME(18,59,49)</f>
        <v>40673.791539351849</v>
      </c>
      <c r="C738">
        <v>80</v>
      </c>
      <c r="D738">
        <v>79.936401367000002</v>
      </c>
      <c r="E738">
        <v>50</v>
      </c>
      <c r="F738">
        <v>48.711654662999997</v>
      </c>
      <c r="G738">
        <v>1390.9011230000001</v>
      </c>
      <c r="H738">
        <v>1376.1239014</v>
      </c>
      <c r="I738">
        <v>1286.8289795000001</v>
      </c>
      <c r="J738">
        <v>1267.8031006000001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375.08849099999998</v>
      </c>
      <c r="B739" s="1">
        <f>DATE(2011,5,11) + TIME(2,7,25)</f>
        <v>40674.088483796295</v>
      </c>
      <c r="C739">
        <v>80</v>
      </c>
      <c r="D739">
        <v>79.936531067000004</v>
      </c>
      <c r="E739">
        <v>50</v>
      </c>
      <c r="F739">
        <v>48.679904938</v>
      </c>
      <c r="G739">
        <v>1390.8162841999999</v>
      </c>
      <c r="H739">
        <v>1376.0505370999999</v>
      </c>
      <c r="I739">
        <v>1286.8204346</v>
      </c>
      <c r="J739">
        <v>1267.7921143000001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375.39428400000003</v>
      </c>
      <c r="B740" s="1">
        <f>DATE(2011,5,11) + TIME(9,27,46)</f>
        <v>40674.394282407404</v>
      </c>
      <c r="C740">
        <v>80</v>
      </c>
      <c r="D740">
        <v>79.936637877999999</v>
      </c>
      <c r="E740">
        <v>50</v>
      </c>
      <c r="F740">
        <v>48.647365569999998</v>
      </c>
      <c r="G740">
        <v>1390.7313231999999</v>
      </c>
      <c r="H740">
        <v>1375.9771728999999</v>
      </c>
      <c r="I740">
        <v>1286.8116454999999</v>
      </c>
      <c r="J740">
        <v>1267.7807617000001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375.70661999999999</v>
      </c>
      <c r="B741" s="1">
        <f>DATE(2011,5,11) + TIME(16,57,31)</f>
        <v>40674.706608796296</v>
      </c>
      <c r="C741">
        <v>80</v>
      </c>
      <c r="D741">
        <v>79.936729431000003</v>
      </c>
      <c r="E741">
        <v>50</v>
      </c>
      <c r="F741">
        <v>48.614215850999997</v>
      </c>
      <c r="G741">
        <v>1390.6459961</v>
      </c>
      <c r="H741">
        <v>1375.9035644999999</v>
      </c>
      <c r="I741">
        <v>1286.8024902</v>
      </c>
      <c r="J741">
        <v>1267.7691649999999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376.02092299999998</v>
      </c>
      <c r="B742" s="1">
        <f>DATE(2011,5,12) + TIME(0,30,7)</f>
        <v>40675.020914351851</v>
      </c>
      <c r="C742">
        <v>80</v>
      </c>
      <c r="D742">
        <v>79.936798096000004</v>
      </c>
      <c r="E742">
        <v>50</v>
      </c>
      <c r="F742">
        <v>48.580833435000002</v>
      </c>
      <c r="G742">
        <v>1390.5609131000001</v>
      </c>
      <c r="H742">
        <v>1375.8302002</v>
      </c>
      <c r="I742">
        <v>1286.7930908000001</v>
      </c>
      <c r="J742">
        <v>1267.7572021000001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376.33793500000002</v>
      </c>
      <c r="B743" s="1">
        <f>DATE(2011,5,12) + TIME(8,6,37)</f>
        <v>40675.33792824074</v>
      </c>
      <c r="C743">
        <v>80</v>
      </c>
      <c r="D743">
        <v>79.936859131000006</v>
      </c>
      <c r="E743">
        <v>50</v>
      </c>
      <c r="F743">
        <v>48.547206879000001</v>
      </c>
      <c r="G743">
        <v>1390.4774170000001</v>
      </c>
      <c r="H743">
        <v>1375.7581786999999</v>
      </c>
      <c r="I743">
        <v>1286.7836914</v>
      </c>
      <c r="J743">
        <v>1267.7452393000001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376.65838300000001</v>
      </c>
      <c r="B744" s="1">
        <f>DATE(2011,5,12) + TIME(15,48,4)</f>
        <v>40675.658379629633</v>
      </c>
      <c r="C744">
        <v>80</v>
      </c>
      <c r="D744">
        <v>79.936904906999999</v>
      </c>
      <c r="E744">
        <v>50</v>
      </c>
      <c r="F744">
        <v>48.513309479</v>
      </c>
      <c r="G744">
        <v>1390.3951416</v>
      </c>
      <c r="H744">
        <v>1375.6873779</v>
      </c>
      <c r="I744">
        <v>1286.7741699000001</v>
      </c>
      <c r="J744">
        <v>1267.7331543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376.98304100000001</v>
      </c>
      <c r="B745" s="1">
        <f>DATE(2011,5,12) + TIME(23,35,34)</f>
        <v>40675.983032407406</v>
      </c>
      <c r="C745">
        <v>80</v>
      </c>
      <c r="D745">
        <v>79.936943053999997</v>
      </c>
      <c r="E745">
        <v>50</v>
      </c>
      <c r="F745">
        <v>48.479103088000002</v>
      </c>
      <c r="G745">
        <v>1390.3138428</v>
      </c>
      <c r="H745">
        <v>1375.6175536999999</v>
      </c>
      <c r="I745">
        <v>1286.7645264</v>
      </c>
      <c r="J745">
        <v>1267.7208252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377.31269500000002</v>
      </c>
      <c r="B746" s="1">
        <f>DATE(2011,5,13) + TIME(7,30,16)</f>
        <v>40676.312685185185</v>
      </c>
      <c r="C746">
        <v>80</v>
      </c>
      <c r="D746">
        <v>79.936973571999999</v>
      </c>
      <c r="E746">
        <v>50</v>
      </c>
      <c r="F746">
        <v>48.444538115999997</v>
      </c>
      <c r="G746">
        <v>1390.2333983999999</v>
      </c>
      <c r="H746">
        <v>1375.5483397999999</v>
      </c>
      <c r="I746">
        <v>1286.7547606999999</v>
      </c>
      <c r="J746">
        <v>1267.708374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377.64644099999998</v>
      </c>
      <c r="B747" s="1">
        <f>DATE(2011,5,13) + TIME(15,30,52)</f>
        <v>40676.646435185183</v>
      </c>
      <c r="C747">
        <v>80</v>
      </c>
      <c r="D747">
        <v>79.936996460000003</v>
      </c>
      <c r="E747">
        <v>50</v>
      </c>
      <c r="F747">
        <v>48.409683227999999</v>
      </c>
      <c r="G747">
        <v>1390.1535644999999</v>
      </c>
      <c r="H747">
        <v>1375.4797363</v>
      </c>
      <c r="I747">
        <v>1286.744751</v>
      </c>
      <c r="J747">
        <v>1267.6956786999999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377.98453899999998</v>
      </c>
      <c r="B748" s="1">
        <f>DATE(2011,5,13) + TIME(23,37,44)</f>
        <v>40676.984537037039</v>
      </c>
      <c r="C748">
        <v>80</v>
      </c>
      <c r="D748">
        <v>79.937011718999997</v>
      </c>
      <c r="E748">
        <v>50</v>
      </c>
      <c r="F748">
        <v>48.374526977999999</v>
      </c>
      <c r="G748">
        <v>1390.0744629000001</v>
      </c>
      <c r="H748">
        <v>1375.4118652</v>
      </c>
      <c r="I748">
        <v>1286.7346190999999</v>
      </c>
      <c r="J748">
        <v>1267.6827393000001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378.32775800000002</v>
      </c>
      <c r="B749" s="1">
        <f>DATE(2011,5,14) + TIME(7,51,58)</f>
        <v>40677.32775462963</v>
      </c>
      <c r="C749">
        <v>80</v>
      </c>
      <c r="D749">
        <v>79.937019348000007</v>
      </c>
      <c r="E749">
        <v>50</v>
      </c>
      <c r="F749">
        <v>48.339019774999997</v>
      </c>
      <c r="G749">
        <v>1389.9960937999999</v>
      </c>
      <c r="H749">
        <v>1375.3447266000001</v>
      </c>
      <c r="I749">
        <v>1286.7243652</v>
      </c>
      <c r="J749">
        <v>1267.6696777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378.67689200000001</v>
      </c>
      <c r="B750" s="1">
        <f>DATE(2011,5,14) + TIME(16,14,43)</f>
        <v>40677.676886574074</v>
      </c>
      <c r="C750">
        <v>80</v>
      </c>
      <c r="D750">
        <v>79.937026978000006</v>
      </c>
      <c r="E750">
        <v>50</v>
      </c>
      <c r="F750">
        <v>48.303104400999999</v>
      </c>
      <c r="G750">
        <v>1389.9183350000001</v>
      </c>
      <c r="H750">
        <v>1375.2779541</v>
      </c>
      <c r="I750">
        <v>1286.7139893000001</v>
      </c>
      <c r="J750">
        <v>1267.6563721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379.03278599999999</v>
      </c>
      <c r="B751" s="1">
        <f>DATE(2011,5,15) + TIME(0,47,12)</f>
        <v>40678.032777777778</v>
      </c>
      <c r="C751">
        <v>80</v>
      </c>
      <c r="D751">
        <v>79.937026978000006</v>
      </c>
      <c r="E751">
        <v>50</v>
      </c>
      <c r="F751">
        <v>48.266708373999997</v>
      </c>
      <c r="G751">
        <v>1389.8408202999999</v>
      </c>
      <c r="H751">
        <v>1375.2115478999999</v>
      </c>
      <c r="I751">
        <v>1286.7033690999999</v>
      </c>
      <c r="J751">
        <v>1267.6428223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379.39634899999999</v>
      </c>
      <c r="B752" s="1">
        <f>DATE(2011,5,15) + TIME(9,30,44)</f>
        <v>40678.39634259259</v>
      </c>
      <c r="C752">
        <v>80</v>
      </c>
      <c r="D752">
        <v>79.937026978000006</v>
      </c>
      <c r="E752">
        <v>50</v>
      </c>
      <c r="F752">
        <v>48.229766845999997</v>
      </c>
      <c r="G752">
        <v>1389.7634277</v>
      </c>
      <c r="H752">
        <v>1375.1453856999999</v>
      </c>
      <c r="I752">
        <v>1286.6925048999999</v>
      </c>
      <c r="J752">
        <v>1267.6290283000001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379.76855999999998</v>
      </c>
      <c r="B753" s="1">
        <f>DATE(2011,5,15) + TIME(18,26,43)</f>
        <v>40678.768553240741</v>
      </c>
      <c r="C753">
        <v>80</v>
      </c>
      <c r="D753">
        <v>79.937026978000006</v>
      </c>
      <c r="E753">
        <v>50</v>
      </c>
      <c r="F753">
        <v>48.192192077999998</v>
      </c>
      <c r="G753">
        <v>1389.6861572</v>
      </c>
      <c r="H753">
        <v>1375.0792236</v>
      </c>
      <c r="I753">
        <v>1286.6813964999999</v>
      </c>
      <c r="J753">
        <v>1267.6148682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380.15049599999998</v>
      </c>
      <c r="B754" s="1">
        <f>DATE(2011,5,16) + TIME(3,36,42)</f>
        <v>40679.15048611111</v>
      </c>
      <c r="C754">
        <v>80</v>
      </c>
      <c r="D754">
        <v>79.937019348000007</v>
      </c>
      <c r="E754">
        <v>50</v>
      </c>
      <c r="F754">
        <v>48.153903960999997</v>
      </c>
      <c r="G754">
        <v>1389.6086425999999</v>
      </c>
      <c r="H754">
        <v>1375.0129394999999</v>
      </c>
      <c r="I754">
        <v>1286.6699219</v>
      </c>
      <c r="J754">
        <v>1267.6003418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380.54334799999998</v>
      </c>
      <c r="B755" s="1">
        <f>DATE(2011,5,16) + TIME(13,2,25)</f>
        <v>40679.543344907404</v>
      </c>
      <c r="C755">
        <v>80</v>
      </c>
      <c r="D755">
        <v>79.937019348000007</v>
      </c>
      <c r="E755">
        <v>50</v>
      </c>
      <c r="F755">
        <v>48.114795684999997</v>
      </c>
      <c r="G755">
        <v>1389.5306396000001</v>
      </c>
      <c r="H755">
        <v>1374.9462891000001</v>
      </c>
      <c r="I755">
        <v>1286.6582031</v>
      </c>
      <c r="J755">
        <v>1267.5853271000001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380.94834400000002</v>
      </c>
      <c r="B756" s="1">
        <f>DATE(2011,5,16) + TIME(22,45,36)</f>
        <v>40679.948333333334</v>
      </c>
      <c r="C756">
        <v>80</v>
      </c>
      <c r="D756">
        <v>79.937011718999997</v>
      </c>
      <c r="E756">
        <v>50</v>
      </c>
      <c r="F756">
        <v>48.074775696000003</v>
      </c>
      <c r="G756">
        <v>1389.4522704999999</v>
      </c>
      <c r="H756">
        <v>1374.8792725000001</v>
      </c>
      <c r="I756">
        <v>1286.6461182</v>
      </c>
      <c r="J756">
        <v>1267.5699463000001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381.36570999999998</v>
      </c>
      <c r="B757" s="1">
        <f>DATE(2011,5,17) + TIME(8,46,37)</f>
        <v>40680.365706018521</v>
      </c>
      <c r="C757">
        <v>80</v>
      </c>
      <c r="D757">
        <v>79.936996460000003</v>
      </c>
      <c r="E757">
        <v>50</v>
      </c>
      <c r="F757">
        <v>48.033798218000001</v>
      </c>
      <c r="G757">
        <v>1389.3730469</v>
      </c>
      <c r="H757">
        <v>1374.8116454999999</v>
      </c>
      <c r="I757">
        <v>1286.6335449000001</v>
      </c>
      <c r="J757">
        <v>1267.5539550999999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381.79044399999998</v>
      </c>
      <c r="B758" s="1">
        <f>DATE(2011,5,17) + TIME(18,58,14)</f>
        <v>40680.790439814817</v>
      </c>
      <c r="C758">
        <v>80</v>
      </c>
      <c r="D758">
        <v>79.936988830999994</v>
      </c>
      <c r="E758">
        <v>50</v>
      </c>
      <c r="F758">
        <v>47.9921875</v>
      </c>
      <c r="G758">
        <v>1389.2930908000001</v>
      </c>
      <c r="H758">
        <v>1374.7434082</v>
      </c>
      <c r="I758">
        <v>1286.6204834</v>
      </c>
      <c r="J758">
        <v>1267.5375977000001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382.216613</v>
      </c>
      <c r="B759" s="1">
        <f>DATE(2011,5,18) + TIME(5,11,55)</f>
        <v>40681.216608796298</v>
      </c>
      <c r="C759">
        <v>80</v>
      </c>
      <c r="D759">
        <v>79.936981200999995</v>
      </c>
      <c r="E759">
        <v>50</v>
      </c>
      <c r="F759">
        <v>47.950366973999998</v>
      </c>
      <c r="G759">
        <v>1389.2133789</v>
      </c>
      <c r="H759">
        <v>1374.6754149999999</v>
      </c>
      <c r="I759">
        <v>1286.6071777</v>
      </c>
      <c r="J759">
        <v>1267.5207519999999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382.64541400000002</v>
      </c>
      <c r="B760" s="1">
        <f>DATE(2011,5,18) + TIME(15,29,23)</f>
        <v>40681.645405092589</v>
      </c>
      <c r="C760">
        <v>80</v>
      </c>
      <c r="D760">
        <v>79.936965942</v>
      </c>
      <c r="E760">
        <v>50</v>
      </c>
      <c r="F760">
        <v>47.908355712999999</v>
      </c>
      <c r="G760">
        <v>1389.1351318</v>
      </c>
      <c r="H760">
        <v>1374.6085204999999</v>
      </c>
      <c r="I760">
        <v>1286.59375</v>
      </c>
      <c r="J760">
        <v>1267.5037841999999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383.07772499999999</v>
      </c>
      <c r="B761" s="1">
        <f>DATE(2011,5,19) + TIME(1,51,55)</f>
        <v>40682.077719907407</v>
      </c>
      <c r="C761">
        <v>80</v>
      </c>
      <c r="D761">
        <v>79.936950683999996</v>
      </c>
      <c r="E761">
        <v>50</v>
      </c>
      <c r="F761">
        <v>47.866146088000001</v>
      </c>
      <c r="G761">
        <v>1389.0578613</v>
      </c>
      <c r="H761">
        <v>1374.5427245999999</v>
      </c>
      <c r="I761">
        <v>1286.5802002</v>
      </c>
      <c r="J761">
        <v>1267.4866943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383.514522</v>
      </c>
      <c r="B762" s="1">
        <f>DATE(2011,5,19) + TIME(12,20,54)</f>
        <v>40682.514513888891</v>
      </c>
      <c r="C762">
        <v>80</v>
      </c>
      <c r="D762">
        <v>79.936943053999997</v>
      </c>
      <c r="E762">
        <v>50</v>
      </c>
      <c r="F762">
        <v>47.823699951000002</v>
      </c>
      <c r="G762">
        <v>1388.9815673999999</v>
      </c>
      <c r="H762">
        <v>1374.4777832</v>
      </c>
      <c r="I762">
        <v>1286.5665283000001</v>
      </c>
      <c r="J762">
        <v>1267.4694824000001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383.95682199999999</v>
      </c>
      <c r="B763" s="1">
        <f>DATE(2011,5,19) + TIME(22,57,49)</f>
        <v>40682.956817129627</v>
      </c>
      <c r="C763">
        <v>80</v>
      </c>
      <c r="D763">
        <v>79.936927795000003</v>
      </c>
      <c r="E763">
        <v>50</v>
      </c>
      <c r="F763">
        <v>47.780956267999997</v>
      </c>
      <c r="G763">
        <v>1388.9060059000001</v>
      </c>
      <c r="H763">
        <v>1374.4133300999999</v>
      </c>
      <c r="I763">
        <v>1286.5526123</v>
      </c>
      <c r="J763">
        <v>1267.4519043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384.40567600000003</v>
      </c>
      <c r="B764" s="1">
        <f>DATE(2011,5,20) + TIME(9,44,10)</f>
        <v>40683.405671296299</v>
      </c>
      <c r="C764">
        <v>80</v>
      </c>
      <c r="D764">
        <v>79.936920165999993</v>
      </c>
      <c r="E764">
        <v>50</v>
      </c>
      <c r="F764">
        <v>47.737846374999997</v>
      </c>
      <c r="G764">
        <v>1388.8310547000001</v>
      </c>
      <c r="H764">
        <v>1374.3493652</v>
      </c>
      <c r="I764">
        <v>1286.5385742000001</v>
      </c>
      <c r="J764">
        <v>1267.434082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384.86218000000002</v>
      </c>
      <c r="B765" s="1">
        <f>DATE(2011,5,20) + TIME(20,41,32)</f>
        <v>40683.862175925926</v>
      </c>
      <c r="C765">
        <v>80</v>
      </c>
      <c r="D765">
        <v>79.936904906999999</v>
      </c>
      <c r="E765">
        <v>50</v>
      </c>
      <c r="F765">
        <v>47.694290160999998</v>
      </c>
      <c r="G765">
        <v>1388.7563477000001</v>
      </c>
      <c r="H765">
        <v>1374.2857666</v>
      </c>
      <c r="I765">
        <v>1286.5241699000001</v>
      </c>
      <c r="J765">
        <v>1267.4158935999999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385.32750299999998</v>
      </c>
      <c r="B766" s="1">
        <f>DATE(2011,5,21) + TIME(7,51,36)</f>
        <v>40684.327499999999</v>
      </c>
      <c r="C766">
        <v>80</v>
      </c>
      <c r="D766">
        <v>79.936897278000004</v>
      </c>
      <c r="E766">
        <v>50</v>
      </c>
      <c r="F766">
        <v>47.650199890000003</v>
      </c>
      <c r="G766">
        <v>1388.6817627</v>
      </c>
      <c r="H766">
        <v>1374.2222899999999</v>
      </c>
      <c r="I766">
        <v>1286.5095214999999</v>
      </c>
      <c r="J766">
        <v>1267.3973389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385.80197700000002</v>
      </c>
      <c r="B767" s="1">
        <f>DATE(2011,5,21) + TIME(19,14,50)</f>
        <v>40684.80196759259</v>
      </c>
      <c r="C767">
        <v>80</v>
      </c>
      <c r="D767">
        <v>79.936882018999995</v>
      </c>
      <c r="E767">
        <v>50</v>
      </c>
      <c r="F767">
        <v>47.605529785000002</v>
      </c>
      <c r="G767">
        <v>1388.6072998</v>
      </c>
      <c r="H767">
        <v>1374.1589355000001</v>
      </c>
      <c r="I767">
        <v>1286.4945068</v>
      </c>
      <c r="J767">
        <v>1267.3782959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386.28359</v>
      </c>
      <c r="B768" s="1">
        <f>DATE(2011,5,22) + TIME(6,48,22)</f>
        <v>40685.283587962964</v>
      </c>
      <c r="C768">
        <v>80</v>
      </c>
      <c r="D768">
        <v>79.93687439</v>
      </c>
      <c r="E768">
        <v>50</v>
      </c>
      <c r="F768">
        <v>47.560394287000001</v>
      </c>
      <c r="G768">
        <v>1388.5327147999999</v>
      </c>
      <c r="H768">
        <v>1374.0954589999999</v>
      </c>
      <c r="I768">
        <v>1286.479126</v>
      </c>
      <c r="J768">
        <v>1267.3588867000001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386.77350999999999</v>
      </c>
      <c r="B769" s="1">
        <f>DATE(2011,5,22) + TIME(18,33,51)</f>
        <v>40685.773506944446</v>
      </c>
      <c r="C769">
        <v>80</v>
      </c>
      <c r="D769">
        <v>79.936859131000006</v>
      </c>
      <c r="E769">
        <v>50</v>
      </c>
      <c r="F769">
        <v>47.514728546000001</v>
      </c>
      <c r="G769">
        <v>1388.458374</v>
      </c>
      <c r="H769">
        <v>1374.0322266000001</v>
      </c>
      <c r="I769">
        <v>1286.463501</v>
      </c>
      <c r="J769">
        <v>1267.3391113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387.272943</v>
      </c>
      <c r="B770" s="1">
        <f>DATE(2011,5,23) + TIME(6,33,2)</f>
        <v>40686.272939814815</v>
      </c>
      <c r="C770">
        <v>80</v>
      </c>
      <c r="D770">
        <v>79.936851501000007</v>
      </c>
      <c r="E770">
        <v>50</v>
      </c>
      <c r="F770">
        <v>47.468467711999999</v>
      </c>
      <c r="G770">
        <v>1388.3841553</v>
      </c>
      <c r="H770">
        <v>1373.9691161999999</v>
      </c>
      <c r="I770">
        <v>1286.4473877</v>
      </c>
      <c r="J770">
        <v>1267.3188477000001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387.78319299999998</v>
      </c>
      <c r="B771" s="1">
        <f>DATE(2011,5,23) + TIME(18,47,47)</f>
        <v>40686.783182870371</v>
      </c>
      <c r="C771">
        <v>80</v>
      </c>
      <c r="D771">
        <v>79.936843871999997</v>
      </c>
      <c r="E771">
        <v>50</v>
      </c>
      <c r="F771">
        <v>47.421516418000003</v>
      </c>
      <c r="G771">
        <v>1388.3099365</v>
      </c>
      <c r="H771">
        <v>1373.9058838000001</v>
      </c>
      <c r="I771">
        <v>1286.4310303</v>
      </c>
      <c r="J771">
        <v>1267.2980957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388.30568299999999</v>
      </c>
      <c r="B772" s="1">
        <f>DATE(2011,5,24) + TIME(7,20,11)</f>
        <v>40687.30568287037</v>
      </c>
      <c r="C772">
        <v>80</v>
      </c>
      <c r="D772">
        <v>79.936836243000002</v>
      </c>
      <c r="E772">
        <v>50</v>
      </c>
      <c r="F772">
        <v>47.373783111999998</v>
      </c>
      <c r="G772">
        <v>1388.2354736</v>
      </c>
      <c r="H772">
        <v>1373.8426514</v>
      </c>
      <c r="I772">
        <v>1286.4141846</v>
      </c>
      <c r="J772">
        <v>1267.2767334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388.84197699999999</v>
      </c>
      <c r="B773" s="1">
        <f>DATE(2011,5,24) + TIME(20,12,26)</f>
        <v>40687.841967592591</v>
      </c>
      <c r="C773">
        <v>80</v>
      </c>
      <c r="D773">
        <v>79.936828613000003</v>
      </c>
      <c r="E773">
        <v>50</v>
      </c>
      <c r="F773">
        <v>47.325145720999998</v>
      </c>
      <c r="G773">
        <v>1388.1606445</v>
      </c>
      <c r="H773">
        <v>1373.7789307</v>
      </c>
      <c r="I773">
        <v>1286.3968506000001</v>
      </c>
      <c r="J773">
        <v>1267.2547606999999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389.38551100000001</v>
      </c>
      <c r="B774" s="1">
        <f>DATE(2011,5,25) + TIME(9,15,8)</f>
        <v>40688.385509259257</v>
      </c>
      <c r="C774">
        <v>80</v>
      </c>
      <c r="D774">
        <v>79.936820983999993</v>
      </c>
      <c r="E774">
        <v>50</v>
      </c>
      <c r="F774">
        <v>47.275943755999997</v>
      </c>
      <c r="G774">
        <v>1388.0852050999999</v>
      </c>
      <c r="H774">
        <v>1373.7148437999999</v>
      </c>
      <c r="I774">
        <v>1286.3789062000001</v>
      </c>
      <c r="J774">
        <v>1267.2321777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389.93133799999998</v>
      </c>
      <c r="B775" s="1">
        <f>DATE(2011,5,25) + TIME(22,21,7)</f>
        <v>40688.931331018517</v>
      </c>
      <c r="C775">
        <v>80</v>
      </c>
      <c r="D775">
        <v>79.936813353999995</v>
      </c>
      <c r="E775">
        <v>50</v>
      </c>
      <c r="F775">
        <v>47.226512909</v>
      </c>
      <c r="G775">
        <v>1388.0102539</v>
      </c>
      <c r="H775">
        <v>1373.651001</v>
      </c>
      <c r="I775">
        <v>1286.3604736</v>
      </c>
      <c r="J775">
        <v>1267.2089844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390.48074200000002</v>
      </c>
      <c r="B776" s="1">
        <f>DATE(2011,5,26) + TIME(11,32,16)</f>
        <v>40689.480740740742</v>
      </c>
      <c r="C776">
        <v>80</v>
      </c>
      <c r="D776">
        <v>79.936805724999999</v>
      </c>
      <c r="E776">
        <v>50</v>
      </c>
      <c r="F776">
        <v>47.176895141999999</v>
      </c>
      <c r="G776">
        <v>1387.9361572</v>
      </c>
      <c r="H776">
        <v>1373.5880127</v>
      </c>
      <c r="I776">
        <v>1286.3420410000001</v>
      </c>
      <c r="J776">
        <v>1267.1856689000001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391.03491600000001</v>
      </c>
      <c r="B777" s="1">
        <f>DATE(2011,5,27) + TIME(0,50,16)</f>
        <v>40690.034907407404</v>
      </c>
      <c r="C777">
        <v>80</v>
      </c>
      <c r="D777">
        <v>79.936798096000004</v>
      </c>
      <c r="E777">
        <v>50</v>
      </c>
      <c r="F777">
        <v>47.127063751000001</v>
      </c>
      <c r="G777">
        <v>1387.8630370999999</v>
      </c>
      <c r="H777">
        <v>1373.5257568</v>
      </c>
      <c r="I777">
        <v>1286.3232422000001</v>
      </c>
      <c r="J777">
        <v>1267.1619873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391.59515699999997</v>
      </c>
      <c r="B778" s="1">
        <f>DATE(2011,5,27) + TIME(14,17,1)</f>
        <v>40690.595150462963</v>
      </c>
      <c r="C778">
        <v>80</v>
      </c>
      <c r="D778">
        <v>79.936798096000004</v>
      </c>
      <c r="E778">
        <v>50</v>
      </c>
      <c r="F778">
        <v>47.076972961000003</v>
      </c>
      <c r="G778">
        <v>1387.7905272999999</v>
      </c>
      <c r="H778">
        <v>1373.4641113</v>
      </c>
      <c r="I778">
        <v>1286.3043213000001</v>
      </c>
      <c r="J778">
        <v>1267.1379394999999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392.16279400000002</v>
      </c>
      <c r="B779" s="1">
        <f>DATE(2011,5,28) + TIME(3,54,25)</f>
        <v>40691.162789351853</v>
      </c>
      <c r="C779">
        <v>80</v>
      </c>
      <c r="D779">
        <v>79.936790466000005</v>
      </c>
      <c r="E779">
        <v>50</v>
      </c>
      <c r="F779">
        <v>47.026538848999998</v>
      </c>
      <c r="G779">
        <v>1387.7185059000001</v>
      </c>
      <c r="H779">
        <v>1373.402832</v>
      </c>
      <c r="I779">
        <v>1286.2849120999999</v>
      </c>
      <c r="J779">
        <v>1267.1134033000001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392.739214</v>
      </c>
      <c r="B780" s="1">
        <f>DATE(2011,5,28) + TIME(17,44,28)</f>
        <v>40691.739212962966</v>
      </c>
      <c r="C780">
        <v>80</v>
      </c>
      <c r="D780">
        <v>79.936790466000005</v>
      </c>
      <c r="E780">
        <v>50</v>
      </c>
      <c r="F780">
        <v>46.975669861</v>
      </c>
      <c r="G780">
        <v>1387.6467285000001</v>
      </c>
      <c r="H780">
        <v>1373.3419189000001</v>
      </c>
      <c r="I780">
        <v>1286.2652588000001</v>
      </c>
      <c r="J780">
        <v>1267.0883789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393.32587899999999</v>
      </c>
      <c r="B781" s="1">
        <f>DATE(2011,5,29) + TIME(7,49,15)</f>
        <v>40692.325868055559</v>
      </c>
      <c r="C781">
        <v>80</v>
      </c>
      <c r="D781">
        <v>79.936782836999996</v>
      </c>
      <c r="E781">
        <v>50</v>
      </c>
      <c r="F781">
        <v>46.924255371000001</v>
      </c>
      <c r="G781">
        <v>1387.5751952999999</v>
      </c>
      <c r="H781">
        <v>1373.2810059000001</v>
      </c>
      <c r="I781">
        <v>1286.2451172000001</v>
      </c>
      <c r="J781">
        <v>1267.0628661999999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393.92435399999999</v>
      </c>
      <c r="B782" s="1">
        <f>DATE(2011,5,29) + TIME(22,11,4)</f>
        <v>40692.924351851849</v>
      </c>
      <c r="C782">
        <v>80</v>
      </c>
      <c r="D782">
        <v>79.936782836999996</v>
      </c>
      <c r="E782">
        <v>50</v>
      </c>
      <c r="F782">
        <v>46.872180939000003</v>
      </c>
      <c r="G782">
        <v>1387.5035399999999</v>
      </c>
      <c r="H782">
        <v>1373.2200928</v>
      </c>
      <c r="I782">
        <v>1286.2243652</v>
      </c>
      <c r="J782">
        <v>1267.036499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394.53631300000001</v>
      </c>
      <c r="B783" s="1">
        <f>DATE(2011,5,30) + TIME(12,52,17)</f>
        <v>40693.536307870374</v>
      </c>
      <c r="C783">
        <v>80</v>
      </c>
      <c r="D783">
        <v>79.936782836999996</v>
      </c>
      <c r="E783">
        <v>50</v>
      </c>
      <c r="F783">
        <v>46.819324493000003</v>
      </c>
      <c r="G783">
        <v>1387.4316406</v>
      </c>
      <c r="H783">
        <v>1373.1589355000001</v>
      </c>
      <c r="I783">
        <v>1286.203125</v>
      </c>
      <c r="J783">
        <v>1267.0095214999999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395.16221400000001</v>
      </c>
      <c r="B784" s="1">
        <f>DATE(2011,5,31) + TIME(3,53,35)</f>
        <v>40694.162210648145</v>
      </c>
      <c r="C784">
        <v>80</v>
      </c>
      <c r="D784">
        <v>79.936782836999996</v>
      </c>
      <c r="E784">
        <v>50</v>
      </c>
      <c r="F784">
        <v>46.765613555999998</v>
      </c>
      <c r="G784">
        <v>1387.3594971</v>
      </c>
      <c r="H784">
        <v>1373.0974120999999</v>
      </c>
      <c r="I784">
        <v>1286.1812743999999</v>
      </c>
      <c r="J784">
        <v>1266.9816894999999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395.79823399999998</v>
      </c>
      <c r="B785" s="1">
        <f>DATE(2011,5,31) + TIME(19,9,27)</f>
        <v>40694.798229166663</v>
      </c>
      <c r="C785">
        <v>80</v>
      </c>
      <c r="D785">
        <v>79.936782836999996</v>
      </c>
      <c r="E785">
        <v>50</v>
      </c>
      <c r="F785">
        <v>46.711212158000002</v>
      </c>
      <c r="G785">
        <v>1387.2868652</v>
      </c>
      <c r="H785">
        <v>1373.0356445</v>
      </c>
      <c r="I785">
        <v>1286.1586914</v>
      </c>
      <c r="J785">
        <v>1266.9528809000001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396</v>
      </c>
      <c r="B786" s="1">
        <f>DATE(2011,6,1) + TIME(0,0,0)</f>
        <v>40695</v>
      </c>
      <c r="C786">
        <v>80</v>
      </c>
      <c r="D786">
        <v>79.936775208</v>
      </c>
      <c r="E786">
        <v>50</v>
      </c>
      <c r="F786">
        <v>46.686988831000001</v>
      </c>
      <c r="G786">
        <v>1387.213501</v>
      </c>
      <c r="H786">
        <v>1372.9731445</v>
      </c>
      <c r="I786">
        <v>1286.1319579999999</v>
      </c>
      <c r="J786">
        <v>1266.9261475000001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396.647808</v>
      </c>
      <c r="B787" s="1">
        <f>DATE(2011,6,1) + TIME(15,32,50)</f>
        <v>40695.647800925923</v>
      </c>
      <c r="C787">
        <v>80</v>
      </c>
      <c r="D787">
        <v>79.936782836999996</v>
      </c>
      <c r="E787">
        <v>50</v>
      </c>
      <c r="F787">
        <v>46.634777069000002</v>
      </c>
      <c r="G787">
        <v>1387.1914062000001</v>
      </c>
      <c r="H787">
        <v>1372.9544678</v>
      </c>
      <c r="I787">
        <v>1286.128418</v>
      </c>
      <c r="J787">
        <v>1266.9134521000001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397.31384200000002</v>
      </c>
      <c r="B788" s="1">
        <f>DATE(2011,6,2) + TIME(7,31,55)</f>
        <v>40696.313831018517</v>
      </c>
      <c r="C788">
        <v>80</v>
      </c>
      <c r="D788">
        <v>79.936782836999996</v>
      </c>
      <c r="E788">
        <v>50</v>
      </c>
      <c r="F788">
        <v>46.580337524000001</v>
      </c>
      <c r="G788">
        <v>1387.1192627</v>
      </c>
      <c r="H788">
        <v>1372.8929443</v>
      </c>
      <c r="I788">
        <v>1286.1044922000001</v>
      </c>
      <c r="J788">
        <v>1266.8831786999999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397.98857400000003</v>
      </c>
      <c r="B789" s="1">
        <f>DATE(2011,6,2) + TIME(23,43,32)</f>
        <v>40696.988564814812</v>
      </c>
      <c r="C789">
        <v>80</v>
      </c>
      <c r="D789">
        <v>79.936790466000005</v>
      </c>
      <c r="E789">
        <v>50</v>
      </c>
      <c r="F789">
        <v>46.524509430000002</v>
      </c>
      <c r="G789">
        <v>1387.0461425999999</v>
      </c>
      <c r="H789">
        <v>1372.8306885</v>
      </c>
      <c r="I789">
        <v>1286.0795897999999</v>
      </c>
      <c r="J789">
        <v>1266.8518065999999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398.66573499999998</v>
      </c>
      <c r="B790" s="1">
        <f>DATE(2011,6,3) + TIME(15,58,39)</f>
        <v>40697.665729166663</v>
      </c>
      <c r="C790">
        <v>80</v>
      </c>
      <c r="D790">
        <v>79.936798096000004</v>
      </c>
      <c r="E790">
        <v>50</v>
      </c>
      <c r="F790">
        <v>46.467979431000003</v>
      </c>
      <c r="G790">
        <v>1386.9732666</v>
      </c>
      <c r="H790">
        <v>1372.7686768000001</v>
      </c>
      <c r="I790">
        <v>1286.0541992000001</v>
      </c>
      <c r="J790">
        <v>1266.8194579999999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399.34700600000002</v>
      </c>
      <c r="B791" s="1">
        <f>DATE(2011,6,4) + TIME(8,19,41)</f>
        <v>40698.347002314818</v>
      </c>
      <c r="C791">
        <v>80</v>
      </c>
      <c r="D791">
        <v>79.936798096000004</v>
      </c>
      <c r="E791">
        <v>50</v>
      </c>
      <c r="F791">
        <v>46.410995483000001</v>
      </c>
      <c r="G791">
        <v>1386.9013672000001</v>
      </c>
      <c r="H791">
        <v>1372.7075195</v>
      </c>
      <c r="I791">
        <v>1286.0284423999999</v>
      </c>
      <c r="J791">
        <v>1266.7866211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400.03384399999999</v>
      </c>
      <c r="B792" s="1">
        <f>DATE(2011,6,5) + TIME(0,48,44)</f>
        <v>40699.033842592595</v>
      </c>
      <c r="C792">
        <v>80</v>
      </c>
      <c r="D792">
        <v>79.936805724999999</v>
      </c>
      <c r="E792">
        <v>50</v>
      </c>
      <c r="F792">
        <v>46.353645325000002</v>
      </c>
      <c r="G792">
        <v>1386.8302002</v>
      </c>
      <c r="H792">
        <v>1372.6468506000001</v>
      </c>
      <c r="I792">
        <v>1286.0023193</v>
      </c>
      <c r="J792">
        <v>1266.7531738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400.72788100000002</v>
      </c>
      <c r="B793" s="1">
        <f>DATE(2011,6,5) + TIME(17,28,8)</f>
        <v>40699.727870370371</v>
      </c>
      <c r="C793">
        <v>80</v>
      </c>
      <c r="D793">
        <v>79.936813353999995</v>
      </c>
      <c r="E793">
        <v>50</v>
      </c>
      <c r="F793">
        <v>46.295917510999999</v>
      </c>
      <c r="G793">
        <v>1386.7596435999999</v>
      </c>
      <c r="H793">
        <v>1372.5866699000001</v>
      </c>
      <c r="I793">
        <v>1285.9757079999999</v>
      </c>
      <c r="J793">
        <v>1266.7189940999999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401.43005199999999</v>
      </c>
      <c r="B794" s="1">
        <f>DATE(2011,6,6) + TIME(10,19,16)</f>
        <v>40700.430046296293</v>
      </c>
      <c r="C794">
        <v>80</v>
      </c>
      <c r="D794">
        <v>79.936820983999993</v>
      </c>
      <c r="E794">
        <v>50</v>
      </c>
      <c r="F794">
        <v>46.237785338999998</v>
      </c>
      <c r="G794">
        <v>1386.6894531</v>
      </c>
      <c r="H794">
        <v>1372.5268555</v>
      </c>
      <c r="I794">
        <v>1285.9486084</v>
      </c>
      <c r="J794">
        <v>1266.684082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402.14077200000003</v>
      </c>
      <c r="B795" s="1">
        <f>DATE(2011,6,7) + TIME(3,22,42)</f>
        <v>40701.140763888892</v>
      </c>
      <c r="C795">
        <v>80</v>
      </c>
      <c r="D795">
        <v>79.936828613000003</v>
      </c>
      <c r="E795">
        <v>50</v>
      </c>
      <c r="F795">
        <v>46.179206848</v>
      </c>
      <c r="G795">
        <v>1386.6196289</v>
      </c>
      <c r="H795">
        <v>1372.4672852000001</v>
      </c>
      <c r="I795">
        <v>1285.9208983999999</v>
      </c>
      <c r="J795">
        <v>1266.6481934000001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402.86174199999999</v>
      </c>
      <c r="B796" s="1">
        <f>DATE(2011,6,7) + TIME(20,40,54)</f>
        <v>40701.86173611111</v>
      </c>
      <c r="C796">
        <v>80</v>
      </c>
      <c r="D796">
        <v>79.936836243000002</v>
      </c>
      <c r="E796">
        <v>50</v>
      </c>
      <c r="F796">
        <v>46.120101929</v>
      </c>
      <c r="G796">
        <v>1386.5499268000001</v>
      </c>
      <c r="H796">
        <v>1372.4078368999999</v>
      </c>
      <c r="I796">
        <v>1285.8924560999999</v>
      </c>
      <c r="J796">
        <v>1266.6115723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403.59472599999998</v>
      </c>
      <c r="B797" s="1">
        <f>DATE(2011,6,8) + TIME(14,16,24)</f>
        <v>40702.594722222224</v>
      </c>
      <c r="C797">
        <v>80</v>
      </c>
      <c r="D797">
        <v>79.936843871999997</v>
      </c>
      <c r="E797">
        <v>50</v>
      </c>
      <c r="F797">
        <v>46.060352324999997</v>
      </c>
      <c r="G797">
        <v>1386.4803466999999</v>
      </c>
      <c r="H797">
        <v>1372.3485106999999</v>
      </c>
      <c r="I797">
        <v>1285.8632812000001</v>
      </c>
      <c r="J797">
        <v>1266.5737305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404.34160900000001</v>
      </c>
      <c r="B798" s="1">
        <f>DATE(2011,6,9) + TIME(8,11,55)</f>
        <v>40703.341608796298</v>
      </c>
      <c r="C798">
        <v>80</v>
      </c>
      <c r="D798">
        <v>79.936859131000006</v>
      </c>
      <c r="E798">
        <v>50</v>
      </c>
      <c r="F798">
        <v>45.999824523999997</v>
      </c>
      <c r="G798">
        <v>1386.4107666</v>
      </c>
      <c r="H798">
        <v>1372.2890625</v>
      </c>
      <c r="I798">
        <v>1285.833374</v>
      </c>
      <c r="J798">
        <v>1266.5347899999999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405.10441400000002</v>
      </c>
      <c r="B799" s="1">
        <f>DATE(2011,6,10) + TIME(2,30,21)</f>
        <v>40704.104409722226</v>
      </c>
      <c r="C799">
        <v>80</v>
      </c>
      <c r="D799">
        <v>79.936866760000001</v>
      </c>
      <c r="E799">
        <v>50</v>
      </c>
      <c r="F799">
        <v>45.938369751000003</v>
      </c>
      <c r="G799">
        <v>1386.3409423999999</v>
      </c>
      <c r="H799">
        <v>1372.2293701000001</v>
      </c>
      <c r="I799">
        <v>1285.8024902</v>
      </c>
      <c r="J799">
        <v>1266.4946289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405.885356</v>
      </c>
      <c r="B800" s="1">
        <f>DATE(2011,6,10) + TIME(21,14,54)</f>
        <v>40704.885347222225</v>
      </c>
      <c r="C800">
        <v>80</v>
      </c>
      <c r="D800">
        <v>79.936882018999995</v>
      </c>
      <c r="E800">
        <v>50</v>
      </c>
      <c r="F800">
        <v>45.875827788999999</v>
      </c>
      <c r="G800">
        <v>1386.2706298999999</v>
      </c>
      <c r="H800">
        <v>1372.1693115</v>
      </c>
      <c r="I800">
        <v>1285.7705077999999</v>
      </c>
      <c r="J800">
        <v>1266.4530029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406.68481500000001</v>
      </c>
      <c r="B801" s="1">
        <f>DATE(2011,6,11) + TIME(16,26,8)</f>
        <v>40705.684814814813</v>
      </c>
      <c r="C801">
        <v>80</v>
      </c>
      <c r="D801">
        <v>79.936897278000004</v>
      </c>
      <c r="E801">
        <v>50</v>
      </c>
      <c r="F801">
        <v>45.812103270999998</v>
      </c>
      <c r="G801">
        <v>1386.1998291</v>
      </c>
      <c r="H801">
        <v>1372.1088867000001</v>
      </c>
      <c r="I801">
        <v>1285.7374268000001</v>
      </c>
      <c r="J801">
        <v>1266.409668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407.48936400000002</v>
      </c>
      <c r="B802" s="1">
        <f>DATE(2011,6,12) + TIME(11,44,41)</f>
        <v>40706.489363425928</v>
      </c>
      <c r="C802">
        <v>80</v>
      </c>
      <c r="D802">
        <v>79.936912536999998</v>
      </c>
      <c r="E802">
        <v>50</v>
      </c>
      <c r="F802">
        <v>45.747707366999997</v>
      </c>
      <c r="G802">
        <v>1386.1285399999999</v>
      </c>
      <c r="H802">
        <v>1372.0478516000001</v>
      </c>
      <c r="I802">
        <v>1285.7030029</v>
      </c>
      <c r="J802">
        <v>1266.3647461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408.29991899999999</v>
      </c>
      <c r="B803" s="1">
        <f>DATE(2011,6,13) + TIME(7,11,53)</f>
        <v>40707.29991898148</v>
      </c>
      <c r="C803">
        <v>80</v>
      </c>
      <c r="D803">
        <v>79.936927795000003</v>
      </c>
      <c r="E803">
        <v>50</v>
      </c>
      <c r="F803">
        <v>45.682815552000001</v>
      </c>
      <c r="G803">
        <v>1386.0577393000001</v>
      </c>
      <c r="H803">
        <v>1371.9873047000001</v>
      </c>
      <c r="I803">
        <v>1285.6678466999999</v>
      </c>
      <c r="J803">
        <v>1266.3187256000001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409.11271299999999</v>
      </c>
      <c r="B804" s="1">
        <f>DATE(2011,6,14) + TIME(2,42,18)</f>
        <v>40708.112708333334</v>
      </c>
      <c r="C804">
        <v>80</v>
      </c>
      <c r="D804">
        <v>79.936943053999997</v>
      </c>
      <c r="E804">
        <v>50</v>
      </c>
      <c r="F804">
        <v>45.617675781000003</v>
      </c>
      <c r="G804">
        <v>1385.9875488</v>
      </c>
      <c r="H804">
        <v>1371.9272461</v>
      </c>
      <c r="I804">
        <v>1285.6320800999999</v>
      </c>
      <c r="J804">
        <v>1266.2716064000001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409.92985299999998</v>
      </c>
      <c r="B805" s="1">
        <f>DATE(2011,6,14) + TIME(22,18,59)</f>
        <v>40708.929849537039</v>
      </c>
      <c r="C805">
        <v>80</v>
      </c>
      <c r="D805">
        <v>79.936958313000005</v>
      </c>
      <c r="E805">
        <v>50</v>
      </c>
      <c r="F805">
        <v>45.552303314</v>
      </c>
      <c r="G805">
        <v>1385.9182129000001</v>
      </c>
      <c r="H805">
        <v>1371.8679199000001</v>
      </c>
      <c r="I805">
        <v>1285.5955810999999</v>
      </c>
      <c r="J805">
        <v>1266.2236327999999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410.75308999999999</v>
      </c>
      <c r="B806" s="1">
        <f>DATE(2011,6,15) + TIME(18,4,26)</f>
        <v>40709.753078703703</v>
      </c>
      <c r="C806">
        <v>80</v>
      </c>
      <c r="D806">
        <v>79.936973571999999</v>
      </c>
      <c r="E806">
        <v>50</v>
      </c>
      <c r="F806">
        <v>45.486644745</v>
      </c>
      <c r="G806">
        <v>1385.8496094</v>
      </c>
      <c r="H806">
        <v>1371.809082</v>
      </c>
      <c r="I806">
        <v>1285.5584716999999</v>
      </c>
      <c r="J806">
        <v>1266.1744385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411.58418999999998</v>
      </c>
      <c r="B807" s="1">
        <f>DATE(2011,6,16) + TIME(14,1,14)</f>
        <v>40710.584189814814</v>
      </c>
      <c r="C807">
        <v>80</v>
      </c>
      <c r="D807">
        <v>79.936996460000003</v>
      </c>
      <c r="E807">
        <v>50</v>
      </c>
      <c r="F807">
        <v>45.420585631999998</v>
      </c>
      <c r="G807">
        <v>1385.7814940999999</v>
      </c>
      <c r="H807">
        <v>1371.7507324000001</v>
      </c>
      <c r="I807">
        <v>1285.5205077999999</v>
      </c>
      <c r="J807">
        <v>1266.1240233999999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412.42507000000001</v>
      </c>
      <c r="B808" s="1">
        <f>DATE(2011,6,17) + TIME(10,12,6)</f>
        <v>40711.425069444442</v>
      </c>
      <c r="C808">
        <v>80</v>
      </c>
      <c r="D808">
        <v>79.937011718999997</v>
      </c>
      <c r="E808">
        <v>50</v>
      </c>
      <c r="F808">
        <v>45.353996277</v>
      </c>
      <c r="G808">
        <v>1385.7136230000001</v>
      </c>
      <c r="H808">
        <v>1371.6925048999999</v>
      </c>
      <c r="I808">
        <v>1285.4816894999999</v>
      </c>
      <c r="J808">
        <v>1266.0722656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413.27772199999998</v>
      </c>
      <c r="B809" s="1">
        <f>DATE(2011,6,18) + TIME(6,39,55)</f>
        <v>40712.277719907404</v>
      </c>
      <c r="C809">
        <v>80</v>
      </c>
      <c r="D809">
        <v>79.937034607000001</v>
      </c>
      <c r="E809">
        <v>50</v>
      </c>
      <c r="F809">
        <v>45.286727904999999</v>
      </c>
      <c r="G809">
        <v>1385.6459961</v>
      </c>
      <c r="H809">
        <v>1371.6345214999999</v>
      </c>
      <c r="I809">
        <v>1285.4417725000001</v>
      </c>
      <c r="J809">
        <v>1266.019043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414.144249</v>
      </c>
      <c r="B810" s="1">
        <f>DATE(2011,6,19) + TIME(3,27,43)</f>
        <v>40713.144247685188</v>
      </c>
      <c r="C810">
        <v>80</v>
      </c>
      <c r="D810">
        <v>79.937057495000005</v>
      </c>
      <c r="E810">
        <v>50</v>
      </c>
      <c r="F810">
        <v>45.218608856000003</v>
      </c>
      <c r="G810">
        <v>1385.5783690999999</v>
      </c>
      <c r="H810">
        <v>1371.5765381000001</v>
      </c>
      <c r="I810">
        <v>1285.4007568</v>
      </c>
      <c r="J810">
        <v>1265.9641113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415.026882</v>
      </c>
      <c r="B811" s="1">
        <f>DATE(2011,6,20) + TIME(0,38,42)</f>
        <v>40714.026875000003</v>
      </c>
      <c r="C811">
        <v>80</v>
      </c>
      <c r="D811">
        <v>79.937072753999999</v>
      </c>
      <c r="E811">
        <v>50</v>
      </c>
      <c r="F811">
        <v>45.149463654000002</v>
      </c>
      <c r="G811">
        <v>1385.5107422000001</v>
      </c>
      <c r="H811">
        <v>1371.5183105000001</v>
      </c>
      <c r="I811">
        <v>1285.3583983999999</v>
      </c>
      <c r="J811">
        <v>1265.9072266000001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415.92802999999998</v>
      </c>
      <c r="B812" s="1">
        <f>DATE(2011,6,20) + TIME(22,16,21)</f>
        <v>40714.928020833337</v>
      </c>
      <c r="C812">
        <v>80</v>
      </c>
      <c r="D812">
        <v>79.937103270999998</v>
      </c>
      <c r="E812">
        <v>50</v>
      </c>
      <c r="F812">
        <v>45.079097748000002</v>
      </c>
      <c r="G812">
        <v>1385.442749</v>
      </c>
      <c r="H812">
        <v>1371.4599608999999</v>
      </c>
      <c r="I812">
        <v>1285.3146973</v>
      </c>
      <c r="J812">
        <v>1265.8481445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416.85031600000002</v>
      </c>
      <c r="B813" s="1">
        <f>DATE(2011,6,21) + TIME(20,24,27)</f>
        <v>40715.850312499999</v>
      </c>
      <c r="C813">
        <v>80</v>
      </c>
      <c r="D813">
        <v>79.937126160000005</v>
      </c>
      <c r="E813">
        <v>50</v>
      </c>
      <c r="F813">
        <v>45.007305144999997</v>
      </c>
      <c r="G813">
        <v>1385.3742675999999</v>
      </c>
      <c r="H813">
        <v>1371.4011230000001</v>
      </c>
      <c r="I813">
        <v>1285.2692870999999</v>
      </c>
      <c r="J813">
        <v>1265.7868652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417.78284100000002</v>
      </c>
      <c r="B814" s="1">
        <f>DATE(2011,6,22) + TIME(18,47,17)</f>
        <v>40716.782835648148</v>
      </c>
      <c r="C814">
        <v>80</v>
      </c>
      <c r="D814">
        <v>79.937149047999995</v>
      </c>
      <c r="E814">
        <v>50</v>
      </c>
      <c r="F814">
        <v>44.934383392000001</v>
      </c>
      <c r="G814">
        <v>1385.3051757999999</v>
      </c>
      <c r="H814">
        <v>1371.3416748</v>
      </c>
      <c r="I814">
        <v>1285.2220459</v>
      </c>
      <c r="J814">
        <v>1265.7229004000001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418.722826</v>
      </c>
      <c r="B815" s="1">
        <f>DATE(2011,6,23) + TIME(17,20,52)</f>
        <v>40717.722824074073</v>
      </c>
      <c r="C815">
        <v>80</v>
      </c>
      <c r="D815">
        <v>79.937179564999994</v>
      </c>
      <c r="E815">
        <v>50</v>
      </c>
      <c r="F815">
        <v>44.860588073999999</v>
      </c>
      <c r="G815">
        <v>1385.2363281</v>
      </c>
      <c r="H815">
        <v>1371.2824707</v>
      </c>
      <c r="I815">
        <v>1285.1734618999999</v>
      </c>
      <c r="J815">
        <v>1265.6569824000001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419.67257999999998</v>
      </c>
      <c r="B816" s="1">
        <f>DATE(2011,6,24) + TIME(16,8,30)</f>
        <v>40718.672569444447</v>
      </c>
      <c r="C816">
        <v>80</v>
      </c>
      <c r="D816">
        <v>79.937202454000001</v>
      </c>
      <c r="E816">
        <v>50</v>
      </c>
      <c r="F816">
        <v>44.785949707</v>
      </c>
      <c r="G816">
        <v>1385.1679687999999</v>
      </c>
      <c r="H816">
        <v>1371.2235106999999</v>
      </c>
      <c r="I816">
        <v>1285.1237793</v>
      </c>
      <c r="J816">
        <v>1265.5891113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420.62825600000002</v>
      </c>
      <c r="B817" s="1">
        <f>DATE(2011,6,25) + TIME(15,4,41)</f>
        <v>40719.628252314818</v>
      </c>
      <c r="C817">
        <v>80</v>
      </c>
      <c r="D817">
        <v>79.937232971</v>
      </c>
      <c r="E817">
        <v>50</v>
      </c>
      <c r="F817">
        <v>44.710617065000001</v>
      </c>
      <c r="G817">
        <v>1385.0997314000001</v>
      </c>
      <c r="H817">
        <v>1371.1647949000001</v>
      </c>
      <c r="I817">
        <v>1285.0726318</v>
      </c>
      <c r="J817">
        <v>1265.5191649999999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421.58987999999999</v>
      </c>
      <c r="B818" s="1">
        <f>DATE(2011,6,26) + TIME(14,9,25)</f>
        <v>40720.589872685188</v>
      </c>
      <c r="C818">
        <v>80</v>
      </c>
      <c r="D818">
        <v>79.937263489000003</v>
      </c>
      <c r="E818">
        <v>50</v>
      </c>
      <c r="F818">
        <v>44.634658813000001</v>
      </c>
      <c r="G818">
        <v>1385.0321045000001</v>
      </c>
      <c r="H818">
        <v>1371.1065673999999</v>
      </c>
      <c r="I818">
        <v>1285.0203856999999</v>
      </c>
      <c r="J818">
        <v>1265.4473877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422.55939699999999</v>
      </c>
      <c r="B819" s="1">
        <f>DATE(2011,6,27) + TIME(13,25,31)</f>
        <v>40721.559386574074</v>
      </c>
      <c r="C819">
        <v>80</v>
      </c>
      <c r="D819">
        <v>79.937294006000002</v>
      </c>
      <c r="E819">
        <v>50</v>
      </c>
      <c r="F819">
        <v>44.558010101000001</v>
      </c>
      <c r="G819">
        <v>1384.9649658000001</v>
      </c>
      <c r="H819">
        <v>1371.0485839999999</v>
      </c>
      <c r="I819">
        <v>1284.9669189000001</v>
      </c>
      <c r="J819">
        <v>1265.3736572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423.53895899999998</v>
      </c>
      <c r="B820" s="1">
        <f>DATE(2011,6,28) + TIME(12,56,6)</f>
        <v>40722.538958333331</v>
      </c>
      <c r="C820">
        <v>80</v>
      </c>
      <c r="D820">
        <v>79.937324524000005</v>
      </c>
      <c r="E820">
        <v>50</v>
      </c>
      <c r="F820">
        <v>44.480548859000002</v>
      </c>
      <c r="G820">
        <v>1384.8983154</v>
      </c>
      <c r="H820">
        <v>1370.9909668</v>
      </c>
      <c r="I820">
        <v>1284.9121094</v>
      </c>
      <c r="J820">
        <v>1265.2978516000001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424.53087399999998</v>
      </c>
      <c r="B821" s="1">
        <f>DATE(2011,6,29) + TIME(12,44,27)</f>
        <v>40723.530868055554</v>
      </c>
      <c r="C821">
        <v>80</v>
      </c>
      <c r="D821">
        <v>79.937355041999993</v>
      </c>
      <c r="E821">
        <v>50</v>
      </c>
      <c r="F821">
        <v>44.402099608999997</v>
      </c>
      <c r="G821">
        <v>1384.8316649999999</v>
      </c>
      <c r="H821">
        <v>1370.9334716999999</v>
      </c>
      <c r="I821">
        <v>1284.8558350000001</v>
      </c>
      <c r="J821">
        <v>1265.2197266000001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425.53754600000002</v>
      </c>
      <c r="B822" s="1">
        <f>DATE(2011,6,30) + TIME(12,54,3)</f>
        <v>40724.537534722222</v>
      </c>
      <c r="C822">
        <v>80</v>
      </c>
      <c r="D822">
        <v>79.937385559000006</v>
      </c>
      <c r="E822">
        <v>50</v>
      </c>
      <c r="F822">
        <v>44.322463988999999</v>
      </c>
      <c r="G822">
        <v>1384.7652588000001</v>
      </c>
      <c r="H822">
        <v>1370.8760986</v>
      </c>
      <c r="I822">
        <v>1284.7978516000001</v>
      </c>
      <c r="J822">
        <v>1265.1389160000001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426</v>
      </c>
      <c r="B823" s="1">
        <f>DATE(2011,7,1) + TIME(0,0,0)</f>
        <v>40725</v>
      </c>
      <c r="C823">
        <v>80</v>
      </c>
      <c r="D823">
        <v>79.937393188000001</v>
      </c>
      <c r="E823">
        <v>50</v>
      </c>
      <c r="F823">
        <v>44.270828246999997</v>
      </c>
      <c r="G823">
        <v>1384.6979980000001</v>
      </c>
      <c r="H823">
        <v>1370.8178711</v>
      </c>
      <c r="I823">
        <v>1284.7368164</v>
      </c>
      <c r="J823">
        <v>1265.0625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427.02396900000002</v>
      </c>
      <c r="B824" s="1">
        <f>DATE(2011,7,2) + TIME(0,34,30)</f>
        <v>40726.023958333331</v>
      </c>
      <c r="C824">
        <v>80</v>
      </c>
      <c r="D824">
        <v>79.937431334999999</v>
      </c>
      <c r="E824">
        <v>50</v>
      </c>
      <c r="F824">
        <v>44.197345734000002</v>
      </c>
      <c r="G824">
        <v>1384.6683350000001</v>
      </c>
      <c r="H824">
        <v>1370.7922363</v>
      </c>
      <c r="I824">
        <v>1284.7097168</v>
      </c>
      <c r="J824">
        <v>1265.0131836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428.07786599999997</v>
      </c>
      <c r="B825" s="1">
        <f>DATE(2011,7,3) + TIME(1,52,7)</f>
        <v>40727.0778587963</v>
      </c>
      <c r="C825">
        <v>80</v>
      </c>
      <c r="D825">
        <v>79.937469481999997</v>
      </c>
      <c r="E825">
        <v>50</v>
      </c>
      <c r="F825">
        <v>44.117805480999998</v>
      </c>
      <c r="G825">
        <v>1384.6019286999999</v>
      </c>
      <c r="H825">
        <v>1370.7347411999999</v>
      </c>
      <c r="I825">
        <v>1284.6477050999999</v>
      </c>
      <c r="J825">
        <v>1264.927124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429.14614399999999</v>
      </c>
      <c r="B826" s="1">
        <f>DATE(2011,7,4) + TIME(3,30,26)</f>
        <v>40728.146134259259</v>
      </c>
      <c r="C826">
        <v>80</v>
      </c>
      <c r="D826">
        <v>79.937507628999995</v>
      </c>
      <c r="E826">
        <v>50</v>
      </c>
      <c r="F826">
        <v>44.034477234000001</v>
      </c>
      <c r="G826">
        <v>1384.5345459</v>
      </c>
      <c r="H826">
        <v>1370.6763916</v>
      </c>
      <c r="I826">
        <v>1284.5826416</v>
      </c>
      <c r="J826">
        <v>1264.8359375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430.22220800000002</v>
      </c>
      <c r="B827" s="1">
        <f>DATE(2011,7,5) + TIME(5,19,58)</f>
        <v>40729.222199074073</v>
      </c>
      <c r="C827">
        <v>80</v>
      </c>
      <c r="D827">
        <v>79.937545775999993</v>
      </c>
      <c r="E827">
        <v>50</v>
      </c>
      <c r="F827">
        <v>43.948795318999998</v>
      </c>
      <c r="G827">
        <v>1384.4670410000001</v>
      </c>
      <c r="H827">
        <v>1370.6179199000001</v>
      </c>
      <c r="I827">
        <v>1284.5153809000001</v>
      </c>
      <c r="J827">
        <v>1264.7410889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431.30867999999998</v>
      </c>
      <c r="B828" s="1">
        <f>DATE(2011,7,6) + TIME(7,24,29)</f>
        <v>40730.308668981481</v>
      </c>
      <c r="C828">
        <v>80</v>
      </c>
      <c r="D828">
        <v>79.937583923000005</v>
      </c>
      <c r="E828">
        <v>50</v>
      </c>
      <c r="F828">
        <v>43.861373901</v>
      </c>
      <c r="G828">
        <v>1384.4000243999999</v>
      </c>
      <c r="H828">
        <v>1370.5596923999999</v>
      </c>
      <c r="I828">
        <v>1284.4464111</v>
      </c>
      <c r="J828">
        <v>1264.6433105000001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432.40819800000003</v>
      </c>
      <c r="B829" s="1">
        <f>DATE(2011,7,7) + TIME(9,47,48)</f>
        <v>40731.408194444448</v>
      </c>
      <c r="C829">
        <v>80</v>
      </c>
      <c r="D829">
        <v>79.937622070000003</v>
      </c>
      <c r="E829">
        <v>50</v>
      </c>
      <c r="F829">
        <v>43.772346497000001</v>
      </c>
      <c r="G829">
        <v>1384.3331298999999</v>
      </c>
      <c r="H829">
        <v>1370.5017089999999</v>
      </c>
      <c r="I829">
        <v>1284.3756103999999</v>
      </c>
      <c r="J829">
        <v>1264.5423584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433.51946900000002</v>
      </c>
      <c r="B830" s="1">
        <f>DATE(2011,7,8) + TIME(12,28,2)</f>
        <v>40732.519467592596</v>
      </c>
      <c r="C830">
        <v>80</v>
      </c>
      <c r="D830">
        <v>79.937660217000001</v>
      </c>
      <c r="E830">
        <v>50</v>
      </c>
      <c r="F830">
        <v>43.681785583</v>
      </c>
      <c r="G830">
        <v>1384.2663574000001</v>
      </c>
      <c r="H830">
        <v>1370.4437256000001</v>
      </c>
      <c r="I830">
        <v>1284.3027344</v>
      </c>
      <c r="J830">
        <v>1264.4379882999999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434.64016500000002</v>
      </c>
      <c r="B831" s="1">
        <f>DATE(2011,7,9) + TIME(15,21,50)</f>
        <v>40733.640162037038</v>
      </c>
      <c r="C831">
        <v>80</v>
      </c>
      <c r="D831">
        <v>79.937705993999998</v>
      </c>
      <c r="E831">
        <v>50</v>
      </c>
      <c r="F831">
        <v>43.589790344000001</v>
      </c>
      <c r="G831">
        <v>1384.1998291</v>
      </c>
      <c r="H831">
        <v>1370.3857422000001</v>
      </c>
      <c r="I831">
        <v>1284.2279053</v>
      </c>
      <c r="J831">
        <v>1264.3304443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435.77101399999998</v>
      </c>
      <c r="B832" s="1">
        <f>DATE(2011,7,10) + TIME(18,30,15)</f>
        <v>40734.771006944444</v>
      </c>
      <c r="C832">
        <v>80</v>
      </c>
      <c r="D832">
        <v>79.937744140999996</v>
      </c>
      <c r="E832">
        <v>50</v>
      </c>
      <c r="F832">
        <v>43.496376038000001</v>
      </c>
      <c r="G832">
        <v>1384.1334228999999</v>
      </c>
      <c r="H832">
        <v>1370.328125</v>
      </c>
      <c r="I832">
        <v>1284.151001</v>
      </c>
      <c r="J832">
        <v>1264.2196045000001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436.91457500000001</v>
      </c>
      <c r="B833" s="1">
        <f>DATE(2011,7,11) + TIME(21,56,59)</f>
        <v>40735.914571759262</v>
      </c>
      <c r="C833">
        <v>80</v>
      </c>
      <c r="D833">
        <v>79.937789917000003</v>
      </c>
      <c r="E833">
        <v>50</v>
      </c>
      <c r="F833">
        <v>43.401420592999997</v>
      </c>
      <c r="G833">
        <v>1384.0673827999999</v>
      </c>
      <c r="H833">
        <v>1370.2706298999999</v>
      </c>
      <c r="I833">
        <v>1284.0721435999999</v>
      </c>
      <c r="J833">
        <v>1264.1054687999999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438.073598</v>
      </c>
      <c r="B834" s="1">
        <f>DATE(2011,7,13) + TIME(1,45,58)</f>
        <v>40737.073587962965</v>
      </c>
      <c r="C834">
        <v>80</v>
      </c>
      <c r="D834">
        <v>79.937835692999997</v>
      </c>
      <c r="E834">
        <v>50</v>
      </c>
      <c r="F834">
        <v>43.304725646999998</v>
      </c>
      <c r="G834">
        <v>1384.0014647999999</v>
      </c>
      <c r="H834">
        <v>1370.2131348</v>
      </c>
      <c r="I834">
        <v>1283.9912108999999</v>
      </c>
      <c r="J834">
        <v>1263.9876709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439.24813599999999</v>
      </c>
      <c r="B835" s="1">
        <f>DATE(2011,7,14) + TIME(5,57,18)</f>
        <v>40738.248124999998</v>
      </c>
      <c r="C835">
        <v>80</v>
      </c>
      <c r="D835">
        <v>79.937873839999995</v>
      </c>
      <c r="E835">
        <v>50</v>
      </c>
      <c r="F835">
        <v>43.206130981000001</v>
      </c>
      <c r="G835">
        <v>1383.9354248</v>
      </c>
      <c r="H835">
        <v>1370.1556396000001</v>
      </c>
      <c r="I835">
        <v>1283.9077147999999</v>
      </c>
      <c r="J835">
        <v>1263.8658447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440.43875800000001</v>
      </c>
      <c r="B836" s="1">
        <f>DATE(2011,7,15) + TIME(10,31,48)</f>
        <v>40739.438750000001</v>
      </c>
      <c r="C836">
        <v>80</v>
      </c>
      <c r="D836">
        <v>79.937919617000006</v>
      </c>
      <c r="E836">
        <v>50</v>
      </c>
      <c r="F836">
        <v>43.105514526</v>
      </c>
      <c r="G836">
        <v>1383.8693848</v>
      </c>
      <c r="H836">
        <v>1370.0980225000001</v>
      </c>
      <c r="I836">
        <v>1283.8217772999999</v>
      </c>
      <c r="J836">
        <v>1263.7399902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441.64841100000001</v>
      </c>
      <c r="B837" s="1">
        <f>DATE(2011,7,16) + TIME(15,33,42)</f>
        <v>40740.648402777777</v>
      </c>
      <c r="C837">
        <v>80</v>
      </c>
      <c r="D837">
        <v>79.937973021999994</v>
      </c>
      <c r="E837">
        <v>50</v>
      </c>
      <c r="F837">
        <v>43.002677917</v>
      </c>
      <c r="G837">
        <v>1383.8032227000001</v>
      </c>
      <c r="H837">
        <v>1370.0402832</v>
      </c>
      <c r="I837">
        <v>1283.7331543</v>
      </c>
      <c r="J837">
        <v>1263.6097411999999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442.866175</v>
      </c>
      <c r="B838" s="1">
        <f>DATE(2011,7,17) + TIME(20,47,17)</f>
        <v>40741.866168981483</v>
      </c>
      <c r="C838">
        <v>80</v>
      </c>
      <c r="D838">
        <v>79.938018799000005</v>
      </c>
      <c r="E838">
        <v>50</v>
      </c>
      <c r="F838">
        <v>42.897853851000001</v>
      </c>
      <c r="G838">
        <v>1383.7369385</v>
      </c>
      <c r="H838">
        <v>1369.9822998</v>
      </c>
      <c r="I838">
        <v>1283.6418457</v>
      </c>
      <c r="J838">
        <v>1263.4749756000001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444.09121699999997</v>
      </c>
      <c r="B839" s="1">
        <f>DATE(2011,7,19) + TIME(2,11,21)</f>
        <v>40743.091215277775</v>
      </c>
      <c r="C839">
        <v>80</v>
      </c>
      <c r="D839">
        <v>79.938064574999999</v>
      </c>
      <c r="E839">
        <v>50</v>
      </c>
      <c r="F839">
        <v>42.791294098000002</v>
      </c>
      <c r="G839">
        <v>1383.6708983999999</v>
      </c>
      <c r="H839">
        <v>1369.9245605000001</v>
      </c>
      <c r="I839">
        <v>1283.5483397999999</v>
      </c>
      <c r="J839">
        <v>1263.3365478999999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445.32620900000001</v>
      </c>
      <c r="B840" s="1">
        <f>DATE(2011,7,20) + TIME(7,49,44)</f>
        <v>40744.326203703706</v>
      </c>
      <c r="C840">
        <v>80</v>
      </c>
      <c r="D840">
        <v>79.938117981000005</v>
      </c>
      <c r="E840">
        <v>50</v>
      </c>
      <c r="F840">
        <v>42.682987212999997</v>
      </c>
      <c r="G840">
        <v>1383.6053466999999</v>
      </c>
      <c r="H840">
        <v>1369.8671875</v>
      </c>
      <c r="I840">
        <v>1283.4527588000001</v>
      </c>
      <c r="J840">
        <v>1263.1944579999999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446.57398599999999</v>
      </c>
      <c r="B841" s="1">
        <f>DATE(2011,7,21) + TIME(13,46,32)</f>
        <v>40745.573981481481</v>
      </c>
      <c r="C841">
        <v>80</v>
      </c>
      <c r="D841">
        <v>79.938163756999998</v>
      </c>
      <c r="E841">
        <v>50</v>
      </c>
      <c r="F841">
        <v>42.572765349999997</v>
      </c>
      <c r="G841">
        <v>1383.5400391000001</v>
      </c>
      <c r="H841">
        <v>1369.8099365</v>
      </c>
      <c r="I841">
        <v>1283.3549805</v>
      </c>
      <c r="J841">
        <v>1263.0484618999999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447.83749299999999</v>
      </c>
      <c r="B842" s="1">
        <f>DATE(2011,7,22) + TIME(20,5,59)</f>
        <v>40746.837488425925</v>
      </c>
      <c r="C842">
        <v>80</v>
      </c>
      <c r="D842">
        <v>79.938217163000004</v>
      </c>
      <c r="E842">
        <v>50</v>
      </c>
      <c r="F842">
        <v>42.460372925000001</v>
      </c>
      <c r="G842">
        <v>1383.4748535000001</v>
      </c>
      <c r="H842">
        <v>1369.7528076000001</v>
      </c>
      <c r="I842">
        <v>1283.2547606999999</v>
      </c>
      <c r="J842">
        <v>1262.8981934000001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449.119821</v>
      </c>
      <c r="B843" s="1">
        <f>DATE(2011,7,24) + TIME(2,52,32)</f>
        <v>40748.119814814818</v>
      </c>
      <c r="C843">
        <v>80</v>
      </c>
      <c r="D843">
        <v>79.938270568999997</v>
      </c>
      <c r="E843">
        <v>50</v>
      </c>
      <c r="F843">
        <v>42.345512390000003</v>
      </c>
      <c r="G843">
        <v>1383.4095459</v>
      </c>
      <c r="H843">
        <v>1369.6955565999999</v>
      </c>
      <c r="I843">
        <v>1283.1518555</v>
      </c>
      <c r="J843">
        <v>1262.7431641000001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450.42425700000001</v>
      </c>
      <c r="B844" s="1">
        <f>DATE(2011,7,25) + TIME(10,10,55)</f>
        <v>40749.424247685187</v>
      </c>
      <c r="C844">
        <v>80</v>
      </c>
      <c r="D844">
        <v>79.938323975000003</v>
      </c>
      <c r="E844">
        <v>50</v>
      </c>
      <c r="F844">
        <v>42.227848053000002</v>
      </c>
      <c r="G844">
        <v>1383.3441161999999</v>
      </c>
      <c r="H844">
        <v>1369.6380615</v>
      </c>
      <c r="I844">
        <v>1283.0457764</v>
      </c>
      <c r="J844">
        <v>1262.5830077999999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451.74333000000001</v>
      </c>
      <c r="B845" s="1">
        <f>DATE(2011,7,26) + TIME(17,50,23)</f>
        <v>40750.743321759262</v>
      </c>
      <c r="C845">
        <v>80</v>
      </c>
      <c r="D845">
        <v>79.938377380000006</v>
      </c>
      <c r="E845">
        <v>50</v>
      </c>
      <c r="F845">
        <v>42.107418060000001</v>
      </c>
      <c r="G845">
        <v>1383.2783202999999</v>
      </c>
      <c r="H845">
        <v>1369.5803223</v>
      </c>
      <c r="I845">
        <v>1282.9365233999999</v>
      </c>
      <c r="J845">
        <v>1262.4172363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453.07546100000002</v>
      </c>
      <c r="B846" s="1">
        <f>DATE(2011,7,28) + TIME(1,48,39)</f>
        <v>40752.07545138889</v>
      </c>
      <c r="C846">
        <v>80</v>
      </c>
      <c r="D846">
        <v>79.938430785999998</v>
      </c>
      <c r="E846">
        <v>50</v>
      </c>
      <c r="F846">
        <v>41.984397887999997</v>
      </c>
      <c r="G846">
        <v>1383.2126464999999</v>
      </c>
      <c r="H846">
        <v>1369.5224608999999</v>
      </c>
      <c r="I846">
        <v>1282.8244629000001</v>
      </c>
      <c r="J846">
        <v>1262.2467041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454.420502</v>
      </c>
      <c r="B847" s="1">
        <f>DATE(2011,7,29) + TIME(10,5,31)</f>
        <v>40753.420497685183</v>
      </c>
      <c r="C847">
        <v>80</v>
      </c>
      <c r="D847">
        <v>79.938491821</v>
      </c>
      <c r="E847">
        <v>50</v>
      </c>
      <c r="F847">
        <v>41.858856201000002</v>
      </c>
      <c r="G847">
        <v>1383.1469727000001</v>
      </c>
      <c r="H847">
        <v>1369.4647216999999</v>
      </c>
      <c r="I847">
        <v>1282.7097168</v>
      </c>
      <c r="J847">
        <v>1262.0712891000001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455.77750099999997</v>
      </c>
      <c r="B848" s="1">
        <f>DATE(2011,7,30) + TIME(18,39,36)</f>
        <v>40754.777499999997</v>
      </c>
      <c r="C848">
        <v>80</v>
      </c>
      <c r="D848">
        <v>79.938545227000006</v>
      </c>
      <c r="E848">
        <v>50</v>
      </c>
      <c r="F848">
        <v>41.730842590000002</v>
      </c>
      <c r="G848">
        <v>1383.0814209</v>
      </c>
      <c r="H848">
        <v>1369.4069824000001</v>
      </c>
      <c r="I848">
        <v>1282.5924072</v>
      </c>
      <c r="J848">
        <v>1261.8911132999999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457</v>
      </c>
      <c r="B849" s="1">
        <f>DATE(2011,8,1) + TIME(0,0,0)</f>
        <v>40756</v>
      </c>
      <c r="C849">
        <v>80</v>
      </c>
      <c r="D849">
        <v>79.938598632999998</v>
      </c>
      <c r="E849">
        <v>50</v>
      </c>
      <c r="F849">
        <v>41.606292725000003</v>
      </c>
      <c r="G849">
        <v>1383.0159911999999</v>
      </c>
      <c r="H849">
        <v>1369.3492432</v>
      </c>
      <c r="I849">
        <v>1282.4726562000001</v>
      </c>
      <c r="J849">
        <v>1261.7089844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458.36261400000001</v>
      </c>
      <c r="B850" s="1">
        <f>DATE(2011,8,2) + TIME(8,42,9)</f>
        <v>40757.362604166665</v>
      </c>
      <c r="C850">
        <v>80</v>
      </c>
      <c r="D850">
        <v>79.938659668</v>
      </c>
      <c r="E850">
        <v>50</v>
      </c>
      <c r="F850">
        <v>41.479084014999998</v>
      </c>
      <c r="G850">
        <v>1382.9577637</v>
      </c>
      <c r="H850">
        <v>1369.2978516000001</v>
      </c>
      <c r="I850">
        <v>1282.3625488</v>
      </c>
      <c r="J850">
        <v>1261.5351562000001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459.74524200000002</v>
      </c>
      <c r="B851" s="1">
        <f>DATE(2011,8,3) + TIME(17,53,8)</f>
        <v>40758.74523148148</v>
      </c>
      <c r="C851">
        <v>80</v>
      </c>
      <c r="D851">
        <v>79.938713074000006</v>
      </c>
      <c r="E851">
        <v>50</v>
      </c>
      <c r="F851">
        <v>41.346797942999999</v>
      </c>
      <c r="G851">
        <v>1382.8935547000001</v>
      </c>
      <c r="H851">
        <v>1369.2410889</v>
      </c>
      <c r="I851">
        <v>1282.2397461</v>
      </c>
      <c r="J851">
        <v>1261.3449707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461.14273300000002</v>
      </c>
      <c r="B852" s="1">
        <f>DATE(2011,8,5) + TIME(3,25,32)</f>
        <v>40760.142731481479</v>
      </c>
      <c r="C852">
        <v>80</v>
      </c>
      <c r="D852">
        <v>79.938774108999993</v>
      </c>
      <c r="E852">
        <v>50</v>
      </c>
      <c r="F852">
        <v>41.210700989000003</v>
      </c>
      <c r="G852">
        <v>1382.8289795000001</v>
      </c>
      <c r="H852">
        <v>1369.184082</v>
      </c>
      <c r="I852">
        <v>1282.1137695</v>
      </c>
      <c r="J852">
        <v>1261.1485596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462.55844999999999</v>
      </c>
      <c r="B853" s="1">
        <f>DATE(2011,8,6) + TIME(13,24,10)</f>
        <v>40761.558449074073</v>
      </c>
      <c r="C853">
        <v>80</v>
      </c>
      <c r="D853">
        <v>79.938835143999995</v>
      </c>
      <c r="E853">
        <v>50</v>
      </c>
      <c r="F853">
        <v>41.071262359999999</v>
      </c>
      <c r="G853">
        <v>1382.7645264</v>
      </c>
      <c r="H853">
        <v>1369.1270752</v>
      </c>
      <c r="I853">
        <v>1281.9848632999999</v>
      </c>
      <c r="J853">
        <v>1260.9466553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463.99588799999998</v>
      </c>
      <c r="B854" s="1">
        <f>DATE(2011,8,7) + TIME(23,54,4)</f>
        <v>40762.995879629627</v>
      </c>
      <c r="C854">
        <v>80</v>
      </c>
      <c r="D854">
        <v>79.938903808999996</v>
      </c>
      <c r="E854">
        <v>50</v>
      </c>
      <c r="F854">
        <v>40.928455352999997</v>
      </c>
      <c r="G854">
        <v>1382.6998291</v>
      </c>
      <c r="H854">
        <v>1369.0698242000001</v>
      </c>
      <c r="I854">
        <v>1281.8530272999999</v>
      </c>
      <c r="J854">
        <v>1260.7391356999999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465.45453800000001</v>
      </c>
      <c r="B855" s="1">
        <f>DATE(2011,8,9) + TIME(10,54,32)</f>
        <v>40764.45453703704</v>
      </c>
      <c r="C855">
        <v>80</v>
      </c>
      <c r="D855">
        <v>79.938964843999997</v>
      </c>
      <c r="E855">
        <v>50</v>
      </c>
      <c r="F855">
        <v>40.78219223</v>
      </c>
      <c r="G855">
        <v>1382.6348877</v>
      </c>
      <c r="H855">
        <v>1369.012207</v>
      </c>
      <c r="I855">
        <v>1281.7177733999999</v>
      </c>
      <c r="J855">
        <v>1260.5255127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466.92155300000002</v>
      </c>
      <c r="B856" s="1">
        <f>DATE(2011,8,10) + TIME(22,7,2)</f>
        <v>40765.921550925923</v>
      </c>
      <c r="C856">
        <v>80</v>
      </c>
      <c r="D856">
        <v>79.939025878999999</v>
      </c>
      <c r="E856">
        <v>50</v>
      </c>
      <c r="F856">
        <v>40.632934570000003</v>
      </c>
      <c r="G856">
        <v>1382.5697021000001</v>
      </c>
      <c r="H856">
        <v>1368.9543457</v>
      </c>
      <c r="I856">
        <v>1281.5794678</v>
      </c>
      <c r="J856">
        <v>1260.3061522999999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468.40036500000002</v>
      </c>
      <c r="B857" s="1">
        <f>DATE(2011,8,12) + TIME(9,36,31)</f>
        <v>40767.400358796294</v>
      </c>
      <c r="C857">
        <v>80</v>
      </c>
      <c r="D857">
        <v>79.939094542999996</v>
      </c>
      <c r="E857">
        <v>50</v>
      </c>
      <c r="F857">
        <v>40.481063843000001</v>
      </c>
      <c r="G857">
        <v>1382.5047606999999</v>
      </c>
      <c r="H857">
        <v>1368.8966064000001</v>
      </c>
      <c r="I857">
        <v>1281.4392089999999</v>
      </c>
      <c r="J857">
        <v>1260.0822754000001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469.89441699999998</v>
      </c>
      <c r="B858" s="1">
        <f>DATE(2011,8,13) + TIME(21,27,57)</f>
        <v>40768.894409722219</v>
      </c>
      <c r="C858">
        <v>80</v>
      </c>
      <c r="D858">
        <v>79.939163207999997</v>
      </c>
      <c r="E858">
        <v>50</v>
      </c>
      <c r="F858">
        <v>40.326538085999999</v>
      </c>
      <c r="G858">
        <v>1382.4399414</v>
      </c>
      <c r="H858">
        <v>1368.8389893000001</v>
      </c>
      <c r="I858">
        <v>1281.2966309000001</v>
      </c>
      <c r="J858">
        <v>1259.8538818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471.40729099999999</v>
      </c>
      <c r="B859" s="1">
        <f>DATE(2011,8,15) + TIME(9,46,29)</f>
        <v>40770.407280092593</v>
      </c>
      <c r="C859">
        <v>80</v>
      </c>
      <c r="D859">
        <v>79.939224242999998</v>
      </c>
      <c r="E859">
        <v>50</v>
      </c>
      <c r="F859">
        <v>40.169155121000003</v>
      </c>
      <c r="G859">
        <v>1382.375</v>
      </c>
      <c r="H859">
        <v>1368.7813721</v>
      </c>
      <c r="I859">
        <v>1281.1516113</v>
      </c>
      <c r="J859">
        <v>1259.6204834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472.92719</v>
      </c>
      <c r="B860" s="1">
        <f>DATE(2011,8,16) + TIME(22,15,9)</f>
        <v>40771.927187499998</v>
      </c>
      <c r="C860">
        <v>80</v>
      </c>
      <c r="D860">
        <v>79.939292907999999</v>
      </c>
      <c r="E860">
        <v>50</v>
      </c>
      <c r="F860">
        <v>40.009231567</v>
      </c>
      <c r="G860">
        <v>1382.3100586</v>
      </c>
      <c r="H860">
        <v>1368.7235106999999</v>
      </c>
      <c r="I860">
        <v>1281.0039062000001</v>
      </c>
      <c r="J860">
        <v>1259.3818358999999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474.45822600000002</v>
      </c>
      <c r="B861" s="1">
        <f>DATE(2011,8,18) + TIME(10,59,50)</f>
        <v>40773.45821759259</v>
      </c>
      <c r="C861">
        <v>80</v>
      </c>
      <c r="D861">
        <v>79.939361571999996</v>
      </c>
      <c r="E861">
        <v>50</v>
      </c>
      <c r="F861">
        <v>39.847202301000003</v>
      </c>
      <c r="G861">
        <v>1382.2453613</v>
      </c>
      <c r="H861">
        <v>1368.6657714999999</v>
      </c>
      <c r="I861">
        <v>1280.8547363</v>
      </c>
      <c r="J861">
        <v>1259.1392822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476.00453099999999</v>
      </c>
      <c r="B862" s="1">
        <f>DATE(2011,8,20) + TIME(0,6,31)</f>
        <v>40775.004525462966</v>
      </c>
      <c r="C862">
        <v>80</v>
      </c>
      <c r="D862">
        <v>79.939430236999996</v>
      </c>
      <c r="E862">
        <v>50</v>
      </c>
      <c r="F862">
        <v>39.682899474999999</v>
      </c>
      <c r="G862">
        <v>1382.1807861</v>
      </c>
      <c r="H862">
        <v>1368.6081543</v>
      </c>
      <c r="I862">
        <v>1280.7037353999999</v>
      </c>
      <c r="J862">
        <v>1258.8927002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477.56971399999998</v>
      </c>
      <c r="B863" s="1">
        <f>DATE(2011,8,21) + TIME(13,40,23)</f>
        <v>40776.569710648146</v>
      </c>
      <c r="C863">
        <v>80</v>
      </c>
      <c r="D863">
        <v>79.939498900999993</v>
      </c>
      <c r="E863">
        <v>50</v>
      </c>
      <c r="F863">
        <v>39.516056061</v>
      </c>
      <c r="G863">
        <v>1382.1160889</v>
      </c>
      <c r="H863">
        <v>1368.5504149999999</v>
      </c>
      <c r="I863">
        <v>1280.5507812000001</v>
      </c>
      <c r="J863">
        <v>1258.6416016000001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479.15754399999997</v>
      </c>
      <c r="B864" s="1">
        <f>DATE(2011,8,23) + TIME(3,46,51)</f>
        <v>40778.157534722224</v>
      </c>
      <c r="C864">
        <v>80</v>
      </c>
      <c r="D864">
        <v>79.939575195000003</v>
      </c>
      <c r="E864">
        <v>50</v>
      </c>
      <c r="F864">
        <v>39.346378326</v>
      </c>
      <c r="G864">
        <v>1382.0512695</v>
      </c>
      <c r="H864">
        <v>1368.4924315999999</v>
      </c>
      <c r="I864">
        <v>1280.3953856999999</v>
      </c>
      <c r="J864">
        <v>1258.385376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480.757318</v>
      </c>
      <c r="B865" s="1">
        <f>DATE(2011,8,24) + TIME(18,10,32)</f>
        <v>40779.757314814815</v>
      </c>
      <c r="C865">
        <v>80</v>
      </c>
      <c r="D865">
        <v>79.939643860000004</v>
      </c>
      <c r="E865">
        <v>50</v>
      </c>
      <c r="F865">
        <v>39.174125670999999</v>
      </c>
      <c r="G865">
        <v>1381.9860839999999</v>
      </c>
      <c r="H865">
        <v>1368.434082</v>
      </c>
      <c r="I865">
        <v>1280.2376709</v>
      </c>
      <c r="J865">
        <v>1258.1240233999999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482.36707999999999</v>
      </c>
      <c r="B866" s="1">
        <f>DATE(2011,8,26) + TIME(8,48,35)</f>
        <v>40781.367071759261</v>
      </c>
      <c r="C866">
        <v>80</v>
      </c>
      <c r="D866">
        <v>79.939720154</v>
      </c>
      <c r="E866">
        <v>50</v>
      </c>
      <c r="F866">
        <v>38.999889373999999</v>
      </c>
      <c r="G866">
        <v>1381.9208983999999</v>
      </c>
      <c r="H866">
        <v>1368.3757324000001</v>
      </c>
      <c r="I866">
        <v>1280.0786132999999</v>
      </c>
      <c r="J866">
        <v>1257.8590088000001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483.99050299999999</v>
      </c>
      <c r="B867" s="1">
        <f>DATE(2011,8,27) + TIME(23,46,19)</f>
        <v>40782.990497685183</v>
      </c>
      <c r="C867">
        <v>80</v>
      </c>
      <c r="D867">
        <v>79.939788817999997</v>
      </c>
      <c r="E867">
        <v>50</v>
      </c>
      <c r="F867">
        <v>38.823905945</v>
      </c>
      <c r="G867">
        <v>1381.855957</v>
      </c>
      <c r="H867">
        <v>1368.3175048999999</v>
      </c>
      <c r="I867">
        <v>1279.918457</v>
      </c>
      <c r="J867">
        <v>1257.5906981999999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485.63075400000002</v>
      </c>
      <c r="B868" s="1">
        <f>DATE(2011,8,29) + TIME(15,8,17)</f>
        <v>40784.630752314813</v>
      </c>
      <c r="C868">
        <v>80</v>
      </c>
      <c r="D868">
        <v>79.939865112000007</v>
      </c>
      <c r="E868">
        <v>50</v>
      </c>
      <c r="F868">
        <v>38.646156310999999</v>
      </c>
      <c r="G868">
        <v>1381.7908935999999</v>
      </c>
      <c r="H868">
        <v>1368.2590332</v>
      </c>
      <c r="I868">
        <v>1279.7573242000001</v>
      </c>
      <c r="J868">
        <v>1257.3190918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487.27936</v>
      </c>
      <c r="B869" s="1">
        <f>DATE(2011,8,31) + TIME(6,42,16)</f>
        <v>40786.279351851852</v>
      </c>
      <c r="C869">
        <v>80</v>
      </c>
      <c r="D869">
        <v>79.939941406000003</v>
      </c>
      <c r="E869">
        <v>50</v>
      </c>
      <c r="F869">
        <v>38.467029572000001</v>
      </c>
      <c r="G869">
        <v>1381.7258300999999</v>
      </c>
      <c r="H869">
        <v>1368.2004394999999</v>
      </c>
      <c r="I869">
        <v>1279.5949707</v>
      </c>
      <c r="J869">
        <v>1257.0441894999999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488</v>
      </c>
      <c r="B870" s="1">
        <f>DATE(2011,9,1) + TIME(0,0,0)</f>
        <v>40787</v>
      </c>
      <c r="C870">
        <v>80</v>
      </c>
      <c r="D870">
        <v>79.939964294000006</v>
      </c>
      <c r="E870">
        <v>50</v>
      </c>
      <c r="F870">
        <v>38.343009948999999</v>
      </c>
      <c r="G870">
        <v>1381.6600341999999</v>
      </c>
      <c r="H870">
        <v>1368.1413574000001</v>
      </c>
      <c r="I870">
        <v>1279.4365233999999</v>
      </c>
      <c r="J870">
        <v>1256.7990723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489.66126200000002</v>
      </c>
      <c r="B871" s="1">
        <f>DATE(2011,9,2) + TIME(15,52,13)</f>
        <v>40788.661261574074</v>
      </c>
      <c r="C871">
        <v>80</v>
      </c>
      <c r="D871">
        <v>79.940040588000002</v>
      </c>
      <c r="E871">
        <v>50</v>
      </c>
      <c r="F871">
        <v>38.192703246999997</v>
      </c>
      <c r="G871">
        <v>1381.6324463000001</v>
      </c>
      <c r="H871">
        <v>1368.1164550999999</v>
      </c>
      <c r="I871">
        <v>1279.3571777</v>
      </c>
      <c r="J871">
        <v>1256.6313477000001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491.344109</v>
      </c>
      <c r="B872" s="1">
        <f>DATE(2011,9,4) + TIME(8,15,31)</f>
        <v>40790.344108796293</v>
      </c>
      <c r="C872">
        <v>80</v>
      </c>
      <c r="D872">
        <v>79.940124511999997</v>
      </c>
      <c r="E872">
        <v>50</v>
      </c>
      <c r="F872">
        <v>38.022090912000003</v>
      </c>
      <c r="G872">
        <v>1381.5676269999999</v>
      </c>
      <c r="H872">
        <v>1368.0581055</v>
      </c>
      <c r="I872">
        <v>1279.197876</v>
      </c>
      <c r="J872">
        <v>1256.3619385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493.03661399999999</v>
      </c>
      <c r="B873" s="1">
        <f>DATE(2011,9,6) + TIME(0,52,43)</f>
        <v>40792.036608796298</v>
      </c>
      <c r="C873">
        <v>80</v>
      </c>
      <c r="D873">
        <v>79.940200806000007</v>
      </c>
      <c r="E873">
        <v>50</v>
      </c>
      <c r="F873">
        <v>37.844078064000001</v>
      </c>
      <c r="G873">
        <v>1381.5024414</v>
      </c>
      <c r="H873">
        <v>1367.9992675999999</v>
      </c>
      <c r="I873">
        <v>1279.0356445</v>
      </c>
      <c r="J873">
        <v>1256.0832519999999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494.746263</v>
      </c>
      <c r="B874" s="1">
        <f>DATE(2011,9,7) + TIME(17,54,37)</f>
        <v>40793.746261574073</v>
      </c>
      <c r="C874">
        <v>80</v>
      </c>
      <c r="D874">
        <v>79.940277100000003</v>
      </c>
      <c r="E874">
        <v>50</v>
      </c>
      <c r="F874">
        <v>37.663578033</v>
      </c>
      <c r="G874">
        <v>1381.4373779</v>
      </c>
      <c r="H874">
        <v>1367.9404297000001</v>
      </c>
      <c r="I874">
        <v>1278.8732910000001</v>
      </c>
      <c r="J874">
        <v>1255.8011475000001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496.47392000000002</v>
      </c>
      <c r="B875" s="1">
        <f>DATE(2011,9,9) + TIME(11,22,26)</f>
        <v>40795.473912037036</v>
      </c>
      <c r="C875">
        <v>80</v>
      </c>
      <c r="D875">
        <v>79.940353393999999</v>
      </c>
      <c r="E875">
        <v>50</v>
      </c>
      <c r="F875">
        <v>37.482299804999997</v>
      </c>
      <c r="G875">
        <v>1381.3719481999999</v>
      </c>
      <c r="H875">
        <v>1367.8813477000001</v>
      </c>
      <c r="I875">
        <v>1278.7109375</v>
      </c>
      <c r="J875">
        <v>1255.5170897999999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498.20378899999997</v>
      </c>
      <c r="B876" s="1">
        <f>DATE(2011,9,11) + TIME(4,53,27)</f>
        <v>40797.203784722224</v>
      </c>
      <c r="C876">
        <v>80</v>
      </c>
      <c r="D876">
        <v>79.940437317000004</v>
      </c>
      <c r="E876">
        <v>50</v>
      </c>
      <c r="F876">
        <v>37.301685333000002</v>
      </c>
      <c r="G876">
        <v>1381.3063964999999</v>
      </c>
      <c r="H876">
        <v>1367.8218993999999</v>
      </c>
      <c r="I876">
        <v>1278.5489502</v>
      </c>
      <c r="J876">
        <v>1255.2319336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499.94287000000003</v>
      </c>
      <c r="B877" s="1">
        <f>DATE(2011,9,12) + TIME(22,37,43)</f>
        <v>40798.942858796298</v>
      </c>
      <c r="C877">
        <v>80</v>
      </c>
      <c r="D877">
        <v>79.940513611</v>
      </c>
      <c r="E877">
        <v>50</v>
      </c>
      <c r="F877">
        <v>37.122879028</v>
      </c>
      <c r="G877">
        <v>1381.2410889</v>
      </c>
      <c r="H877">
        <v>1367.7626952999999</v>
      </c>
      <c r="I877">
        <v>1278.3889160000001</v>
      </c>
      <c r="J877">
        <v>1254.9482422000001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501.69588599999997</v>
      </c>
      <c r="B878" s="1">
        <f>DATE(2011,9,14) + TIME(16,42,4)</f>
        <v>40800.695879629631</v>
      </c>
      <c r="C878">
        <v>80</v>
      </c>
      <c r="D878">
        <v>79.940589904999996</v>
      </c>
      <c r="E878">
        <v>50</v>
      </c>
      <c r="F878">
        <v>36.94625473</v>
      </c>
      <c r="G878">
        <v>1381.1757812000001</v>
      </c>
      <c r="H878">
        <v>1367.7033690999999</v>
      </c>
      <c r="I878">
        <v>1278.2308350000001</v>
      </c>
      <c r="J878">
        <v>1254.6658935999999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502.58069999999998</v>
      </c>
      <c r="B879" s="1">
        <f>DATE(2011,9,15) + TIME(13,56,12)</f>
        <v>40801.580694444441</v>
      </c>
      <c r="C879">
        <v>80</v>
      </c>
      <c r="D879">
        <v>79.940620421999995</v>
      </c>
      <c r="E879">
        <v>50</v>
      </c>
      <c r="F879">
        <v>36.815284728999998</v>
      </c>
      <c r="G879">
        <v>1381.1097411999999</v>
      </c>
      <c r="H879">
        <v>1367.6433105000001</v>
      </c>
      <c r="I879">
        <v>1278.0789795000001</v>
      </c>
      <c r="J879">
        <v>1254.4127197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503.46551399999998</v>
      </c>
      <c r="B880" s="1">
        <f>DATE(2011,9,16) + TIME(11,10,20)</f>
        <v>40802.465509259258</v>
      </c>
      <c r="C880">
        <v>80</v>
      </c>
      <c r="D880">
        <v>79.940658568999993</v>
      </c>
      <c r="E880">
        <v>50</v>
      </c>
      <c r="F880">
        <v>36.707740784000002</v>
      </c>
      <c r="G880">
        <v>1381.0767822</v>
      </c>
      <c r="H880">
        <v>1367.6132812000001</v>
      </c>
      <c r="I880">
        <v>1277.9964600000001</v>
      </c>
      <c r="J880">
        <v>1254.2537841999999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504.35032899999999</v>
      </c>
      <c r="B881" s="1">
        <f>DATE(2011,9,17) + TIME(8,24,28)</f>
        <v>40803.350324074076</v>
      </c>
      <c r="C881">
        <v>80</v>
      </c>
      <c r="D881">
        <v>79.940704346000004</v>
      </c>
      <c r="E881">
        <v>50</v>
      </c>
      <c r="F881">
        <v>36.612480163999997</v>
      </c>
      <c r="G881">
        <v>1381.0440673999999</v>
      </c>
      <c r="H881">
        <v>1367.583374</v>
      </c>
      <c r="I881">
        <v>1277.9177245999999</v>
      </c>
      <c r="J881">
        <v>1254.1060791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506.119957</v>
      </c>
      <c r="B882" s="1">
        <f>DATE(2011,9,19) + TIME(2,52,44)</f>
        <v>40805.119953703703</v>
      </c>
      <c r="C882">
        <v>80</v>
      </c>
      <c r="D882">
        <v>79.940788268999995</v>
      </c>
      <c r="E882">
        <v>50</v>
      </c>
      <c r="F882">
        <v>36.494934082</v>
      </c>
      <c r="G882">
        <v>1381.0118408000001</v>
      </c>
      <c r="H882">
        <v>1367.5541992000001</v>
      </c>
      <c r="I882">
        <v>1277.8380127</v>
      </c>
      <c r="J882">
        <v>1253.9451904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507.89123799999999</v>
      </c>
      <c r="B883" s="1">
        <f>DATE(2011,9,20) + TIME(21,23,22)</f>
        <v>40806.891226851854</v>
      </c>
      <c r="C883">
        <v>80</v>
      </c>
      <c r="D883">
        <v>79.940872192</v>
      </c>
      <c r="E883">
        <v>50</v>
      </c>
      <c r="F883">
        <v>36.348823547000002</v>
      </c>
      <c r="G883">
        <v>1380.9466553</v>
      </c>
      <c r="H883">
        <v>1367.494751</v>
      </c>
      <c r="I883">
        <v>1277.6949463000001</v>
      </c>
      <c r="J883">
        <v>1253.6907959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509.68699700000002</v>
      </c>
      <c r="B884" s="1">
        <f>DATE(2011,9,22) + TIME(16,29,16)</f>
        <v>40808.686990740738</v>
      </c>
      <c r="C884">
        <v>80</v>
      </c>
      <c r="D884">
        <v>79.940956115999995</v>
      </c>
      <c r="E884">
        <v>50</v>
      </c>
      <c r="F884">
        <v>36.197090148999997</v>
      </c>
      <c r="G884">
        <v>1380.8817139</v>
      </c>
      <c r="H884">
        <v>1367.4354248</v>
      </c>
      <c r="I884">
        <v>1277.5520019999999</v>
      </c>
      <c r="J884">
        <v>1253.4300536999999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511.50367399999999</v>
      </c>
      <c r="B885" s="1">
        <f>DATE(2011,9,24) + TIME(12,5,17)</f>
        <v>40810.503668981481</v>
      </c>
      <c r="C885">
        <v>80</v>
      </c>
      <c r="D885">
        <v>79.941040039000001</v>
      </c>
      <c r="E885">
        <v>50</v>
      </c>
      <c r="F885">
        <v>36.047275542999998</v>
      </c>
      <c r="G885">
        <v>1380.8161620999999</v>
      </c>
      <c r="H885">
        <v>1367.3754882999999</v>
      </c>
      <c r="I885">
        <v>1277.4106445</v>
      </c>
      <c r="J885">
        <v>1253.1689452999999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513.33112100000005</v>
      </c>
      <c r="B886" s="1">
        <f>DATE(2011,9,26) + TIME(7,56,48)</f>
        <v>40812.331111111111</v>
      </c>
      <c r="C886">
        <v>80</v>
      </c>
      <c r="D886">
        <v>79.941123962000006</v>
      </c>
      <c r="E886">
        <v>50</v>
      </c>
      <c r="F886">
        <v>35.902965545999997</v>
      </c>
      <c r="G886">
        <v>1380.7501221</v>
      </c>
      <c r="H886">
        <v>1367.3150635</v>
      </c>
      <c r="I886">
        <v>1277.2720947</v>
      </c>
      <c r="J886">
        <v>1252.9112548999999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515.17428600000005</v>
      </c>
      <c r="B887" s="1">
        <f>DATE(2011,9,28) + TIME(4,10,58)</f>
        <v>40814.17428240741</v>
      </c>
      <c r="C887">
        <v>80</v>
      </c>
      <c r="D887">
        <v>79.941207886000001</v>
      </c>
      <c r="E887">
        <v>50</v>
      </c>
      <c r="F887">
        <v>35.766216278000002</v>
      </c>
      <c r="G887">
        <v>1380.6839600000001</v>
      </c>
      <c r="H887">
        <v>1367.2545166</v>
      </c>
      <c r="I887">
        <v>1277.1376952999999</v>
      </c>
      <c r="J887">
        <v>1252.659668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517.04235500000004</v>
      </c>
      <c r="B888" s="1">
        <f>DATE(2011,9,30) + TIME(1,0,59)</f>
        <v>40816.042349537034</v>
      </c>
      <c r="C888">
        <v>80</v>
      </c>
      <c r="D888">
        <v>79.941291809000006</v>
      </c>
      <c r="E888">
        <v>50</v>
      </c>
      <c r="F888">
        <v>35.638118744000003</v>
      </c>
      <c r="G888">
        <v>1380.6175536999999</v>
      </c>
      <c r="H888">
        <v>1367.1936035000001</v>
      </c>
      <c r="I888">
        <v>1277.0078125</v>
      </c>
      <c r="J888">
        <v>1252.4147949000001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518</v>
      </c>
      <c r="B889" s="1">
        <f>DATE(2011,10,1) + TIME(0,0,0)</f>
        <v>40817</v>
      </c>
      <c r="C889">
        <v>80</v>
      </c>
      <c r="D889">
        <v>79.941322326999995</v>
      </c>
      <c r="E889">
        <v>50</v>
      </c>
      <c r="F889">
        <v>35.547290801999999</v>
      </c>
      <c r="G889">
        <v>1380.5500488</v>
      </c>
      <c r="H889">
        <v>1367.1315918</v>
      </c>
      <c r="I889">
        <v>1276.8883057</v>
      </c>
      <c r="J889">
        <v>1252.2009277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519.89881200000002</v>
      </c>
      <c r="B890" s="1">
        <f>DATE(2011,10,2) + TIME(21,34,17)</f>
        <v>40818.89880787037</v>
      </c>
      <c r="C890">
        <v>80</v>
      </c>
      <c r="D890">
        <v>79.941421508999994</v>
      </c>
      <c r="E890">
        <v>50</v>
      </c>
      <c r="F890">
        <v>35.455642699999999</v>
      </c>
      <c r="G890">
        <v>1380.5162353999999</v>
      </c>
      <c r="H890">
        <v>1367.1004639</v>
      </c>
      <c r="I890">
        <v>1276.8161620999999</v>
      </c>
      <c r="J890">
        <v>1252.0478516000001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521.81590700000004</v>
      </c>
      <c r="B891" s="1">
        <f>DATE(2011,10,4) + TIME(19,34,54)</f>
        <v>40820.81590277778</v>
      </c>
      <c r="C891">
        <v>80</v>
      </c>
      <c r="D891">
        <v>79.941505432</v>
      </c>
      <c r="E891">
        <v>50</v>
      </c>
      <c r="F891">
        <v>35.361129761000001</v>
      </c>
      <c r="G891">
        <v>1380.4486084</v>
      </c>
      <c r="H891">
        <v>1367.0382079999999</v>
      </c>
      <c r="I891">
        <v>1276.7012939000001</v>
      </c>
      <c r="J891">
        <v>1251.8316649999999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522.77880400000004</v>
      </c>
      <c r="B892" s="1">
        <f>DATE(2011,10,5) + TIME(18,41,28)</f>
        <v>40821.778796296298</v>
      </c>
      <c r="C892">
        <v>80</v>
      </c>
      <c r="D892">
        <v>79.941543578999998</v>
      </c>
      <c r="E892">
        <v>50</v>
      </c>
      <c r="F892">
        <v>35.295471190999997</v>
      </c>
      <c r="G892">
        <v>1380.3801269999999</v>
      </c>
      <c r="H892">
        <v>1366.9750977000001</v>
      </c>
      <c r="I892">
        <v>1276.5970459</v>
      </c>
      <c r="J892">
        <v>1251.6418457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523.74170200000003</v>
      </c>
      <c r="B893" s="1">
        <f>DATE(2011,10,6) + TIME(17,48,3)</f>
        <v>40822.741701388892</v>
      </c>
      <c r="C893">
        <v>80</v>
      </c>
      <c r="D893">
        <v>79.941581725999995</v>
      </c>
      <c r="E893">
        <v>50</v>
      </c>
      <c r="F893">
        <v>35.246868134000003</v>
      </c>
      <c r="G893">
        <v>1380.3459473</v>
      </c>
      <c r="H893">
        <v>1366.9436035000001</v>
      </c>
      <c r="I893">
        <v>1276.5384521000001</v>
      </c>
      <c r="J893">
        <v>1251.5252685999999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524.70459900000003</v>
      </c>
      <c r="B894" s="1">
        <f>DATE(2011,10,7) + TIME(16,54,37)</f>
        <v>40823.704594907409</v>
      </c>
      <c r="C894">
        <v>80</v>
      </c>
      <c r="D894">
        <v>79.941627502000003</v>
      </c>
      <c r="E894">
        <v>50</v>
      </c>
      <c r="F894">
        <v>35.208385468000003</v>
      </c>
      <c r="G894">
        <v>1380.3120117000001</v>
      </c>
      <c r="H894">
        <v>1366.9121094</v>
      </c>
      <c r="I894">
        <v>1276.4847411999999</v>
      </c>
      <c r="J894">
        <v>1251.4202881000001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525.66749700000003</v>
      </c>
      <c r="B895" s="1">
        <f>DATE(2011,10,8) + TIME(16,1,11)</f>
        <v>40824.667488425926</v>
      </c>
      <c r="C895">
        <v>80</v>
      </c>
      <c r="D895">
        <v>79.941673279</v>
      </c>
      <c r="E895">
        <v>50</v>
      </c>
      <c r="F895">
        <v>35.176822661999999</v>
      </c>
      <c r="G895">
        <v>1380.2780762</v>
      </c>
      <c r="H895">
        <v>1366.8808594</v>
      </c>
      <c r="I895">
        <v>1276.434082</v>
      </c>
      <c r="J895">
        <v>1251.3225098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527.59329200000002</v>
      </c>
      <c r="B896" s="1">
        <f>DATE(2011,10,10) + TIME(14,14,20)</f>
        <v>40826.593287037038</v>
      </c>
      <c r="C896">
        <v>80</v>
      </c>
      <c r="D896">
        <v>79.941764832000004</v>
      </c>
      <c r="E896">
        <v>50</v>
      </c>
      <c r="F896">
        <v>35.142711638999998</v>
      </c>
      <c r="G896">
        <v>1380.244751</v>
      </c>
      <c r="H896">
        <v>1366.8499756000001</v>
      </c>
      <c r="I896">
        <v>1276.3804932</v>
      </c>
      <c r="J896">
        <v>1251.2167969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529.51921600000003</v>
      </c>
      <c r="B897" s="1">
        <f>DATE(2011,10,12) + TIME(12,27,40)</f>
        <v>40828.519212962965</v>
      </c>
      <c r="C897">
        <v>80</v>
      </c>
      <c r="D897">
        <v>79.941856384000005</v>
      </c>
      <c r="E897">
        <v>50</v>
      </c>
      <c r="F897">
        <v>35.108894348</v>
      </c>
      <c r="G897">
        <v>1380.1773682</v>
      </c>
      <c r="H897">
        <v>1366.7877197</v>
      </c>
      <c r="I897">
        <v>1276.2945557</v>
      </c>
      <c r="J897">
        <v>1251.0548096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531.46716500000002</v>
      </c>
      <c r="B898" s="1">
        <f>DATE(2011,10,14) + TIME(11,12,43)</f>
        <v>40830.467164351852</v>
      </c>
      <c r="C898">
        <v>80</v>
      </c>
      <c r="D898">
        <v>79.941940308</v>
      </c>
      <c r="E898">
        <v>50</v>
      </c>
      <c r="F898">
        <v>35.087120056000003</v>
      </c>
      <c r="G898">
        <v>1380.1102295000001</v>
      </c>
      <c r="H898">
        <v>1366.7257079999999</v>
      </c>
      <c r="I898">
        <v>1276.2114257999999</v>
      </c>
      <c r="J898">
        <v>1250.8977050999999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533.44464200000004</v>
      </c>
      <c r="B899" s="1">
        <f>DATE(2011,10,16) + TIME(10,40,17)</f>
        <v>40832.444641203707</v>
      </c>
      <c r="C899">
        <v>80</v>
      </c>
      <c r="D899">
        <v>79.94203186</v>
      </c>
      <c r="E899">
        <v>50</v>
      </c>
      <c r="F899">
        <v>35.081295013000002</v>
      </c>
      <c r="G899">
        <v>1380.0428466999999</v>
      </c>
      <c r="H899">
        <v>1366.6632079999999</v>
      </c>
      <c r="I899">
        <v>1276.1334228999999</v>
      </c>
      <c r="J899">
        <v>1250.7509766000001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535.457672</v>
      </c>
      <c r="B900" s="1">
        <f>DATE(2011,10,18) + TIME(10,59,2)</f>
        <v>40834.457662037035</v>
      </c>
      <c r="C900">
        <v>80</v>
      </c>
      <c r="D900">
        <v>79.942123413000004</v>
      </c>
      <c r="E900">
        <v>50</v>
      </c>
      <c r="F900">
        <v>35.093196869000003</v>
      </c>
      <c r="G900">
        <v>1379.9747314000001</v>
      </c>
      <c r="H900">
        <v>1366.6000977000001</v>
      </c>
      <c r="I900">
        <v>1276.0610352000001</v>
      </c>
      <c r="J900">
        <v>1250.6164550999999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537.49608699999999</v>
      </c>
      <c r="B901" s="1">
        <f>DATE(2011,10,20) + TIME(11,54,21)</f>
        <v>40836.496076388888</v>
      </c>
      <c r="C901">
        <v>80</v>
      </c>
      <c r="D901">
        <v>79.942214965999995</v>
      </c>
      <c r="E901">
        <v>50</v>
      </c>
      <c r="F901">
        <v>35.123924254999999</v>
      </c>
      <c r="G901">
        <v>1379.9058838000001</v>
      </c>
      <c r="H901">
        <v>1366.5362548999999</v>
      </c>
      <c r="I901">
        <v>1275.994751</v>
      </c>
      <c r="J901">
        <v>1250.4951172000001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539.55332299999998</v>
      </c>
      <c r="B902" s="1">
        <f>DATE(2011,10,22) + TIME(13,16,47)</f>
        <v>40838.55332175926</v>
      </c>
      <c r="C902">
        <v>80</v>
      </c>
      <c r="D902">
        <v>79.942306518999999</v>
      </c>
      <c r="E902">
        <v>50</v>
      </c>
      <c r="F902">
        <v>35.174007416000002</v>
      </c>
      <c r="G902">
        <v>1379.8366699000001</v>
      </c>
      <c r="H902">
        <v>1366.4719238</v>
      </c>
      <c r="I902">
        <v>1275.9349365</v>
      </c>
      <c r="J902">
        <v>1250.3881836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541.63471600000003</v>
      </c>
      <c r="B903" s="1">
        <f>DATE(2011,10,24) + TIME(15,13,59)</f>
        <v>40840.634710648148</v>
      </c>
      <c r="C903">
        <v>80</v>
      </c>
      <c r="D903">
        <v>79.942398071</v>
      </c>
      <c r="E903">
        <v>50</v>
      </c>
      <c r="F903">
        <v>35.243537903000004</v>
      </c>
      <c r="G903">
        <v>1379.7673339999999</v>
      </c>
      <c r="H903">
        <v>1366.4074707</v>
      </c>
      <c r="I903">
        <v>1275.8818358999999</v>
      </c>
      <c r="J903">
        <v>1250.2961425999999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543.72693800000002</v>
      </c>
      <c r="B904" s="1">
        <f>DATE(2011,10,26) + TIME(17,26,47)</f>
        <v>40842.72693287037</v>
      </c>
      <c r="C904">
        <v>80</v>
      </c>
      <c r="D904">
        <v>79.942489624000004</v>
      </c>
      <c r="E904">
        <v>50</v>
      </c>
      <c r="F904">
        <v>35.332344055</v>
      </c>
      <c r="G904">
        <v>1379.6977539</v>
      </c>
      <c r="H904">
        <v>1366.3427733999999</v>
      </c>
      <c r="I904">
        <v>1275.8353271000001</v>
      </c>
      <c r="J904">
        <v>1250.2189940999999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545.83934899999997</v>
      </c>
      <c r="B905" s="1">
        <f>DATE(2011,10,28) + TIME(20,8,39)</f>
        <v>40844.83934027778</v>
      </c>
      <c r="C905">
        <v>80</v>
      </c>
      <c r="D905">
        <v>79.942588806000003</v>
      </c>
      <c r="E905">
        <v>50</v>
      </c>
      <c r="F905">
        <v>35.439662933000001</v>
      </c>
      <c r="G905">
        <v>1379.628418</v>
      </c>
      <c r="H905">
        <v>1366.2783202999999</v>
      </c>
      <c r="I905">
        <v>1275.7955322</v>
      </c>
      <c r="J905">
        <v>1250.1569824000001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547.97418700000003</v>
      </c>
      <c r="B906" s="1">
        <f>DATE(2011,10,30) + TIME(23,22,49)</f>
        <v>40846.974178240744</v>
      </c>
      <c r="C906">
        <v>80</v>
      </c>
      <c r="D906">
        <v>79.942680358999993</v>
      </c>
      <c r="E906">
        <v>50</v>
      </c>
      <c r="F906">
        <v>35.564857482999997</v>
      </c>
      <c r="G906">
        <v>1379.559082</v>
      </c>
      <c r="H906">
        <v>1366.2137451000001</v>
      </c>
      <c r="I906">
        <v>1275.762207</v>
      </c>
      <c r="J906">
        <v>1250.1096190999999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549</v>
      </c>
      <c r="B907" s="1">
        <f>DATE(2011,11,1) + TIME(0,0,0)</f>
        <v>40848</v>
      </c>
      <c r="C907">
        <v>80</v>
      </c>
      <c r="D907">
        <v>79.942718506000006</v>
      </c>
      <c r="E907">
        <v>50</v>
      </c>
      <c r="F907">
        <v>35.674015044999997</v>
      </c>
      <c r="G907">
        <v>1379.4895019999999</v>
      </c>
      <c r="H907">
        <v>1366.1488036999999</v>
      </c>
      <c r="I907">
        <v>1275.7478027</v>
      </c>
      <c r="J907">
        <v>1250.0811768000001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549.000001</v>
      </c>
      <c r="B908" s="1">
        <f>DATE(2011,11,1) + TIME(0,0,0)</f>
        <v>40848</v>
      </c>
      <c r="C908">
        <v>80</v>
      </c>
      <c r="D908">
        <v>79.942245482999994</v>
      </c>
      <c r="E908">
        <v>50</v>
      </c>
      <c r="F908">
        <v>35.674549102999997</v>
      </c>
      <c r="G908">
        <v>1362.046875</v>
      </c>
      <c r="H908">
        <v>1350.0703125</v>
      </c>
      <c r="I908">
        <v>1305.9414062000001</v>
      </c>
      <c r="J908">
        <v>1280.4667969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549.00000399999999</v>
      </c>
      <c r="B909" s="1">
        <f>DATE(2011,11,1) + TIME(0,0,0)</f>
        <v>40848</v>
      </c>
      <c r="C909">
        <v>80</v>
      </c>
      <c r="D909">
        <v>79.941490173000005</v>
      </c>
      <c r="E909">
        <v>50</v>
      </c>
      <c r="F909">
        <v>35.675643921000002</v>
      </c>
      <c r="G909">
        <v>1355.4761963000001</v>
      </c>
      <c r="H909">
        <v>1343.4986572</v>
      </c>
      <c r="I909">
        <v>1315.2578125</v>
      </c>
      <c r="J909">
        <v>1289.9538574000001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549.00001299999997</v>
      </c>
      <c r="B910" s="1">
        <f>DATE(2011,11,1) + TIME(0,0,1)</f>
        <v>40848.000011574077</v>
      </c>
      <c r="C910">
        <v>80</v>
      </c>
      <c r="D910">
        <v>79.940605164000004</v>
      </c>
      <c r="E910">
        <v>50</v>
      </c>
      <c r="F910">
        <v>35.677299499999997</v>
      </c>
      <c r="G910">
        <v>1347.8725586</v>
      </c>
      <c r="H910">
        <v>1335.9013672000001</v>
      </c>
      <c r="I910">
        <v>1328.8498535000001</v>
      </c>
      <c r="J910">
        <v>1303.6173096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549.00004000000001</v>
      </c>
      <c r="B911" s="1">
        <f>DATE(2011,11,1) + TIME(0,0,3)</f>
        <v>40848.000034722223</v>
      </c>
      <c r="C911">
        <v>80</v>
      </c>
      <c r="D911">
        <v>79.939735412999994</v>
      </c>
      <c r="E911">
        <v>50</v>
      </c>
      <c r="F911">
        <v>35.679420471</v>
      </c>
      <c r="G911">
        <v>1340.3741454999999</v>
      </c>
      <c r="H911">
        <v>1328.4129639</v>
      </c>
      <c r="I911">
        <v>1343.9283447</v>
      </c>
      <c r="J911">
        <v>1318.7036132999999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549.00012100000004</v>
      </c>
      <c r="B912" s="1">
        <f>DATE(2011,11,1) + TIME(0,0,10)</f>
        <v>40848.000115740739</v>
      </c>
      <c r="C912">
        <v>80</v>
      </c>
      <c r="D912">
        <v>79.938865661999998</v>
      </c>
      <c r="E912">
        <v>50</v>
      </c>
      <c r="F912">
        <v>35.682479858000001</v>
      </c>
      <c r="G912">
        <v>1333.0087891000001</v>
      </c>
      <c r="H912">
        <v>1321.0484618999999</v>
      </c>
      <c r="I912">
        <v>1359.1374512</v>
      </c>
      <c r="J912">
        <v>1333.9239502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549.00036399999999</v>
      </c>
      <c r="B913" s="1">
        <f>DATE(2011,11,1) + TIME(0,0,31)</f>
        <v>40848.000358796293</v>
      </c>
      <c r="C913">
        <v>80</v>
      </c>
      <c r="D913">
        <v>79.937927246000001</v>
      </c>
      <c r="E913">
        <v>50</v>
      </c>
      <c r="F913">
        <v>35.688339233000001</v>
      </c>
      <c r="G913">
        <v>1325.4262695</v>
      </c>
      <c r="H913">
        <v>1313.3996582</v>
      </c>
      <c r="I913">
        <v>1374.5723877</v>
      </c>
      <c r="J913">
        <v>1349.3334961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549.00109299999997</v>
      </c>
      <c r="B914" s="1">
        <f>DATE(2011,11,1) + TIME(0,1,34)</f>
        <v>40848.001087962963</v>
      </c>
      <c r="C914">
        <v>80</v>
      </c>
      <c r="D914">
        <v>79.936790466000005</v>
      </c>
      <c r="E914">
        <v>50</v>
      </c>
      <c r="F914">
        <v>35.702529906999999</v>
      </c>
      <c r="G914">
        <v>1317.2683105000001</v>
      </c>
      <c r="H914">
        <v>1305.1085204999999</v>
      </c>
      <c r="I914">
        <v>1389.7180175999999</v>
      </c>
      <c r="J914">
        <v>1364.3704834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549.00328000000002</v>
      </c>
      <c r="B915" s="1">
        <f>DATE(2011,11,1) + TIME(0,4,43)</f>
        <v>40848.003275462965</v>
      </c>
      <c r="C915">
        <v>80</v>
      </c>
      <c r="D915">
        <v>79.935287475999999</v>
      </c>
      <c r="E915">
        <v>50</v>
      </c>
      <c r="F915">
        <v>35.741638184000003</v>
      </c>
      <c r="G915">
        <v>1309.4223632999999</v>
      </c>
      <c r="H915">
        <v>1297.1680908000001</v>
      </c>
      <c r="I915">
        <v>1402.1563721</v>
      </c>
      <c r="J915">
        <v>1376.6688231999999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549.00984100000005</v>
      </c>
      <c r="B916" s="1">
        <f>DATE(2011,11,1) + TIME(0,14,10)</f>
        <v>40848.009837962964</v>
      </c>
      <c r="C916">
        <v>80</v>
      </c>
      <c r="D916">
        <v>79.932899474999999</v>
      </c>
      <c r="E916">
        <v>50</v>
      </c>
      <c r="F916">
        <v>35.855209350999999</v>
      </c>
      <c r="G916">
        <v>1304.1973877</v>
      </c>
      <c r="H916">
        <v>1291.9084473</v>
      </c>
      <c r="I916">
        <v>1408.9384766000001</v>
      </c>
      <c r="J916">
        <v>1383.4039307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549.02952400000004</v>
      </c>
      <c r="B917" s="1">
        <f>DATE(2011,11,1) + TIME(0,42,30)</f>
        <v>40848.029513888891</v>
      </c>
      <c r="C917">
        <v>80</v>
      </c>
      <c r="D917">
        <v>79.927413939999994</v>
      </c>
      <c r="E917">
        <v>50</v>
      </c>
      <c r="F917">
        <v>36.186424254999999</v>
      </c>
      <c r="G917">
        <v>1302.3428954999999</v>
      </c>
      <c r="H917">
        <v>1290.0455322</v>
      </c>
      <c r="I917">
        <v>1410.5064697</v>
      </c>
      <c r="J917">
        <v>1385.1038818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549.07288700000004</v>
      </c>
      <c r="B918" s="1">
        <f>DATE(2011,11,1) + TIME(1,44,57)</f>
        <v>40848.072881944441</v>
      </c>
      <c r="C918">
        <v>80</v>
      </c>
      <c r="D918">
        <v>79.916152953999998</v>
      </c>
      <c r="E918">
        <v>50</v>
      </c>
      <c r="F918">
        <v>36.879631042</v>
      </c>
      <c r="G918">
        <v>1302.0535889</v>
      </c>
      <c r="H918">
        <v>1289.7545166</v>
      </c>
      <c r="I918">
        <v>1410.1218262</v>
      </c>
      <c r="J918">
        <v>1385.0467529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549.11791100000005</v>
      </c>
      <c r="B919" s="1">
        <f>DATE(2011,11,1) + TIME(2,49,47)</f>
        <v>40848.117905092593</v>
      </c>
      <c r="C919">
        <v>80</v>
      </c>
      <c r="D919">
        <v>79.904678344999994</v>
      </c>
      <c r="E919">
        <v>50</v>
      </c>
      <c r="F919">
        <v>37.562801360999998</v>
      </c>
      <c r="G919">
        <v>1302.0274658000001</v>
      </c>
      <c r="H919">
        <v>1289.7277832</v>
      </c>
      <c r="I919">
        <v>1409.6254882999999</v>
      </c>
      <c r="J919">
        <v>1384.8581543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549.16471999999999</v>
      </c>
      <c r="B920" s="1">
        <f>DATE(2011,11,1) + TIME(3,57,11)</f>
        <v>40848.164710648147</v>
      </c>
      <c r="C920">
        <v>80</v>
      </c>
      <c r="D920">
        <v>79.892944335999999</v>
      </c>
      <c r="E920">
        <v>50</v>
      </c>
      <c r="F920">
        <v>38.235504149999997</v>
      </c>
      <c r="G920">
        <v>1302.0233154</v>
      </c>
      <c r="H920">
        <v>1289.7231445</v>
      </c>
      <c r="I920">
        <v>1409.1448975000001</v>
      </c>
      <c r="J920">
        <v>1384.6734618999999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549.213481</v>
      </c>
      <c r="B921" s="1">
        <f>DATE(2011,11,1) + TIME(5,7,24)</f>
        <v>40848.213472222225</v>
      </c>
      <c r="C921">
        <v>80</v>
      </c>
      <c r="D921">
        <v>79.880928040000001</v>
      </c>
      <c r="E921">
        <v>50</v>
      </c>
      <c r="F921">
        <v>38.897647857999999</v>
      </c>
      <c r="G921">
        <v>1302.0213623</v>
      </c>
      <c r="H921">
        <v>1289.7205810999999</v>
      </c>
      <c r="I921">
        <v>1408.6816406</v>
      </c>
      <c r="J921">
        <v>1384.4948730000001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549.26438399999995</v>
      </c>
      <c r="B922" s="1">
        <f>DATE(2011,11,1) + TIME(6,20,42)</f>
        <v>40848.264374999999</v>
      </c>
      <c r="C922">
        <v>80</v>
      </c>
      <c r="D922">
        <v>79.868598938000005</v>
      </c>
      <c r="E922">
        <v>50</v>
      </c>
      <c r="F922">
        <v>39.549079894999998</v>
      </c>
      <c r="G922">
        <v>1302.0192870999999</v>
      </c>
      <c r="H922">
        <v>1289.7180175999999</v>
      </c>
      <c r="I922">
        <v>1408.234375</v>
      </c>
      <c r="J922">
        <v>1384.3214111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549.31764199999998</v>
      </c>
      <c r="B923" s="1">
        <f>DATE(2011,11,1) + TIME(7,37,24)</f>
        <v>40848.31763888889</v>
      </c>
      <c r="C923">
        <v>80</v>
      </c>
      <c r="D923">
        <v>79.855918884000005</v>
      </c>
      <c r="E923">
        <v>50</v>
      </c>
      <c r="F923">
        <v>40.189670563</v>
      </c>
      <c r="G923">
        <v>1302.0172118999999</v>
      </c>
      <c r="H923">
        <v>1289.715332</v>
      </c>
      <c r="I923">
        <v>1407.8020019999999</v>
      </c>
      <c r="J923">
        <v>1384.1524658000001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549.37351899999999</v>
      </c>
      <c r="B924" s="1">
        <f>DATE(2011,11,1) + TIME(8,57,52)</f>
        <v>40848.373518518521</v>
      </c>
      <c r="C924">
        <v>80</v>
      </c>
      <c r="D924">
        <v>79.842842102000006</v>
      </c>
      <c r="E924">
        <v>50</v>
      </c>
      <c r="F924">
        <v>40.819396973000003</v>
      </c>
      <c r="G924">
        <v>1302.0150146000001</v>
      </c>
      <c r="H924">
        <v>1289.7124022999999</v>
      </c>
      <c r="I924">
        <v>1407.3837891000001</v>
      </c>
      <c r="J924">
        <v>1383.9875488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549.43230900000003</v>
      </c>
      <c r="B925" s="1">
        <f>DATE(2011,11,1) + TIME(10,22,31)</f>
        <v>40848.432303240741</v>
      </c>
      <c r="C925">
        <v>80</v>
      </c>
      <c r="D925">
        <v>79.829322814999998</v>
      </c>
      <c r="E925">
        <v>50</v>
      </c>
      <c r="F925">
        <v>41.437957763999997</v>
      </c>
      <c r="G925">
        <v>1302.0125731999999</v>
      </c>
      <c r="H925">
        <v>1289.7093506000001</v>
      </c>
      <c r="I925">
        <v>1406.9788818</v>
      </c>
      <c r="J925">
        <v>1383.8264160000001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549.49435800000003</v>
      </c>
      <c r="B926" s="1">
        <f>DATE(2011,11,1) + TIME(11,51,52)</f>
        <v>40848.494351851848</v>
      </c>
      <c r="C926">
        <v>80</v>
      </c>
      <c r="D926">
        <v>79.815315247000001</v>
      </c>
      <c r="E926">
        <v>50</v>
      </c>
      <c r="F926">
        <v>42.045097351000003</v>
      </c>
      <c r="G926">
        <v>1302.0098877</v>
      </c>
      <c r="H926">
        <v>1289.7061768000001</v>
      </c>
      <c r="I926">
        <v>1406.5865478999999</v>
      </c>
      <c r="J926">
        <v>1383.6685791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549.56007399999999</v>
      </c>
      <c r="B927" s="1">
        <f>DATE(2011,11,1) + TIME(13,26,30)</f>
        <v>40848.560069444444</v>
      </c>
      <c r="C927">
        <v>80</v>
      </c>
      <c r="D927">
        <v>79.800750731999997</v>
      </c>
      <c r="E927">
        <v>50</v>
      </c>
      <c r="F927">
        <v>42.640502929999997</v>
      </c>
      <c r="G927">
        <v>1302.0070800999999</v>
      </c>
      <c r="H927">
        <v>1289.7026367000001</v>
      </c>
      <c r="I927">
        <v>1406.2060547000001</v>
      </c>
      <c r="J927">
        <v>1383.5136719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549.62994400000002</v>
      </c>
      <c r="B928" s="1">
        <f>DATE(2011,11,1) + TIME(15,7,7)</f>
        <v>40848.629942129628</v>
      </c>
      <c r="C928">
        <v>80</v>
      </c>
      <c r="D928">
        <v>79.785545349000003</v>
      </c>
      <c r="E928">
        <v>50</v>
      </c>
      <c r="F928">
        <v>43.223804473999998</v>
      </c>
      <c r="G928">
        <v>1302.0041504000001</v>
      </c>
      <c r="H928">
        <v>1289.6989745999999</v>
      </c>
      <c r="I928">
        <v>1405.8366699000001</v>
      </c>
      <c r="J928">
        <v>1383.3612060999999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549.70455500000003</v>
      </c>
      <c r="B929" s="1">
        <f>DATE(2011,11,1) + TIME(16,54,33)</f>
        <v>40848.704548611109</v>
      </c>
      <c r="C929">
        <v>80</v>
      </c>
      <c r="D929">
        <v>79.769622803000004</v>
      </c>
      <c r="E929">
        <v>50</v>
      </c>
      <c r="F929">
        <v>43.794555664000001</v>
      </c>
      <c r="G929">
        <v>1302.0008545000001</v>
      </c>
      <c r="H929">
        <v>1289.6950684000001</v>
      </c>
      <c r="I929">
        <v>1405.4777832</v>
      </c>
      <c r="J929">
        <v>1383.2108154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549.78461900000002</v>
      </c>
      <c r="B930" s="1">
        <f>DATE(2011,11,1) + TIME(18,49,51)</f>
        <v>40848.784618055557</v>
      </c>
      <c r="C930">
        <v>80</v>
      </c>
      <c r="D930">
        <v>79.752868652000004</v>
      </c>
      <c r="E930">
        <v>50</v>
      </c>
      <c r="F930">
        <v>44.352230071999998</v>
      </c>
      <c r="G930">
        <v>1301.9974365</v>
      </c>
      <c r="H930">
        <v>1289.6907959</v>
      </c>
      <c r="I930">
        <v>1405.1287841999999</v>
      </c>
      <c r="J930">
        <v>1383.0618896000001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549.87101900000005</v>
      </c>
      <c r="B931" s="1">
        <f>DATE(2011,11,1) + TIME(20,54,16)</f>
        <v>40848.871018518519</v>
      </c>
      <c r="C931">
        <v>80</v>
      </c>
      <c r="D931">
        <v>79.735160828000005</v>
      </c>
      <c r="E931">
        <v>50</v>
      </c>
      <c r="F931">
        <v>44.896190642999997</v>
      </c>
      <c r="G931">
        <v>1301.9936522999999</v>
      </c>
      <c r="H931">
        <v>1289.6862793</v>
      </c>
      <c r="I931">
        <v>1404.7889404</v>
      </c>
      <c r="J931">
        <v>1382.9141846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549.96485800000005</v>
      </c>
      <c r="B932" s="1">
        <f>DATE(2011,11,1) + TIME(23,9,23)</f>
        <v>40848.964849537035</v>
      </c>
      <c r="C932">
        <v>80</v>
      </c>
      <c r="D932">
        <v>79.716323853000006</v>
      </c>
      <c r="E932">
        <v>50</v>
      </c>
      <c r="F932">
        <v>45.425682068</v>
      </c>
      <c r="G932">
        <v>1301.989624</v>
      </c>
      <c r="H932">
        <v>1289.6812743999999</v>
      </c>
      <c r="I932">
        <v>1404.4575195</v>
      </c>
      <c r="J932">
        <v>1382.7670897999999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550.06752800000004</v>
      </c>
      <c r="B933" s="1">
        <f>DATE(2011,11,2) + TIME(1,37,14)</f>
        <v>40849.067523148151</v>
      </c>
      <c r="C933">
        <v>80</v>
      </c>
      <c r="D933">
        <v>79.696159363000007</v>
      </c>
      <c r="E933">
        <v>50</v>
      </c>
      <c r="F933">
        <v>45.939712524000001</v>
      </c>
      <c r="G933">
        <v>1301.9851074000001</v>
      </c>
      <c r="H933">
        <v>1289.6760254000001</v>
      </c>
      <c r="I933">
        <v>1404.1339111</v>
      </c>
      <c r="J933">
        <v>1382.6198730000001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550.18086200000005</v>
      </c>
      <c r="B934" s="1">
        <f>DATE(2011,11,2) + TIME(4,20,26)</f>
        <v>40849.180856481478</v>
      </c>
      <c r="C934">
        <v>80</v>
      </c>
      <c r="D934">
        <v>79.674415588000002</v>
      </c>
      <c r="E934">
        <v>50</v>
      </c>
      <c r="F934">
        <v>46.437217711999999</v>
      </c>
      <c r="G934">
        <v>1301.9802245999999</v>
      </c>
      <c r="H934">
        <v>1289.6701660000001</v>
      </c>
      <c r="I934">
        <v>1403.8175048999999</v>
      </c>
      <c r="J934">
        <v>1382.4720459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550.30730000000005</v>
      </c>
      <c r="B935" s="1">
        <f>DATE(2011,11,2) + TIME(7,22,30)</f>
        <v>40849.307291666664</v>
      </c>
      <c r="C935">
        <v>80</v>
      </c>
      <c r="D935">
        <v>79.650756835999999</v>
      </c>
      <c r="E935">
        <v>50</v>
      </c>
      <c r="F935">
        <v>46.916873932000001</v>
      </c>
      <c r="G935">
        <v>1301.9749756000001</v>
      </c>
      <c r="H935">
        <v>1289.6638184000001</v>
      </c>
      <c r="I935">
        <v>1403.5073242000001</v>
      </c>
      <c r="J935">
        <v>1382.3226318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550.45016799999996</v>
      </c>
      <c r="B936" s="1">
        <f>DATE(2011,11,2) + TIME(10,48,14)</f>
        <v>40849.450162037036</v>
      </c>
      <c r="C936">
        <v>80</v>
      </c>
      <c r="D936">
        <v>79.624710082999997</v>
      </c>
      <c r="E936">
        <v>50</v>
      </c>
      <c r="F936">
        <v>47.376991271999998</v>
      </c>
      <c r="G936">
        <v>1301.9689940999999</v>
      </c>
      <c r="H936">
        <v>1289.6567382999999</v>
      </c>
      <c r="I936">
        <v>1403.2026367000001</v>
      </c>
      <c r="J936">
        <v>1382.1706543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550.61416299999996</v>
      </c>
      <c r="B937" s="1">
        <f>DATE(2011,11,2) + TIME(14,44,23)</f>
        <v>40849.614155092589</v>
      </c>
      <c r="C937">
        <v>80</v>
      </c>
      <c r="D937">
        <v>79.595680236999996</v>
      </c>
      <c r="E937">
        <v>50</v>
      </c>
      <c r="F937">
        <v>47.815444946</v>
      </c>
      <c r="G937">
        <v>1301.9622803</v>
      </c>
      <c r="H937">
        <v>1289.6488036999999</v>
      </c>
      <c r="I937">
        <v>1402.9023437999999</v>
      </c>
      <c r="J937">
        <v>1382.0148925999999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550.79485799999998</v>
      </c>
      <c r="B938" s="1">
        <f>DATE(2011,11,2) + TIME(19,4,35)</f>
        <v>40849.794849537036</v>
      </c>
      <c r="C938">
        <v>80</v>
      </c>
      <c r="D938">
        <v>79.564376831000004</v>
      </c>
      <c r="E938">
        <v>50</v>
      </c>
      <c r="F938">
        <v>48.209571838000002</v>
      </c>
      <c r="G938">
        <v>1301.9544678</v>
      </c>
      <c r="H938">
        <v>1289.6396483999999</v>
      </c>
      <c r="I938">
        <v>1402.6175536999999</v>
      </c>
      <c r="J938">
        <v>1381.8588867000001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550.97634200000005</v>
      </c>
      <c r="B939" s="1">
        <f>DATE(2011,11,2) + TIME(23,25,55)</f>
        <v>40849.976331018515</v>
      </c>
      <c r="C939">
        <v>80</v>
      </c>
      <c r="D939">
        <v>79.533050536999994</v>
      </c>
      <c r="E939">
        <v>50</v>
      </c>
      <c r="F939">
        <v>48.532207489000001</v>
      </c>
      <c r="G939">
        <v>1301.9458007999999</v>
      </c>
      <c r="H939">
        <v>1289.6298827999999</v>
      </c>
      <c r="I939">
        <v>1402.3652344</v>
      </c>
      <c r="J939">
        <v>1381.7110596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551.161474</v>
      </c>
      <c r="B940" s="1">
        <f>DATE(2011,11,3) + TIME(3,52,31)</f>
        <v>40850.161469907405</v>
      </c>
      <c r="C940">
        <v>80</v>
      </c>
      <c r="D940">
        <v>79.501319885000001</v>
      </c>
      <c r="E940">
        <v>50</v>
      </c>
      <c r="F940">
        <v>48.799415588000002</v>
      </c>
      <c r="G940">
        <v>1301.9371338000001</v>
      </c>
      <c r="H940">
        <v>1289.6199951000001</v>
      </c>
      <c r="I940">
        <v>1402.1413574000001</v>
      </c>
      <c r="J940">
        <v>1381.5744629000001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551.35165600000005</v>
      </c>
      <c r="B941" s="1">
        <f>DATE(2011,11,3) + TIME(8,26,23)</f>
        <v>40850.351655092592</v>
      </c>
      <c r="C941">
        <v>80</v>
      </c>
      <c r="D941">
        <v>79.469001770000006</v>
      </c>
      <c r="E941">
        <v>50</v>
      </c>
      <c r="F941">
        <v>49.021114349000001</v>
      </c>
      <c r="G941">
        <v>1301.9283447</v>
      </c>
      <c r="H941">
        <v>1289.6098632999999</v>
      </c>
      <c r="I941">
        <v>1401.9399414</v>
      </c>
      <c r="J941">
        <v>1381.4461670000001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551.548407</v>
      </c>
      <c r="B942" s="1">
        <f>DATE(2011,11,3) + TIME(13,9,42)</f>
        <v>40850.548402777778</v>
      </c>
      <c r="C942">
        <v>80</v>
      </c>
      <c r="D942">
        <v>79.435890197999996</v>
      </c>
      <c r="E942">
        <v>50</v>
      </c>
      <c r="F942">
        <v>49.205142975000001</v>
      </c>
      <c r="G942">
        <v>1301.9193115</v>
      </c>
      <c r="H942">
        <v>1289.5996094</v>
      </c>
      <c r="I942">
        <v>1401.7567139</v>
      </c>
      <c r="J942">
        <v>1381.3245850000001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551.75333799999999</v>
      </c>
      <c r="B943" s="1">
        <f>DATE(2011,11,3) + TIME(18,4,48)</f>
        <v>40850.753333333334</v>
      </c>
      <c r="C943">
        <v>80</v>
      </c>
      <c r="D943">
        <v>79.401763915999993</v>
      </c>
      <c r="E943">
        <v>50</v>
      </c>
      <c r="F943">
        <v>49.357692718999999</v>
      </c>
      <c r="G943">
        <v>1301.9100341999999</v>
      </c>
      <c r="H943">
        <v>1289.5888672000001</v>
      </c>
      <c r="I943">
        <v>1401.5882568</v>
      </c>
      <c r="J943">
        <v>1381.2082519999999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551.96823700000004</v>
      </c>
      <c r="B944" s="1">
        <f>DATE(2011,11,3) + TIME(23,14,15)</f>
        <v>40850.968229166669</v>
      </c>
      <c r="C944">
        <v>80</v>
      </c>
      <c r="D944">
        <v>79.366401671999995</v>
      </c>
      <c r="E944">
        <v>50</v>
      </c>
      <c r="F944">
        <v>49.483779906999999</v>
      </c>
      <c r="G944">
        <v>1301.9003906</v>
      </c>
      <c r="H944">
        <v>1289.5778809000001</v>
      </c>
      <c r="I944">
        <v>1401.4317627</v>
      </c>
      <c r="J944">
        <v>1381.0959473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552.19515999999999</v>
      </c>
      <c r="B945" s="1">
        <f>DATE(2011,11,4) + TIME(4,41,1)</f>
        <v>40851.195150462961</v>
      </c>
      <c r="C945">
        <v>80</v>
      </c>
      <c r="D945">
        <v>79.329521178999997</v>
      </c>
      <c r="E945">
        <v>50</v>
      </c>
      <c r="F945">
        <v>49.587528229</v>
      </c>
      <c r="G945">
        <v>1301.8902588000001</v>
      </c>
      <c r="H945">
        <v>1289.5662841999999</v>
      </c>
      <c r="I945">
        <v>1401.2849120999999</v>
      </c>
      <c r="J945">
        <v>1380.9868164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552.43654400000003</v>
      </c>
      <c r="B946" s="1">
        <f>DATE(2011,11,4) + TIME(10,28,37)</f>
        <v>40851.436539351853</v>
      </c>
      <c r="C946">
        <v>80</v>
      </c>
      <c r="D946">
        <v>79.290817261000001</v>
      </c>
      <c r="E946">
        <v>50</v>
      </c>
      <c r="F946">
        <v>49.672359467</v>
      </c>
      <c r="G946">
        <v>1301.8796387</v>
      </c>
      <c r="H946">
        <v>1289.5540771000001</v>
      </c>
      <c r="I946">
        <v>1401.1456298999999</v>
      </c>
      <c r="J946">
        <v>1380.8796387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552.69534599999997</v>
      </c>
      <c r="B947" s="1">
        <f>DATE(2011,11,4) + TIME(16,41,17)</f>
        <v>40851.695335648146</v>
      </c>
      <c r="C947">
        <v>80</v>
      </c>
      <c r="D947">
        <v>79.249931334999999</v>
      </c>
      <c r="E947">
        <v>50</v>
      </c>
      <c r="F947">
        <v>49.741172790999997</v>
      </c>
      <c r="G947">
        <v>1301.8684082</v>
      </c>
      <c r="H947">
        <v>1289.5411377</v>
      </c>
      <c r="I947">
        <v>1401.0119629000001</v>
      </c>
      <c r="J947">
        <v>1380.7735596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552.97522000000004</v>
      </c>
      <c r="B948" s="1">
        <f>DATE(2011,11,4) + TIME(23,24,18)</f>
        <v>40851.975208333337</v>
      </c>
      <c r="C948">
        <v>80</v>
      </c>
      <c r="D948">
        <v>79.206413268999995</v>
      </c>
      <c r="E948">
        <v>50</v>
      </c>
      <c r="F948">
        <v>49.796428679999998</v>
      </c>
      <c r="G948">
        <v>1301.8563231999999</v>
      </c>
      <c r="H948">
        <v>1289.5273437999999</v>
      </c>
      <c r="I948">
        <v>1400.8823242000001</v>
      </c>
      <c r="J948">
        <v>1380.6677245999999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553.27736100000004</v>
      </c>
      <c r="B949" s="1">
        <f>DATE(2011,11,5) + TIME(6,39,23)</f>
        <v>40852.277349537035</v>
      </c>
      <c r="C949">
        <v>80</v>
      </c>
      <c r="D949">
        <v>79.160095214999998</v>
      </c>
      <c r="E949">
        <v>50</v>
      </c>
      <c r="F949">
        <v>49.839881896999998</v>
      </c>
      <c r="G949">
        <v>1301.8432617000001</v>
      </c>
      <c r="H949">
        <v>1289.5124512</v>
      </c>
      <c r="I949">
        <v>1400.7553711</v>
      </c>
      <c r="J949">
        <v>1380.5612793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553.60359600000004</v>
      </c>
      <c r="B950" s="1">
        <f>DATE(2011,11,5) + TIME(14,29,10)</f>
        <v>40852.603587962964</v>
      </c>
      <c r="C950">
        <v>80</v>
      </c>
      <c r="D950">
        <v>79.110755920000003</v>
      </c>
      <c r="E950">
        <v>50</v>
      </c>
      <c r="F950">
        <v>49.873390198000003</v>
      </c>
      <c r="G950">
        <v>1301.8292236</v>
      </c>
      <c r="H950">
        <v>1289.4964600000001</v>
      </c>
      <c r="I950">
        <v>1400.6304932</v>
      </c>
      <c r="J950">
        <v>1380.4543457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553.95930799999996</v>
      </c>
      <c r="B951" s="1">
        <f>DATE(2011,11,5) + TIME(23,1,24)</f>
        <v>40852.959305555552</v>
      </c>
      <c r="C951">
        <v>80</v>
      </c>
      <c r="D951">
        <v>79.057785034000005</v>
      </c>
      <c r="E951">
        <v>50</v>
      </c>
      <c r="F951">
        <v>49.898887633999998</v>
      </c>
      <c r="G951">
        <v>1301.8140868999999</v>
      </c>
      <c r="H951">
        <v>1289.479126</v>
      </c>
      <c r="I951">
        <v>1400.5069579999999</v>
      </c>
      <c r="J951">
        <v>1380.3466797000001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554.32958699999995</v>
      </c>
      <c r="B952" s="1">
        <f>DATE(2011,11,6) + TIME(7,54,36)</f>
        <v>40853.329583333332</v>
      </c>
      <c r="C952">
        <v>80</v>
      </c>
      <c r="D952">
        <v>79.002655028999996</v>
      </c>
      <c r="E952">
        <v>50</v>
      </c>
      <c r="F952">
        <v>49.917232513000002</v>
      </c>
      <c r="G952">
        <v>1301.7974853999999</v>
      </c>
      <c r="H952">
        <v>1289.4603271000001</v>
      </c>
      <c r="I952">
        <v>1400.3837891000001</v>
      </c>
      <c r="J952">
        <v>1380.2374268000001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554.70437600000002</v>
      </c>
      <c r="B953" s="1">
        <f>DATE(2011,11,6) + TIME(16,54,18)</f>
        <v>40853.704375000001</v>
      </c>
      <c r="C953">
        <v>80</v>
      </c>
      <c r="D953">
        <v>78.946525574000006</v>
      </c>
      <c r="E953">
        <v>50</v>
      </c>
      <c r="F953">
        <v>49.930065155000001</v>
      </c>
      <c r="G953">
        <v>1301.7801514</v>
      </c>
      <c r="H953">
        <v>1289.440918</v>
      </c>
      <c r="I953">
        <v>1400.2653809000001</v>
      </c>
      <c r="J953">
        <v>1380.1314697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555.08756800000003</v>
      </c>
      <c r="B954" s="1">
        <f>DATE(2011,11,7) + TIME(2,6,5)</f>
        <v>40854.087557870371</v>
      </c>
      <c r="C954">
        <v>80</v>
      </c>
      <c r="D954">
        <v>78.889244079999997</v>
      </c>
      <c r="E954">
        <v>50</v>
      </c>
      <c r="F954">
        <v>49.939105988000001</v>
      </c>
      <c r="G954">
        <v>1301.7626952999999</v>
      </c>
      <c r="H954">
        <v>1289.4211425999999</v>
      </c>
      <c r="I954">
        <v>1400.1538086</v>
      </c>
      <c r="J954">
        <v>1380.0310059000001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555.48287400000004</v>
      </c>
      <c r="B955" s="1">
        <f>DATE(2011,11,7) + TIME(11,35,20)</f>
        <v>40854.482870370368</v>
      </c>
      <c r="C955">
        <v>80</v>
      </c>
      <c r="D955">
        <v>78.830558776999993</v>
      </c>
      <c r="E955">
        <v>50</v>
      </c>
      <c r="F955">
        <v>49.945507050000003</v>
      </c>
      <c r="G955">
        <v>1301.7448730000001</v>
      </c>
      <c r="H955">
        <v>1289.4008789</v>
      </c>
      <c r="I955">
        <v>1400.0472411999999</v>
      </c>
      <c r="J955">
        <v>1379.9345702999999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555.89414199999999</v>
      </c>
      <c r="B956" s="1">
        <f>DATE(2011,11,7) + TIME(21,27,33)</f>
        <v>40854.894131944442</v>
      </c>
      <c r="C956">
        <v>80</v>
      </c>
      <c r="D956">
        <v>78.770141601999995</v>
      </c>
      <c r="E956">
        <v>50</v>
      </c>
      <c r="F956">
        <v>49.950054168999998</v>
      </c>
      <c r="G956">
        <v>1301.7265625</v>
      </c>
      <c r="H956">
        <v>1289.3800048999999</v>
      </c>
      <c r="I956">
        <v>1399.9439697</v>
      </c>
      <c r="J956">
        <v>1379.8410644999999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556.32561899999996</v>
      </c>
      <c r="B957" s="1">
        <f>DATE(2011,11,8) + TIME(7,48,53)</f>
        <v>40855.325613425928</v>
      </c>
      <c r="C957">
        <v>80</v>
      </c>
      <c r="D957">
        <v>78.707565308</v>
      </c>
      <c r="E957">
        <v>50</v>
      </c>
      <c r="F957">
        <v>49.953289032000001</v>
      </c>
      <c r="G957">
        <v>1301.7075195</v>
      </c>
      <c r="H957">
        <v>1289.3583983999999</v>
      </c>
      <c r="I957">
        <v>1399.8430175999999</v>
      </c>
      <c r="J957">
        <v>1379.7493896000001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556.78029300000003</v>
      </c>
      <c r="B958" s="1">
        <f>DATE(2011,11,8) + TIME(18,43,37)</f>
        <v>40855.780289351853</v>
      </c>
      <c r="C958">
        <v>80</v>
      </c>
      <c r="D958">
        <v>78.642501831000004</v>
      </c>
      <c r="E958">
        <v>50</v>
      </c>
      <c r="F958">
        <v>49.955589293999999</v>
      </c>
      <c r="G958">
        <v>1301.6876221</v>
      </c>
      <c r="H958">
        <v>1289.3356934000001</v>
      </c>
      <c r="I958">
        <v>1399.7431641000001</v>
      </c>
      <c r="J958">
        <v>1379.6585693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557.25566400000002</v>
      </c>
      <c r="B959" s="1">
        <f>DATE(2011,11,9) + TIME(6,8,9)</f>
        <v>40856.255659722221</v>
      </c>
      <c r="C959">
        <v>80</v>
      </c>
      <c r="D959">
        <v>78.575119018999999</v>
      </c>
      <c r="E959">
        <v>50</v>
      </c>
      <c r="F959">
        <v>49.957206726000003</v>
      </c>
      <c r="G959">
        <v>1301.6665039</v>
      </c>
      <c r="H959">
        <v>1289.3117675999999</v>
      </c>
      <c r="I959">
        <v>1399.6437988</v>
      </c>
      <c r="J959">
        <v>1379.5683594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557.75673900000004</v>
      </c>
      <c r="B960" s="1">
        <f>DATE(2011,11,9) + TIME(18,9,42)</f>
        <v>40856.756736111114</v>
      </c>
      <c r="C960">
        <v>80</v>
      </c>
      <c r="D960">
        <v>78.504974364999995</v>
      </c>
      <c r="E960">
        <v>50</v>
      </c>
      <c r="F960">
        <v>49.958358765</v>
      </c>
      <c r="G960">
        <v>1301.6445312000001</v>
      </c>
      <c r="H960">
        <v>1289.2867432</v>
      </c>
      <c r="I960">
        <v>1399.5456543</v>
      </c>
      <c r="J960">
        <v>1379.4792480000001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558.28916500000003</v>
      </c>
      <c r="B961" s="1">
        <f>DATE(2011,11,10) + TIME(6,56,23)</f>
        <v>40857.289155092592</v>
      </c>
      <c r="C961">
        <v>80</v>
      </c>
      <c r="D961">
        <v>78.431549071999996</v>
      </c>
      <c r="E961">
        <v>50</v>
      </c>
      <c r="F961">
        <v>49.959182738999999</v>
      </c>
      <c r="G961">
        <v>1301.6213379000001</v>
      </c>
      <c r="H961">
        <v>1289.260376</v>
      </c>
      <c r="I961">
        <v>1399.447876</v>
      </c>
      <c r="J961">
        <v>1379.3905029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558.85980800000004</v>
      </c>
      <c r="B962" s="1">
        <f>DATE(2011,11,10) + TIME(20,38,7)</f>
        <v>40857.859803240739</v>
      </c>
      <c r="C962">
        <v>80</v>
      </c>
      <c r="D962">
        <v>78.354148864999999</v>
      </c>
      <c r="E962">
        <v>50</v>
      </c>
      <c r="F962">
        <v>49.959777832</v>
      </c>
      <c r="G962">
        <v>1301.5968018000001</v>
      </c>
      <c r="H962">
        <v>1289.2322998</v>
      </c>
      <c r="I962">
        <v>1399.3496094</v>
      </c>
      <c r="J962">
        <v>1379.3015137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559.45071199999995</v>
      </c>
      <c r="B963" s="1">
        <f>DATE(2011,11,11) + TIME(10,49,1)</f>
        <v>40858.450706018521</v>
      </c>
      <c r="C963">
        <v>80</v>
      </c>
      <c r="D963">
        <v>78.274024963000002</v>
      </c>
      <c r="E963">
        <v>50</v>
      </c>
      <c r="F963">
        <v>49.960201263000002</v>
      </c>
      <c r="G963">
        <v>1301.5701904</v>
      </c>
      <c r="H963">
        <v>1289.2022704999999</v>
      </c>
      <c r="I963">
        <v>1399.25</v>
      </c>
      <c r="J963">
        <v>1379.2114257999999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560.04932199999996</v>
      </c>
      <c r="B964" s="1">
        <f>DATE(2011,11,12) + TIME(1,11,1)</f>
        <v>40859.049317129633</v>
      </c>
      <c r="C964">
        <v>80</v>
      </c>
      <c r="D964">
        <v>78.192481994999994</v>
      </c>
      <c r="E964">
        <v>50</v>
      </c>
      <c r="F964">
        <v>49.960502624999997</v>
      </c>
      <c r="G964">
        <v>1301.5426024999999</v>
      </c>
      <c r="H964">
        <v>1289.1711425999999</v>
      </c>
      <c r="I964">
        <v>1399.1524658000001</v>
      </c>
      <c r="J964">
        <v>1379.1234131000001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560.66150300000004</v>
      </c>
      <c r="B965" s="1">
        <f>DATE(2011,11,12) + TIME(15,52,33)</f>
        <v>40859.661493055559</v>
      </c>
      <c r="C965">
        <v>80</v>
      </c>
      <c r="D965">
        <v>78.109535217000001</v>
      </c>
      <c r="E965">
        <v>50</v>
      </c>
      <c r="F965">
        <v>49.960723877</v>
      </c>
      <c r="G965">
        <v>1301.5147704999999</v>
      </c>
      <c r="H965">
        <v>1289.1394043</v>
      </c>
      <c r="I965">
        <v>1399.0589600000001</v>
      </c>
      <c r="J965">
        <v>1379.0390625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561.29305999999997</v>
      </c>
      <c r="B966" s="1">
        <f>DATE(2011,11,13) + TIME(7,2,0)</f>
        <v>40860.293055555558</v>
      </c>
      <c r="C966">
        <v>80</v>
      </c>
      <c r="D966">
        <v>78.024909973000007</v>
      </c>
      <c r="E966">
        <v>50</v>
      </c>
      <c r="F966">
        <v>49.960887909</v>
      </c>
      <c r="G966">
        <v>1301.4862060999999</v>
      </c>
      <c r="H966">
        <v>1289.1069336</v>
      </c>
      <c r="I966">
        <v>1398.9682617000001</v>
      </c>
      <c r="J966">
        <v>1378.9572754000001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561.95016399999997</v>
      </c>
      <c r="B967" s="1">
        <f>DATE(2011,11,13) + TIME(22,48,14)</f>
        <v>40860.950162037036</v>
      </c>
      <c r="C967">
        <v>80</v>
      </c>
      <c r="D967">
        <v>77.938140868999994</v>
      </c>
      <c r="E967">
        <v>50</v>
      </c>
      <c r="F967">
        <v>49.961013794000003</v>
      </c>
      <c r="G967">
        <v>1301.4566649999999</v>
      </c>
      <c r="H967">
        <v>1289.0732422000001</v>
      </c>
      <c r="I967">
        <v>1398.8792725000001</v>
      </c>
      <c r="J967">
        <v>1378.8773193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562.63976000000002</v>
      </c>
      <c r="B968" s="1">
        <f>DATE(2011,11,14) + TIME(15,21,15)</f>
        <v>40861.639756944445</v>
      </c>
      <c r="C968">
        <v>80</v>
      </c>
      <c r="D968">
        <v>77.848594665999997</v>
      </c>
      <c r="E968">
        <v>50</v>
      </c>
      <c r="F968">
        <v>49.961116791000002</v>
      </c>
      <c r="G968">
        <v>1301.4259033000001</v>
      </c>
      <c r="H968">
        <v>1289.0380858999999</v>
      </c>
      <c r="I968">
        <v>1398.7911377</v>
      </c>
      <c r="J968">
        <v>1378.7983397999999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563.36076000000003</v>
      </c>
      <c r="B969" s="1">
        <f>DATE(2011,11,15) + TIME(8,39,29)</f>
        <v>40862.360752314817</v>
      </c>
      <c r="C969">
        <v>80</v>
      </c>
      <c r="D969">
        <v>77.756141662999994</v>
      </c>
      <c r="E969">
        <v>50</v>
      </c>
      <c r="F969">
        <v>49.961196899000001</v>
      </c>
      <c r="G969">
        <v>1301.3935547000001</v>
      </c>
      <c r="H969">
        <v>1289.0010986</v>
      </c>
      <c r="I969">
        <v>1398.703125</v>
      </c>
      <c r="J969">
        <v>1378.7194824000001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564.10867699999994</v>
      </c>
      <c r="B970" s="1">
        <f>DATE(2011,11,16) + TIME(2,36,29)</f>
        <v>40863.108668981484</v>
      </c>
      <c r="C970">
        <v>80</v>
      </c>
      <c r="D970">
        <v>77.661026000999996</v>
      </c>
      <c r="E970">
        <v>50</v>
      </c>
      <c r="F970">
        <v>49.961261749000002</v>
      </c>
      <c r="G970">
        <v>1301.3594971</v>
      </c>
      <c r="H970">
        <v>1288.9622803</v>
      </c>
      <c r="I970">
        <v>1398.6154785000001</v>
      </c>
      <c r="J970">
        <v>1378.6409911999999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564.89095699999996</v>
      </c>
      <c r="B971" s="1">
        <f>DATE(2011,11,16) + TIME(21,22,58)</f>
        <v>40863.890949074077</v>
      </c>
      <c r="C971">
        <v>80</v>
      </c>
      <c r="D971">
        <v>77.562896729000002</v>
      </c>
      <c r="E971">
        <v>50</v>
      </c>
      <c r="F971">
        <v>49.961315155000001</v>
      </c>
      <c r="G971">
        <v>1301.3240966999999</v>
      </c>
      <c r="H971">
        <v>1288.921875</v>
      </c>
      <c r="I971">
        <v>1398.5289307</v>
      </c>
      <c r="J971">
        <v>1378.5637207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565.69478100000003</v>
      </c>
      <c r="B972" s="1">
        <f>DATE(2011,11,17) + TIME(16,40,29)</f>
        <v>40864.694780092592</v>
      </c>
      <c r="C972">
        <v>80</v>
      </c>
      <c r="D972">
        <v>77.462471007999994</v>
      </c>
      <c r="E972">
        <v>50</v>
      </c>
      <c r="F972">
        <v>49.961364746000001</v>
      </c>
      <c r="G972">
        <v>1301.2868652</v>
      </c>
      <c r="H972">
        <v>1288.8792725000001</v>
      </c>
      <c r="I972">
        <v>1398.4426269999999</v>
      </c>
      <c r="J972">
        <v>1378.4866943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566.51297799999998</v>
      </c>
      <c r="B973" s="1">
        <f>DATE(2011,11,18) + TIME(12,18,41)</f>
        <v>40865.512974537036</v>
      </c>
      <c r="C973">
        <v>80</v>
      </c>
      <c r="D973">
        <v>77.360565186000002</v>
      </c>
      <c r="E973">
        <v>50</v>
      </c>
      <c r="F973">
        <v>49.961406707999998</v>
      </c>
      <c r="G973">
        <v>1301.2482910000001</v>
      </c>
      <c r="H973">
        <v>1288.8353271000001</v>
      </c>
      <c r="I973">
        <v>1398.3581543</v>
      </c>
      <c r="J973">
        <v>1378.4112548999999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567.3537</v>
      </c>
      <c r="B974" s="1">
        <f>DATE(2011,11,19) + TIME(8,29,19)</f>
        <v>40866.353692129633</v>
      </c>
      <c r="C974">
        <v>80</v>
      </c>
      <c r="D974">
        <v>77.257080078000001</v>
      </c>
      <c r="E974">
        <v>50</v>
      </c>
      <c r="F974">
        <v>49.961441039999997</v>
      </c>
      <c r="G974">
        <v>1301.2089844</v>
      </c>
      <c r="H974">
        <v>1288.7901611</v>
      </c>
      <c r="I974">
        <v>1398.276001</v>
      </c>
      <c r="J974">
        <v>1378.3381348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568.22542299999998</v>
      </c>
      <c r="B975" s="1">
        <f>DATE(2011,11,20) + TIME(5,24,36)</f>
        <v>40867.225416666668</v>
      </c>
      <c r="C975">
        <v>80</v>
      </c>
      <c r="D975">
        <v>77.151512146000002</v>
      </c>
      <c r="E975">
        <v>50</v>
      </c>
      <c r="F975">
        <v>49.961479187000002</v>
      </c>
      <c r="G975">
        <v>1301.1683350000001</v>
      </c>
      <c r="H975">
        <v>1288.7434082</v>
      </c>
      <c r="I975">
        <v>1398.1953125</v>
      </c>
      <c r="J975">
        <v>1378.2664795000001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569.13762699999995</v>
      </c>
      <c r="B976" s="1">
        <f>DATE(2011,11,21) + TIME(3,18,10)</f>
        <v>40868.137615740743</v>
      </c>
      <c r="C976">
        <v>80</v>
      </c>
      <c r="D976">
        <v>77.043106078999998</v>
      </c>
      <c r="E976">
        <v>50</v>
      </c>
      <c r="F976">
        <v>49.961513519</v>
      </c>
      <c r="G976">
        <v>1301.1259766000001</v>
      </c>
      <c r="H976">
        <v>1288.6945800999999</v>
      </c>
      <c r="I976">
        <v>1398.1153564000001</v>
      </c>
      <c r="J976">
        <v>1378.1954346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570.10142599999995</v>
      </c>
      <c r="B977" s="1">
        <f>DATE(2011,11,22) + TIME(2,26,3)</f>
        <v>40869.101423611108</v>
      </c>
      <c r="C977">
        <v>80</v>
      </c>
      <c r="D977">
        <v>76.930915833</v>
      </c>
      <c r="E977">
        <v>50</v>
      </c>
      <c r="F977">
        <v>49.961547852000002</v>
      </c>
      <c r="G977">
        <v>1301.0812988</v>
      </c>
      <c r="H977">
        <v>1288.6430664</v>
      </c>
      <c r="I977">
        <v>1398.0352783000001</v>
      </c>
      <c r="J977">
        <v>1378.1242675999999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571.10018100000002</v>
      </c>
      <c r="B978" s="1">
        <f>DATE(2011,11,23) + TIME(2,24,15)</f>
        <v>40870.100173611114</v>
      </c>
      <c r="C978">
        <v>80</v>
      </c>
      <c r="D978">
        <v>76.815368652000004</v>
      </c>
      <c r="E978">
        <v>50</v>
      </c>
      <c r="F978">
        <v>49.961582184000001</v>
      </c>
      <c r="G978">
        <v>1301.0336914</v>
      </c>
      <c r="H978">
        <v>1288.5882568</v>
      </c>
      <c r="I978">
        <v>1397.9543457</v>
      </c>
      <c r="J978">
        <v>1378.0524902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572.12914599999999</v>
      </c>
      <c r="B979" s="1">
        <f>DATE(2011,11,24) + TIME(3,5,58)</f>
        <v>40871.129143518519</v>
      </c>
      <c r="C979">
        <v>80</v>
      </c>
      <c r="D979">
        <v>76.697113036999994</v>
      </c>
      <c r="E979">
        <v>50</v>
      </c>
      <c r="F979">
        <v>49.961616515999999</v>
      </c>
      <c r="G979">
        <v>1300.9840088000001</v>
      </c>
      <c r="H979">
        <v>1288.5307617000001</v>
      </c>
      <c r="I979">
        <v>1397.8740233999999</v>
      </c>
      <c r="J979">
        <v>1377.9814452999999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573.18526499999996</v>
      </c>
      <c r="B980" s="1">
        <f>DATE(2011,11,25) + TIME(4,26,46)</f>
        <v>40872.185254629629</v>
      </c>
      <c r="C980">
        <v>80</v>
      </c>
      <c r="D980">
        <v>76.576690674000005</v>
      </c>
      <c r="E980">
        <v>50</v>
      </c>
      <c r="F980">
        <v>49.961654662999997</v>
      </c>
      <c r="G980">
        <v>1300.932251</v>
      </c>
      <c r="H980">
        <v>1288.4708252</v>
      </c>
      <c r="I980">
        <v>1397.7949219</v>
      </c>
      <c r="J980">
        <v>1377.9113769999999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574.26266699999996</v>
      </c>
      <c r="B981" s="1">
        <f>DATE(2011,11,26) + TIME(6,18,14)</f>
        <v>40873.262662037036</v>
      </c>
      <c r="C981">
        <v>80</v>
      </c>
      <c r="D981">
        <v>76.454734802000004</v>
      </c>
      <c r="E981">
        <v>50</v>
      </c>
      <c r="F981">
        <v>49.961688995000003</v>
      </c>
      <c r="G981">
        <v>1300.8786620999999</v>
      </c>
      <c r="H981">
        <v>1288.4085693</v>
      </c>
      <c r="I981">
        <v>1397.7170410000001</v>
      </c>
      <c r="J981">
        <v>1377.8426514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575.372703</v>
      </c>
      <c r="B982" s="1">
        <f>DATE(2011,11,27) + TIME(8,56,41)</f>
        <v>40874.372696759259</v>
      </c>
      <c r="C982">
        <v>80</v>
      </c>
      <c r="D982">
        <v>76.331092834000003</v>
      </c>
      <c r="E982">
        <v>50</v>
      </c>
      <c r="F982">
        <v>49.961727142000001</v>
      </c>
      <c r="G982">
        <v>1300.8233643000001</v>
      </c>
      <c r="H982">
        <v>1288.3441161999999</v>
      </c>
      <c r="I982">
        <v>1397.6409911999999</v>
      </c>
      <c r="J982">
        <v>1377.7753906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576.51637800000003</v>
      </c>
      <c r="B983" s="1">
        <f>DATE(2011,11,28) + TIME(12,23,35)</f>
        <v>40875.516377314816</v>
      </c>
      <c r="C983">
        <v>80</v>
      </c>
      <c r="D983">
        <v>76.205535889000004</v>
      </c>
      <c r="E983">
        <v>50</v>
      </c>
      <c r="F983">
        <v>49.961765288999999</v>
      </c>
      <c r="G983">
        <v>1300.7658690999999</v>
      </c>
      <c r="H983">
        <v>1288.2768555</v>
      </c>
      <c r="I983">
        <v>1397.5657959</v>
      </c>
      <c r="J983">
        <v>1377.7089844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577.70382600000005</v>
      </c>
      <c r="B984" s="1">
        <f>DATE(2011,11,29) + TIME(16,53,30)</f>
        <v>40876.703819444447</v>
      </c>
      <c r="C984">
        <v>80</v>
      </c>
      <c r="D984">
        <v>76.077545165999993</v>
      </c>
      <c r="E984">
        <v>50</v>
      </c>
      <c r="F984">
        <v>49.961807251000003</v>
      </c>
      <c r="G984">
        <v>1300.7059326000001</v>
      </c>
      <c r="H984">
        <v>1288.206543</v>
      </c>
      <c r="I984">
        <v>1397.4914550999999</v>
      </c>
      <c r="J984">
        <v>1377.6433105000001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579</v>
      </c>
      <c r="B985" s="1">
        <f>DATE(2011,12,1) + TIME(0,0,0)</f>
        <v>40878</v>
      </c>
      <c r="C985">
        <v>80</v>
      </c>
      <c r="D985">
        <v>75.944023131999998</v>
      </c>
      <c r="E985">
        <v>50</v>
      </c>
      <c r="F985">
        <v>49.961853026999997</v>
      </c>
      <c r="G985">
        <v>1300.6430664</v>
      </c>
      <c r="H985">
        <v>1288.1322021000001</v>
      </c>
      <c r="I985">
        <v>1397.4173584</v>
      </c>
      <c r="J985">
        <v>1377.5780029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580.24427300000002</v>
      </c>
      <c r="B986" s="1">
        <f>DATE(2011,12,2) + TIME(5,51,45)</f>
        <v>40879.244270833333</v>
      </c>
      <c r="C986">
        <v>80</v>
      </c>
      <c r="D986">
        <v>75.809303283999995</v>
      </c>
      <c r="E986">
        <v>50</v>
      </c>
      <c r="F986">
        <v>49.961894989000001</v>
      </c>
      <c r="G986">
        <v>1300.5731201000001</v>
      </c>
      <c r="H986">
        <v>1288.0504149999999</v>
      </c>
      <c r="I986">
        <v>1397.3395995999999</v>
      </c>
      <c r="J986">
        <v>1377.5093993999999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581.55699600000003</v>
      </c>
      <c r="B987" s="1">
        <f>DATE(2011,12,3) + TIME(13,22,4)</f>
        <v>40880.556990740741</v>
      </c>
      <c r="C987">
        <v>80</v>
      </c>
      <c r="D987">
        <v>75.673377990999995</v>
      </c>
      <c r="E987">
        <v>50</v>
      </c>
      <c r="F987">
        <v>49.961944580000001</v>
      </c>
      <c r="G987">
        <v>1300.505249</v>
      </c>
      <c r="H987">
        <v>1287.9696045000001</v>
      </c>
      <c r="I987">
        <v>1397.2680664</v>
      </c>
      <c r="J987">
        <v>1377.4462891000001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582.88677399999995</v>
      </c>
      <c r="B988" s="1">
        <f>DATE(2011,12,4) + TIME(21,16,57)</f>
        <v>40881.886770833335</v>
      </c>
      <c r="C988">
        <v>80</v>
      </c>
      <c r="D988">
        <v>75.535980225000003</v>
      </c>
      <c r="E988">
        <v>50</v>
      </c>
      <c r="F988">
        <v>49.961990356000001</v>
      </c>
      <c r="G988">
        <v>1300.4323730000001</v>
      </c>
      <c r="H988">
        <v>1287.8833007999999</v>
      </c>
      <c r="I988">
        <v>1397.1954346</v>
      </c>
      <c r="J988">
        <v>1377.3823242000001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584.24670900000001</v>
      </c>
      <c r="B989" s="1">
        <f>DATE(2011,12,6) + TIME(5,55,15)</f>
        <v>40883.246701388889</v>
      </c>
      <c r="C989">
        <v>80</v>
      </c>
      <c r="D989">
        <v>75.397575377999999</v>
      </c>
      <c r="E989">
        <v>50</v>
      </c>
      <c r="F989">
        <v>49.962039947999997</v>
      </c>
      <c r="G989">
        <v>1300.3575439000001</v>
      </c>
      <c r="H989">
        <v>1287.7939452999999</v>
      </c>
      <c r="I989">
        <v>1397.1246338000001</v>
      </c>
      <c r="J989">
        <v>1377.3199463000001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585.65036999999995</v>
      </c>
      <c r="B990" s="1">
        <f>DATE(2011,12,7) + TIME(15,36,31)</f>
        <v>40884.650358796294</v>
      </c>
      <c r="C990">
        <v>80</v>
      </c>
      <c r="D990">
        <v>75.257575989000003</v>
      </c>
      <c r="E990">
        <v>50</v>
      </c>
      <c r="F990">
        <v>49.962089538999997</v>
      </c>
      <c r="G990">
        <v>1300.2796631000001</v>
      </c>
      <c r="H990">
        <v>1287.7006836</v>
      </c>
      <c r="I990">
        <v>1397.0549315999999</v>
      </c>
      <c r="J990">
        <v>1377.2586670000001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587.11275499999999</v>
      </c>
      <c r="B991" s="1">
        <f>DATE(2011,12,9) + TIME(2,42,22)</f>
        <v>40886.112754629627</v>
      </c>
      <c r="C991">
        <v>80</v>
      </c>
      <c r="D991">
        <v>75.114944457999997</v>
      </c>
      <c r="E991">
        <v>50</v>
      </c>
      <c r="F991">
        <v>49.962142944</v>
      </c>
      <c r="G991">
        <v>1300.1981201000001</v>
      </c>
      <c r="H991">
        <v>1287.6024170000001</v>
      </c>
      <c r="I991">
        <v>1396.9857178</v>
      </c>
      <c r="J991">
        <v>1377.1976318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588.65134</v>
      </c>
      <c r="B992" s="1">
        <f>DATE(2011,12,10) + TIME(15,37,55)</f>
        <v>40887.651331018518</v>
      </c>
      <c r="C992">
        <v>80</v>
      </c>
      <c r="D992">
        <v>74.968444824000002</v>
      </c>
      <c r="E992">
        <v>50</v>
      </c>
      <c r="F992">
        <v>49.962196349999999</v>
      </c>
      <c r="G992">
        <v>1300.1115723</v>
      </c>
      <c r="H992">
        <v>1287.4979248</v>
      </c>
      <c r="I992">
        <v>1396.9162598</v>
      </c>
      <c r="J992">
        <v>1377.1364745999999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590.21782499999995</v>
      </c>
      <c r="B993" s="1">
        <f>DATE(2011,12,12) + TIME(5,13,40)</f>
        <v>40889.217824074076</v>
      </c>
      <c r="C993">
        <v>80</v>
      </c>
      <c r="D993">
        <v>74.818740844999994</v>
      </c>
      <c r="E993">
        <v>50</v>
      </c>
      <c r="F993">
        <v>49.962253570999998</v>
      </c>
      <c r="G993">
        <v>1300.0186768000001</v>
      </c>
      <c r="H993">
        <v>1287.3856201000001</v>
      </c>
      <c r="I993">
        <v>1396.8457031</v>
      </c>
      <c r="J993">
        <v>1377.0743408000001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591.81269599999996</v>
      </c>
      <c r="B994" s="1">
        <f>DATE(2011,12,13) + TIME(19,30,16)</f>
        <v>40890.812685185185</v>
      </c>
      <c r="C994">
        <v>80</v>
      </c>
      <c r="D994">
        <v>74.667572020999998</v>
      </c>
      <c r="E994">
        <v>50</v>
      </c>
      <c r="F994">
        <v>49.962314606</v>
      </c>
      <c r="G994">
        <v>1299.9222411999999</v>
      </c>
      <c r="H994">
        <v>1287.2683105000001</v>
      </c>
      <c r="I994">
        <v>1396.7766113</v>
      </c>
      <c r="J994">
        <v>1377.0135498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593.43649100000005</v>
      </c>
      <c r="B995" s="1">
        <f>DATE(2011,12,15) + TIME(10,28,32)</f>
        <v>40892.436481481483</v>
      </c>
      <c r="C995">
        <v>80</v>
      </c>
      <c r="D995">
        <v>74.515502929999997</v>
      </c>
      <c r="E995">
        <v>50</v>
      </c>
      <c r="F995">
        <v>49.962371826000002</v>
      </c>
      <c r="G995">
        <v>1299.8221435999999</v>
      </c>
      <c r="H995">
        <v>1287.1457519999999</v>
      </c>
      <c r="I995">
        <v>1396.7087402</v>
      </c>
      <c r="J995">
        <v>1376.9538574000001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595.10582099999999</v>
      </c>
      <c r="B996" s="1">
        <f>DATE(2011,12,17) + TIME(2,32,22)</f>
        <v>40894.105810185189</v>
      </c>
      <c r="C996">
        <v>80</v>
      </c>
      <c r="D996">
        <v>74.362213135000005</v>
      </c>
      <c r="E996">
        <v>50</v>
      </c>
      <c r="F996">
        <v>49.962436676000003</v>
      </c>
      <c r="G996">
        <v>1299.7178954999999</v>
      </c>
      <c r="H996">
        <v>1287.0177002</v>
      </c>
      <c r="I996">
        <v>1396.6422118999999</v>
      </c>
      <c r="J996">
        <v>1376.8951416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596.83523000000002</v>
      </c>
      <c r="B997" s="1">
        <f>DATE(2011,12,18) + TIME(20,2,43)</f>
        <v>40895.835219907407</v>
      </c>
      <c r="C997">
        <v>80</v>
      </c>
      <c r="D997">
        <v>74.206710814999994</v>
      </c>
      <c r="E997">
        <v>50</v>
      </c>
      <c r="F997">
        <v>49.962497710999997</v>
      </c>
      <c r="G997">
        <v>1299.6086425999999</v>
      </c>
      <c r="H997">
        <v>1286.8826904</v>
      </c>
      <c r="I997">
        <v>1396.5760498</v>
      </c>
      <c r="J997">
        <v>1376.8370361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598.63091199999997</v>
      </c>
      <c r="B998" s="1">
        <f>DATE(2011,12,20) + TIME(15,8,30)</f>
        <v>40897.630902777775</v>
      </c>
      <c r="C998">
        <v>80</v>
      </c>
      <c r="D998">
        <v>74.048095703000001</v>
      </c>
      <c r="E998">
        <v>50</v>
      </c>
      <c r="F998">
        <v>49.962566375999998</v>
      </c>
      <c r="G998">
        <v>1299.4929199000001</v>
      </c>
      <c r="H998">
        <v>1286.7392577999999</v>
      </c>
      <c r="I998">
        <v>1396.5100098</v>
      </c>
      <c r="J998">
        <v>1376.7788086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600.44275000000005</v>
      </c>
      <c r="B999" s="1">
        <f>DATE(2011,12,22) + TIME(10,37,33)</f>
        <v>40899.442743055559</v>
      </c>
      <c r="C999">
        <v>80</v>
      </c>
      <c r="D999">
        <v>73.887359618999994</v>
      </c>
      <c r="E999">
        <v>50</v>
      </c>
      <c r="F999">
        <v>49.962635040000002</v>
      </c>
      <c r="G999">
        <v>1299.3701172000001</v>
      </c>
      <c r="H999">
        <v>1286.5864257999999</v>
      </c>
      <c r="I999">
        <v>1396.4437256000001</v>
      </c>
      <c r="J999">
        <v>1376.7203368999999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602.27203799999995</v>
      </c>
      <c r="B1000" s="1">
        <f>DATE(2011,12,24) + TIME(6,31,44)</f>
        <v>40901.272037037037</v>
      </c>
      <c r="C1000">
        <v>80</v>
      </c>
      <c r="D1000">
        <v>73.726356506000002</v>
      </c>
      <c r="E1000">
        <v>50</v>
      </c>
      <c r="F1000">
        <v>49.962699890000003</v>
      </c>
      <c r="G1000">
        <v>1299.2431641000001</v>
      </c>
      <c r="H1000">
        <v>1286.4274902</v>
      </c>
      <c r="I1000">
        <v>1396.3791504000001</v>
      </c>
      <c r="J1000">
        <v>1376.6634521000001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604.13580999999999</v>
      </c>
      <c r="B1001" s="1">
        <f>DATE(2011,12,26) + TIME(3,15,34)</f>
        <v>40903.135810185187</v>
      </c>
      <c r="C1001">
        <v>80</v>
      </c>
      <c r="D1001">
        <v>73.565101623999993</v>
      </c>
      <c r="E1001">
        <v>50</v>
      </c>
      <c r="F1001">
        <v>49.962772369</v>
      </c>
      <c r="G1001">
        <v>1299.1119385</v>
      </c>
      <c r="H1001">
        <v>1286.2623291</v>
      </c>
      <c r="I1001">
        <v>1396.3160399999999</v>
      </c>
      <c r="J1001">
        <v>1376.6077881000001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606.05161099999998</v>
      </c>
      <c r="B1002" s="1">
        <f>DATE(2011,12,28) + TIME(1,14,19)</f>
        <v>40905.051608796297</v>
      </c>
      <c r="C1002">
        <v>80</v>
      </c>
      <c r="D1002">
        <v>73.402587890999996</v>
      </c>
      <c r="E1002">
        <v>50</v>
      </c>
      <c r="F1002">
        <v>49.962844849</v>
      </c>
      <c r="G1002">
        <v>1298.9750977000001</v>
      </c>
      <c r="H1002">
        <v>1286.0893555</v>
      </c>
      <c r="I1002">
        <v>1396.2539062000001</v>
      </c>
      <c r="J1002">
        <v>1376.5531006000001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608.038588</v>
      </c>
      <c r="B1003" s="1">
        <f>DATE(2011,12,30) + TIME(0,55,34)</f>
        <v>40907.038587962961</v>
      </c>
      <c r="C1003">
        <v>80</v>
      </c>
      <c r="D1003">
        <v>73.237426757999998</v>
      </c>
      <c r="E1003">
        <v>50</v>
      </c>
      <c r="F1003">
        <v>49.962917328000003</v>
      </c>
      <c r="G1003">
        <v>1298.8310547000001</v>
      </c>
      <c r="H1003">
        <v>1285.9064940999999</v>
      </c>
      <c r="I1003">
        <v>1396.1921387</v>
      </c>
      <c r="J1003">
        <v>1376.4985352000001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610</v>
      </c>
      <c r="B1004" s="1">
        <f>DATE(2012,1,1) + TIME(0,0,0)</f>
        <v>40909</v>
      </c>
      <c r="C1004">
        <v>80</v>
      </c>
      <c r="D1004">
        <v>73.070999146000005</v>
      </c>
      <c r="E1004">
        <v>50</v>
      </c>
      <c r="F1004">
        <v>49.962989807</v>
      </c>
      <c r="G1004">
        <v>1298.6783447</v>
      </c>
      <c r="H1004">
        <v>1285.7121582</v>
      </c>
      <c r="I1004">
        <v>1396.1300048999999</v>
      </c>
      <c r="J1004">
        <v>1376.4437256000001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612.05163600000003</v>
      </c>
      <c r="B1005" s="1">
        <f>DATE(2012,1,3) + TIME(1,14,21)</f>
        <v>40911.051631944443</v>
      </c>
      <c r="C1005">
        <v>80</v>
      </c>
      <c r="D1005">
        <v>72.903877257999994</v>
      </c>
      <c r="E1005">
        <v>50</v>
      </c>
      <c r="F1005">
        <v>49.963066101000003</v>
      </c>
      <c r="G1005">
        <v>1298.5233154</v>
      </c>
      <c r="H1005">
        <v>1285.5131836</v>
      </c>
      <c r="I1005">
        <v>1396.0708007999999</v>
      </c>
      <c r="J1005">
        <v>1376.3913574000001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614.13603799999999</v>
      </c>
      <c r="B1006" s="1">
        <f>DATE(2012,1,5) + TIME(3,15,53)</f>
        <v>40913.136030092595</v>
      </c>
      <c r="C1006">
        <v>80</v>
      </c>
      <c r="D1006">
        <v>72.733818053999997</v>
      </c>
      <c r="E1006">
        <v>50</v>
      </c>
      <c r="F1006">
        <v>49.963146209999998</v>
      </c>
      <c r="G1006">
        <v>1298.3577881000001</v>
      </c>
      <c r="H1006">
        <v>1285.3004149999999</v>
      </c>
      <c r="I1006">
        <v>1396.0106201000001</v>
      </c>
      <c r="J1006">
        <v>1376.3381348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616.264858</v>
      </c>
      <c r="B1007" s="1">
        <f>DATE(2012,1,7) + TIME(6,21,23)</f>
        <v>40915.264849537038</v>
      </c>
      <c r="C1007">
        <v>80</v>
      </c>
      <c r="D1007">
        <v>72.561668396000002</v>
      </c>
      <c r="E1007">
        <v>50</v>
      </c>
      <c r="F1007">
        <v>49.963226317999997</v>
      </c>
      <c r="G1007">
        <v>1298.1853027</v>
      </c>
      <c r="H1007">
        <v>1285.0773925999999</v>
      </c>
      <c r="I1007">
        <v>1395.9512939000001</v>
      </c>
      <c r="J1007">
        <v>1376.2857666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618.42242899999997</v>
      </c>
      <c r="B1008" s="1">
        <f>DATE(2012,1,9) + TIME(10,8,17)</f>
        <v>40917.422418981485</v>
      </c>
      <c r="C1008">
        <v>80</v>
      </c>
      <c r="D1008">
        <v>72.387542725000003</v>
      </c>
      <c r="E1008">
        <v>50</v>
      </c>
      <c r="F1008">
        <v>49.963306426999999</v>
      </c>
      <c r="G1008">
        <v>1298.0047606999999</v>
      </c>
      <c r="H1008">
        <v>1284.8430175999999</v>
      </c>
      <c r="I1008">
        <v>1395.8927002</v>
      </c>
      <c r="J1008">
        <v>1376.2338867000001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620.61291700000004</v>
      </c>
      <c r="B1009" s="1">
        <f>DATE(2012,1,11) + TIME(14,42,36)</f>
        <v>40919.612916666665</v>
      </c>
      <c r="C1009">
        <v>80</v>
      </c>
      <c r="D1009">
        <v>72.211784363000007</v>
      </c>
      <c r="E1009">
        <v>50</v>
      </c>
      <c r="F1009">
        <v>49.963386536000002</v>
      </c>
      <c r="G1009">
        <v>1297.8172606999999</v>
      </c>
      <c r="H1009">
        <v>1284.5983887</v>
      </c>
      <c r="I1009">
        <v>1395.8349608999999</v>
      </c>
      <c r="J1009">
        <v>1376.1828613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622.82816400000002</v>
      </c>
      <c r="B1010" s="1">
        <f>DATE(2012,1,13) + TIME(19,52,33)</f>
        <v>40921.828159722223</v>
      </c>
      <c r="C1010">
        <v>80</v>
      </c>
      <c r="D1010">
        <v>72.034362793</v>
      </c>
      <c r="E1010">
        <v>50</v>
      </c>
      <c r="F1010">
        <v>49.963466644</v>
      </c>
      <c r="G1010">
        <v>1297.6221923999999</v>
      </c>
      <c r="H1010">
        <v>1284.3428954999999</v>
      </c>
      <c r="I1010">
        <v>1395.7780762</v>
      </c>
      <c r="J1010">
        <v>1376.1324463000001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625.06626400000005</v>
      </c>
      <c r="B1011" s="1">
        <f>DATE(2012,1,16) + TIME(1,35,25)</f>
        <v>40924.066261574073</v>
      </c>
      <c r="C1011">
        <v>80</v>
      </c>
      <c r="D1011">
        <v>71.855407714999998</v>
      </c>
      <c r="E1011">
        <v>50</v>
      </c>
      <c r="F1011">
        <v>49.963550568000002</v>
      </c>
      <c r="G1011">
        <v>1297.4200439000001</v>
      </c>
      <c r="H1011">
        <v>1284.0770264</v>
      </c>
      <c r="I1011">
        <v>1395.722168</v>
      </c>
      <c r="J1011">
        <v>1376.0828856999999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627.326235</v>
      </c>
      <c r="B1012" s="1">
        <f>DATE(2012,1,18) + TIME(7,49,46)</f>
        <v>40926.326226851852</v>
      </c>
      <c r="C1012">
        <v>80</v>
      </c>
      <c r="D1012">
        <v>71.674842834000003</v>
      </c>
      <c r="E1012">
        <v>50</v>
      </c>
      <c r="F1012">
        <v>49.963634491000001</v>
      </c>
      <c r="G1012">
        <v>1297.2109375</v>
      </c>
      <c r="H1012">
        <v>1283.8007812000001</v>
      </c>
      <c r="I1012">
        <v>1395.6672363</v>
      </c>
      <c r="J1012">
        <v>1376.0341797000001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629.61248699999999</v>
      </c>
      <c r="B1013" s="1">
        <f>DATE(2012,1,20) + TIME(14,41,58)</f>
        <v>40928.612476851849</v>
      </c>
      <c r="C1013">
        <v>80</v>
      </c>
      <c r="D1013">
        <v>71.492355347</v>
      </c>
      <c r="E1013">
        <v>50</v>
      </c>
      <c r="F1013">
        <v>49.963718413999999</v>
      </c>
      <c r="G1013">
        <v>1296.994751</v>
      </c>
      <c r="H1013">
        <v>1283.5140381000001</v>
      </c>
      <c r="I1013">
        <v>1395.6132812000001</v>
      </c>
      <c r="J1013">
        <v>1375.9863281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631.92768000000001</v>
      </c>
      <c r="B1014" s="1">
        <f>DATE(2012,1,22) + TIME(22,15,51)</f>
        <v>40930.927673611113</v>
      </c>
      <c r="C1014">
        <v>80</v>
      </c>
      <c r="D1014">
        <v>71.307395935000002</v>
      </c>
      <c r="E1014">
        <v>50</v>
      </c>
      <c r="F1014">
        <v>49.963802338000001</v>
      </c>
      <c r="G1014">
        <v>1296.7711182</v>
      </c>
      <c r="H1014">
        <v>1283.2160644999999</v>
      </c>
      <c r="I1014">
        <v>1395.5601807</v>
      </c>
      <c r="J1014">
        <v>1375.9392089999999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634.270398</v>
      </c>
      <c r="B1015" s="1">
        <f>DATE(2012,1,25) + TIME(6,29,22)</f>
        <v>40933.27039351852</v>
      </c>
      <c r="C1015">
        <v>80</v>
      </c>
      <c r="D1015">
        <v>71.119476317999997</v>
      </c>
      <c r="E1015">
        <v>50</v>
      </c>
      <c r="F1015">
        <v>49.963890075999998</v>
      </c>
      <c r="G1015">
        <v>1296.5394286999999</v>
      </c>
      <c r="H1015">
        <v>1282.9063721</v>
      </c>
      <c r="I1015">
        <v>1395.5078125</v>
      </c>
      <c r="J1015">
        <v>1375.8927002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636.64017100000001</v>
      </c>
      <c r="B1016" s="1">
        <f>DATE(2012,1,27) + TIME(15,21,50)</f>
        <v>40935.640162037038</v>
      </c>
      <c r="C1016">
        <v>80</v>
      </c>
      <c r="D1016">
        <v>70.928230286000002</v>
      </c>
      <c r="E1016">
        <v>50</v>
      </c>
      <c r="F1016">
        <v>49.963973998999997</v>
      </c>
      <c r="G1016">
        <v>1296.2999268000001</v>
      </c>
      <c r="H1016">
        <v>1282.5847168</v>
      </c>
      <c r="I1016">
        <v>1395.4561768000001</v>
      </c>
      <c r="J1016">
        <v>1375.8468018000001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639.030979</v>
      </c>
      <c r="B1017" s="1">
        <f>DATE(2012,1,30) + TIME(0,44,36)</f>
        <v>40938.030972222223</v>
      </c>
      <c r="C1017">
        <v>80</v>
      </c>
      <c r="D1017">
        <v>70.733390807999996</v>
      </c>
      <c r="E1017">
        <v>50</v>
      </c>
      <c r="F1017">
        <v>49.964061737000002</v>
      </c>
      <c r="G1017">
        <v>1296.0522461</v>
      </c>
      <c r="H1017">
        <v>1282.2510986</v>
      </c>
      <c r="I1017">
        <v>1395.4052733999999</v>
      </c>
      <c r="J1017">
        <v>1375.8013916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641</v>
      </c>
      <c r="B1018" s="1">
        <f>DATE(2012,2,1) + TIME(0,0,0)</f>
        <v>40940</v>
      </c>
      <c r="C1018">
        <v>80</v>
      </c>
      <c r="D1018">
        <v>70.545730590999995</v>
      </c>
      <c r="E1018">
        <v>50</v>
      </c>
      <c r="F1018">
        <v>49.964130402000002</v>
      </c>
      <c r="G1018">
        <v>1295.7985839999999</v>
      </c>
      <c r="H1018">
        <v>1281.9105225000001</v>
      </c>
      <c r="I1018">
        <v>1395.3547363</v>
      </c>
      <c r="J1018">
        <v>1375.7564697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643.40905999999995</v>
      </c>
      <c r="B1019" s="1">
        <f>DATE(2012,2,3) + TIME(9,49,2)</f>
        <v>40942.409050925926</v>
      </c>
      <c r="C1019">
        <v>80</v>
      </c>
      <c r="D1019">
        <v>70.362960814999994</v>
      </c>
      <c r="E1019">
        <v>50</v>
      </c>
      <c r="F1019">
        <v>49.96421814</v>
      </c>
      <c r="G1019">
        <v>1295.5784911999999</v>
      </c>
      <c r="H1019">
        <v>1281.6066894999999</v>
      </c>
      <c r="I1019">
        <v>1395.3145752</v>
      </c>
      <c r="J1019">
        <v>1375.7207031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645.86382700000001</v>
      </c>
      <c r="B1020" s="1">
        <f>DATE(2012,2,5) + TIME(20,43,54)</f>
        <v>40944.863819444443</v>
      </c>
      <c r="C1020">
        <v>80</v>
      </c>
      <c r="D1020">
        <v>70.162216186999999</v>
      </c>
      <c r="E1020">
        <v>50</v>
      </c>
      <c r="F1020">
        <v>49.964309692</v>
      </c>
      <c r="G1020">
        <v>1295.3148193</v>
      </c>
      <c r="H1020">
        <v>1281.2492675999999</v>
      </c>
      <c r="I1020">
        <v>1395.2661132999999</v>
      </c>
      <c r="J1020">
        <v>1375.6774902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648.34755700000005</v>
      </c>
      <c r="B1021" s="1">
        <f>DATE(2012,2,8) + TIME(8,20,28)</f>
        <v>40947.347546296296</v>
      </c>
      <c r="C1021">
        <v>80</v>
      </c>
      <c r="D1021">
        <v>69.951789856000005</v>
      </c>
      <c r="E1021">
        <v>50</v>
      </c>
      <c r="F1021">
        <v>49.964397429999998</v>
      </c>
      <c r="G1021">
        <v>1295.0386963000001</v>
      </c>
      <c r="H1021">
        <v>1280.8725586</v>
      </c>
      <c r="I1021">
        <v>1395.2177733999999</v>
      </c>
      <c r="J1021">
        <v>1375.6343993999999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650.85746500000005</v>
      </c>
      <c r="B1022" s="1">
        <f>DATE(2012,2,10) + TIME(20,34,44)</f>
        <v>40949.857453703706</v>
      </c>
      <c r="C1022">
        <v>80</v>
      </c>
      <c r="D1022">
        <v>69.733924865999995</v>
      </c>
      <c r="E1022">
        <v>50</v>
      </c>
      <c r="F1022">
        <v>49.964485168000003</v>
      </c>
      <c r="G1022">
        <v>1294.7535399999999</v>
      </c>
      <c r="H1022">
        <v>1280.4814452999999</v>
      </c>
      <c r="I1022">
        <v>1395.1699219</v>
      </c>
      <c r="J1022">
        <v>1375.5916748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653.39817300000004</v>
      </c>
      <c r="B1023" s="1">
        <f>DATE(2012,2,13) + TIME(9,33,22)</f>
        <v>40952.3981712963</v>
      </c>
      <c r="C1023">
        <v>80</v>
      </c>
      <c r="D1023">
        <v>69.509025574000006</v>
      </c>
      <c r="E1023">
        <v>50</v>
      </c>
      <c r="F1023">
        <v>49.964576721</v>
      </c>
      <c r="G1023">
        <v>1294.4597168</v>
      </c>
      <c r="H1023">
        <v>1280.0770264</v>
      </c>
      <c r="I1023">
        <v>1395.1225586</v>
      </c>
      <c r="J1023">
        <v>1375.5493164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655.97246500000006</v>
      </c>
      <c r="B1024" s="1">
        <f>DATE(2012,2,15) + TIME(23,20,20)</f>
        <v>40954.972453703704</v>
      </c>
      <c r="C1024">
        <v>80</v>
      </c>
      <c r="D1024">
        <v>69.276321410999998</v>
      </c>
      <c r="E1024">
        <v>50</v>
      </c>
      <c r="F1024">
        <v>49.964664458999998</v>
      </c>
      <c r="G1024">
        <v>1294.1571045000001</v>
      </c>
      <c r="H1024">
        <v>1279.6589355000001</v>
      </c>
      <c r="I1024">
        <v>1395.0755615</v>
      </c>
      <c r="J1024">
        <v>1375.5073242000001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658.56877199999997</v>
      </c>
      <c r="B1025" s="1">
        <f>DATE(2012,2,18) + TIME(13,39,1)</f>
        <v>40957.568761574075</v>
      </c>
      <c r="C1025">
        <v>80</v>
      </c>
      <c r="D1025">
        <v>69.035247803000004</v>
      </c>
      <c r="E1025">
        <v>50</v>
      </c>
      <c r="F1025">
        <v>49.964756012000002</v>
      </c>
      <c r="G1025">
        <v>1293.8453368999999</v>
      </c>
      <c r="H1025">
        <v>1279.2266846</v>
      </c>
      <c r="I1025">
        <v>1395.0289307</v>
      </c>
      <c r="J1025">
        <v>1375.4655762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661.19231500000001</v>
      </c>
      <c r="B1026" s="1">
        <f>DATE(2012,2,21) + TIME(4,36,56)</f>
        <v>40960.192314814813</v>
      </c>
      <c r="C1026">
        <v>80</v>
      </c>
      <c r="D1026">
        <v>68.785591124999996</v>
      </c>
      <c r="E1026">
        <v>50</v>
      </c>
      <c r="F1026">
        <v>49.964847564999999</v>
      </c>
      <c r="G1026">
        <v>1293.5255127</v>
      </c>
      <c r="H1026">
        <v>1278.7818603999999</v>
      </c>
      <c r="I1026">
        <v>1394.9826660000001</v>
      </c>
      <c r="J1026">
        <v>1375.4241943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663.84497099999999</v>
      </c>
      <c r="B1027" s="1">
        <f>DATE(2012,2,23) + TIME(20,16,45)</f>
        <v>40962.844965277778</v>
      </c>
      <c r="C1027">
        <v>80</v>
      </c>
      <c r="D1027">
        <v>68.526481627999999</v>
      </c>
      <c r="E1027">
        <v>50</v>
      </c>
      <c r="F1027">
        <v>49.964939117</v>
      </c>
      <c r="G1027">
        <v>1293.1975098</v>
      </c>
      <c r="H1027">
        <v>1278.3236084</v>
      </c>
      <c r="I1027">
        <v>1394.9367675999999</v>
      </c>
      <c r="J1027">
        <v>1375.3830565999999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666.52846499999998</v>
      </c>
      <c r="B1028" s="1">
        <f>DATE(2012,2,26) + TIME(12,40,59)</f>
        <v>40965.528460648151</v>
      </c>
      <c r="C1028">
        <v>80</v>
      </c>
      <c r="D1028">
        <v>68.257034301999994</v>
      </c>
      <c r="E1028">
        <v>50</v>
      </c>
      <c r="F1028">
        <v>49.965030669999997</v>
      </c>
      <c r="G1028">
        <v>1292.8608397999999</v>
      </c>
      <c r="H1028">
        <v>1277.8519286999999</v>
      </c>
      <c r="I1028">
        <v>1394.8912353999999</v>
      </c>
      <c r="J1028">
        <v>1375.3421631000001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669.24762299999998</v>
      </c>
      <c r="B1029" s="1">
        <f>DATE(2012,2,29) + TIME(5,56,34)</f>
        <v>40968.247615740744</v>
      </c>
      <c r="C1029">
        <v>80</v>
      </c>
      <c r="D1029">
        <v>67.976234435999999</v>
      </c>
      <c r="E1029">
        <v>50</v>
      </c>
      <c r="F1029">
        <v>49.965126038000001</v>
      </c>
      <c r="G1029">
        <v>1292.5153809000001</v>
      </c>
      <c r="H1029">
        <v>1277.3662108999999</v>
      </c>
      <c r="I1029">
        <v>1394.8458252</v>
      </c>
      <c r="J1029">
        <v>1375.3013916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670</v>
      </c>
      <c r="B1030" s="1">
        <f>DATE(2012,3,1) + TIME(0,0,0)</f>
        <v>40969</v>
      </c>
      <c r="C1030">
        <v>80</v>
      </c>
      <c r="D1030">
        <v>67.792587280000006</v>
      </c>
      <c r="E1030">
        <v>50</v>
      </c>
      <c r="F1030">
        <v>49.965145110999998</v>
      </c>
      <c r="G1030">
        <v>1292.1779785000001</v>
      </c>
      <c r="H1030">
        <v>1276.9187012</v>
      </c>
      <c r="I1030">
        <v>1394.7990723</v>
      </c>
      <c r="J1030">
        <v>1375.2592772999999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672.75213900000006</v>
      </c>
      <c r="B1031" s="1">
        <f>DATE(2012,3,3) + TIME(18,3,4)</f>
        <v>40971.752129629633</v>
      </c>
      <c r="C1031">
        <v>80</v>
      </c>
      <c r="D1031">
        <v>67.576232910000002</v>
      </c>
      <c r="E1031">
        <v>50</v>
      </c>
      <c r="F1031">
        <v>49.965244292999998</v>
      </c>
      <c r="G1031">
        <v>1292.0440673999999</v>
      </c>
      <c r="H1031">
        <v>1276.6906738</v>
      </c>
      <c r="I1031">
        <v>1394.7883300999999</v>
      </c>
      <c r="J1031">
        <v>1375.2496338000001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675.53579500000001</v>
      </c>
      <c r="B1032" s="1">
        <f>DATE(2012,3,6) + TIME(12,51,32)</f>
        <v>40974.535787037035</v>
      </c>
      <c r="C1032">
        <v>80</v>
      </c>
      <c r="D1032">
        <v>67.285194396999998</v>
      </c>
      <c r="E1032">
        <v>50</v>
      </c>
      <c r="F1032">
        <v>49.965339661000002</v>
      </c>
      <c r="G1032">
        <v>1291.6931152</v>
      </c>
      <c r="H1032">
        <v>1276.2006836</v>
      </c>
      <c r="I1032">
        <v>1394.7431641000001</v>
      </c>
      <c r="J1032">
        <v>1375.2091064000001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678.34837700000003</v>
      </c>
      <c r="B1033" s="1">
        <f>DATE(2012,3,9) + TIME(8,21,39)</f>
        <v>40977.348368055558</v>
      </c>
      <c r="C1033">
        <v>80</v>
      </c>
      <c r="D1033">
        <v>66.966400145999998</v>
      </c>
      <c r="E1033">
        <v>50</v>
      </c>
      <c r="F1033">
        <v>49.965431213000002</v>
      </c>
      <c r="G1033">
        <v>1291.3232422000001</v>
      </c>
      <c r="H1033">
        <v>1275.6760254000001</v>
      </c>
      <c r="I1033">
        <v>1394.6983643000001</v>
      </c>
      <c r="J1033">
        <v>1375.1685791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681.19537700000001</v>
      </c>
      <c r="B1034" s="1">
        <f>DATE(2012,3,12) + TIME(4,41,20)</f>
        <v>40980.195370370369</v>
      </c>
      <c r="C1034">
        <v>80</v>
      </c>
      <c r="D1034">
        <v>66.630126953000001</v>
      </c>
      <c r="E1034">
        <v>50</v>
      </c>
      <c r="F1034">
        <v>49.965526580999999</v>
      </c>
      <c r="G1034">
        <v>1290.9429932</v>
      </c>
      <c r="H1034">
        <v>1275.1331786999999</v>
      </c>
      <c r="I1034">
        <v>1394.6535644999999</v>
      </c>
      <c r="J1034">
        <v>1375.1281738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684.08214499999997</v>
      </c>
      <c r="B1035" s="1">
        <f>DATE(2012,3,15) + TIME(1,58,17)</f>
        <v>40983.082141203704</v>
      </c>
      <c r="C1035">
        <v>80</v>
      </c>
      <c r="D1035">
        <v>66.277603149000001</v>
      </c>
      <c r="E1035">
        <v>50</v>
      </c>
      <c r="F1035">
        <v>49.965621947999999</v>
      </c>
      <c r="G1035">
        <v>1290.5539550999999</v>
      </c>
      <c r="H1035">
        <v>1274.5753173999999</v>
      </c>
      <c r="I1035">
        <v>1394.6087646000001</v>
      </c>
      <c r="J1035">
        <v>1375.0877685999999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687.00644999999997</v>
      </c>
      <c r="B1036" s="1">
        <f>DATE(2012,3,18) + TIME(0,9,17)</f>
        <v>40986.00644675926</v>
      </c>
      <c r="C1036">
        <v>80</v>
      </c>
      <c r="D1036">
        <v>65.908233643000003</v>
      </c>
      <c r="E1036">
        <v>50</v>
      </c>
      <c r="F1036">
        <v>49.965717316000003</v>
      </c>
      <c r="G1036">
        <v>1290.1557617000001</v>
      </c>
      <c r="H1036">
        <v>1274.0024414</v>
      </c>
      <c r="I1036">
        <v>1394.5638428</v>
      </c>
      <c r="J1036">
        <v>1375.0472411999999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689.96637299999998</v>
      </c>
      <c r="B1037" s="1">
        <f>DATE(2012,3,20) + TIME(23,11,34)</f>
        <v>40988.966365740744</v>
      </c>
      <c r="C1037">
        <v>80</v>
      </c>
      <c r="D1037">
        <v>65.521568298000005</v>
      </c>
      <c r="E1037">
        <v>50</v>
      </c>
      <c r="F1037">
        <v>49.965816498000002</v>
      </c>
      <c r="G1037">
        <v>1289.7492675999999</v>
      </c>
      <c r="H1037">
        <v>1273.4151611</v>
      </c>
      <c r="I1037">
        <v>1394.5187988</v>
      </c>
      <c r="J1037">
        <v>1375.0064697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692.96737700000006</v>
      </c>
      <c r="B1038" s="1">
        <f>DATE(2012,3,23) + TIME(23,13,1)</f>
        <v>40991.967372685183</v>
      </c>
      <c r="C1038">
        <v>80</v>
      </c>
      <c r="D1038">
        <v>65.116981506000002</v>
      </c>
      <c r="E1038">
        <v>50</v>
      </c>
      <c r="F1038">
        <v>49.965911865000002</v>
      </c>
      <c r="G1038">
        <v>1289.3349608999999</v>
      </c>
      <c r="H1038">
        <v>1272.8142089999999</v>
      </c>
      <c r="I1038">
        <v>1394.4736327999999</v>
      </c>
      <c r="J1038">
        <v>1374.9655762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696.01003900000001</v>
      </c>
      <c r="B1039" s="1">
        <f>DATE(2012,3,27) + TIME(0,14,27)</f>
        <v>40995.010034722225</v>
      </c>
      <c r="C1039">
        <v>80</v>
      </c>
      <c r="D1039">
        <v>64.693794249999996</v>
      </c>
      <c r="E1039">
        <v>50</v>
      </c>
      <c r="F1039">
        <v>49.966011047000002</v>
      </c>
      <c r="G1039">
        <v>1288.9124756000001</v>
      </c>
      <c r="H1039">
        <v>1272.1990966999999</v>
      </c>
      <c r="I1039">
        <v>1394.4282227000001</v>
      </c>
      <c r="J1039">
        <v>1374.9243164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699.08702900000003</v>
      </c>
      <c r="B1040" s="1">
        <f>DATE(2012,3,30) + TIME(2,5,19)</f>
        <v>40998.087025462963</v>
      </c>
      <c r="C1040">
        <v>80</v>
      </c>
      <c r="D1040">
        <v>64.251594542999996</v>
      </c>
      <c r="E1040">
        <v>50</v>
      </c>
      <c r="F1040">
        <v>49.966110229000002</v>
      </c>
      <c r="G1040">
        <v>1288.4821777</v>
      </c>
      <c r="H1040">
        <v>1271.5700684000001</v>
      </c>
      <c r="I1040">
        <v>1394.3825684000001</v>
      </c>
      <c r="J1040">
        <v>1374.8828125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701</v>
      </c>
      <c r="B1041" s="1">
        <f>DATE(2012,4,1) + TIME(0,0,0)</f>
        <v>41000</v>
      </c>
      <c r="C1041">
        <v>80</v>
      </c>
      <c r="D1041">
        <v>63.840797424000002</v>
      </c>
      <c r="E1041">
        <v>50</v>
      </c>
      <c r="F1041">
        <v>49.96616745</v>
      </c>
      <c r="G1041">
        <v>1288.0510254000001</v>
      </c>
      <c r="H1041">
        <v>1270.9516602000001</v>
      </c>
      <c r="I1041">
        <v>1394.3360596</v>
      </c>
      <c r="J1041">
        <v>1374.8405762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704.11703499999999</v>
      </c>
      <c r="B1042" s="1">
        <f>DATE(2012,4,4) + TIME(2,48,31)</f>
        <v>41003.117025462961</v>
      </c>
      <c r="C1042">
        <v>80</v>
      </c>
      <c r="D1042">
        <v>63.471012115000001</v>
      </c>
      <c r="E1042">
        <v>50</v>
      </c>
      <c r="F1042">
        <v>49.966266632</v>
      </c>
      <c r="G1042">
        <v>1287.7576904</v>
      </c>
      <c r="H1042">
        <v>1270.4951172000001</v>
      </c>
      <c r="I1042">
        <v>1394.3083495999999</v>
      </c>
      <c r="J1042">
        <v>1374.8151855000001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707.31413399999997</v>
      </c>
      <c r="B1043" s="1">
        <f>DATE(2012,4,7) + TIME(7,32,21)</f>
        <v>41006.314131944448</v>
      </c>
      <c r="C1043">
        <v>80</v>
      </c>
      <c r="D1043">
        <v>63.000682830999999</v>
      </c>
      <c r="E1043">
        <v>50</v>
      </c>
      <c r="F1043">
        <v>49.966369628999999</v>
      </c>
      <c r="G1043">
        <v>1287.3258057</v>
      </c>
      <c r="H1043">
        <v>1269.8643798999999</v>
      </c>
      <c r="I1043">
        <v>1394.262207</v>
      </c>
      <c r="J1043">
        <v>1374.7731934000001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710.56359699999996</v>
      </c>
      <c r="B1044" s="1">
        <f>DATE(2012,4,10) + TIME(13,31,34)</f>
        <v>41009.563587962963</v>
      </c>
      <c r="C1044">
        <v>80</v>
      </c>
      <c r="D1044">
        <v>62.490306854000004</v>
      </c>
      <c r="E1044">
        <v>50</v>
      </c>
      <c r="F1044">
        <v>49.966468810999999</v>
      </c>
      <c r="G1044">
        <v>1286.8731689000001</v>
      </c>
      <c r="H1044">
        <v>1269.1945800999999</v>
      </c>
      <c r="I1044">
        <v>1394.2150879000001</v>
      </c>
      <c r="J1044">
        <v>1374.7302245999999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713.85869300000002</v>
      </c>
      <c r="B1045" s="1">
        <f>DATE(2012,4,13) + TIME(20,36,31)</f>
        <v>41012.85869212963</v>
      </c>
      <c r="C1045">
        <v>80</v>
      </c>
      <c r="D1045">
        <v>61.955287933000001</v>
      </c>
      <c r="E1045">
        <v>50</v>
      </c>
      <c r="F1045">
        <v>49.966571807999998</v>
      </c>
      <c r="G1045">
        <v>1286.4112548999999</v>
      </c>
      <c r="H1045">
        <v>1268.5065918</v>
      </c>
      <c r="I1045">
        <v>1394.1674805</v>
      </c>
      <c r="J1045">
        <v>1374.6866454999999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717.20811400000002</v>
      </c>
      <c r="B1046" s="1">
        <f>DATE(2012,4,17) + TIME(4,59,41)</f>
        <v>41016.208113425928</v>
      </c>
      <c r="C1046">
        <v>80</v>
      </c>
      <c r="D1046">
        <v>61.399097443000002</v>
      </c>
      <c r="E1046">
        <v>50</v>
      </c>
      <c r="F1046">
        <v>49.966674804999997</v>
      </c>
      <c r="G1046">
        <v>1285.9433594</v>
      </c>
      <c r="H1046">
        <v>1267.8060303</v>
      </c>
      <c r="I1046">
        <v>1394.1193848</v>
      </c>
      <c r="J1046">
        <v>1374.6425781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720.62102800000002</v>
      </c>
      <c r="B1047" s="1">
        <f>DATE(2012,4,20) + TIME(14,54,16)</f>
        <v>41019.621018518519</v>
      </c>
      <c r="C1047">
        <v>80</v>
      </c>
      <c r="D1047">
        <v>60.821956634999999</v>
      </c>
      <c r="E1047">
        <v>50</v>
      </c>
      <c r="F1047">
        <v>49.966777802000003</v>
      </c>
      <c r="G1047">
        <v>1285.4693603999999</v>
      </c>
      <c r="H1047">
        <v>1267.0935059000001</v>
      </c>
      <c r="I1047">
        <v>1394.0705565999999</v>
      </c>
      <c r="J1047">
        <v>1374.5977783000001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724.07851200000005</v>
      </c>
      <c r="B1048" s="1">
        <f>DATE(2012,4,24) + TIME(1,53,3)</f>
        <v>41023.078506944446</v>
      </c>
      <c r="C1048">
        <v>80</v>
      </c>
      <c r="D1048">
        <v>60.223899840999998</v>
      </c>
      <c r="E1048">
        <v>50</v>
      </c>
      <c r="F1048">
        <v>49.966880797999998</v>
      </c>
      <c r="G1048">
        <v>1284.9890137</v>
      </c>
      <c r="H1048">
        <v>1266.3684082</v>
      </c>
      <c r="I1048">
        <v>1394.0209961</v>
      </c>
      <c r="J1048">
        <v>1374.5522461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727.58725700000002</v>
      </c>
      <c r="B1049" s="1">
        <f>DATE(2012,4,27) + TIME(14,5,39)</f>
        <v>41026.587256944447</v>
      </c>
      <c r="C1049">
        <v>80</v>
      </c>
      <c r="D1049">
        <v>59.606266022</v>
      </c>
      <c r="E1049">
        <v>50</v>
      </c>
      <c r="F1049">
        <v>49.966983794999997</v>
      </c>
      <c r="G1049">
        <v>1284.5056152</v>
      </c>
      <c r="H1049">
        <v>1265.6350098</v>
      </c>
      <c r="I1049">
        <v>1393.9708252</v>
      </c>
      <c r="J1049">
        <v>1374.5059814000001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731</v>
      </c>
      <c r="B1050" s="1">
        <f>DATE(2012,5,1) + TIME(0,0,0)</f>
        <v>41030</v>
      </c>
      <c r="C1050">
        <v>80</v>
      </c>
      <c r="D1050">
        <v>58.974838257000002</v>
      </c>
      <c r="E1050">
        <v>50</v>
      </c>
      <c r="F1050">
        <v>49.967086792000003</v>
      </c>
      <c r="G1050">
        <v>1284.0196533000001</v>
      </c>
      <c r="H1050">
        <v>1264.895874</v>
      </c>
      <c r="I1050">
        <v>1393.9197998</v>
      </c>
      <c r="J1050">
        <v>1374.4589844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731.000001</v>
      </c>
      <c r="B1051" s="1">
        <f>DATE(2012,5,1) + TIME(0,0,0)</f>
        <v>41030</v>
      </c>
      <c r="C1051">
        <v>80</v>
      </c>
      <c r="D1051">
        <v>58.975440978999998</v>
      </c>
      <c r="E1051">
        <v>50</v>
      </c>
      <c r="F1051">
        <v>49.966583252</v>
      </c>
      <c r="G1051">
        <v>1308.4003906</v>
      </c>
      <c r="H1051">
        <v>1289.0235596</v>
      </c>
      <c r="I1051">
        <v>1370.0356445</v>
      </c>
      <c r="J1051">
        <v>1351.1517334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731.00000399999999</v>
      </c>
      <c r="B1052" s="1">
        <f>DATE(2012,5,1) + TIME(0,0,0)</f>
        <v>41030</v>
      </c>
      <c r="C1052">
        <v>80</v>
      </c>
      <c r="D1052">
        <v>58.976528168000002</v>
      </c>
      <c r="E1052">
        <v>50</v>
      </c>
      <c r="F1052">
        <v>49.965656281000001</v>
      </c>
      <c r="G1052">
        <v>1316.7370605000001</v>
      </c>
      <c r="H1052">
        <v>1297.7788086</v>
      </c>
      <c r="I1052">
        <v>1361.8482666</v>
      </c>
      <c r="J1052">
        <v>1342.9620361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731.00001299999997</v>
      </c>
      <c r="B1053" s="1">
        <f>DATE(2012,5,1) + TIME(0,0,1)</f>
        <v>41030.000011574077</v>
      </c>
      <c r="C1053">
        <v>80</v>
      </c>
      <c r="D1053">
        <v>58.978054047000001</v>
      </c>
      <c r="E1053">
        <v>50</v>
      </c>
      <c r="F1053">
        <v>49.964431763</v>
      </c>
      <c r="G1053">
        <v>1327.7674560999999</v>
      </c>
      <c r="H1053">
        <v>1308.8304443</v>
      </c>
      <c r="I1053">
        <v>1351.0323486</v>
      </c>
      <c r="J1053">
        <v>1332.1505127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731.00004000000001</v>
      </c>
      <c r="B1054" s="1">
        <f>DATE(2012,5,1) + TIME(0,0,3)</f>
        <v>41030.000034722223</v>
      </c>
      <c r="C1054">
        <v>80</v>
      </c>
      <c r="D1054">
        <v>58.98015213</v>
      </c>
      <c r="E1054">
        <v>50</v>
      </c>
      <c r="F1054">
        <v>49.963150024000001</v>
      </c>
      <c r="G1054">
        <v>1339.4129639</v>
      </c>
      <c r="H1054">
        <v>1320.3131103999999</v>
      </c>
      <c r="I1054">
        <v>1339.7556152</v>
      </c>
      <c r="J1054">
        <v>1320.8843993999999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731.00012100000004</v>
      </c>
      <c r="B1055" s="1">
        <f>DATE(2012,5,1) + TIME(0,0,10)</f>
        <v>41030.000115740739</v>
      </c>
      <c r="C1055">
        <v>80</v>
      </c>
      <c r="D1055">
        <v>58.983852386000002</v>
      </c>
      <c r="E1055">
        <v>50</v>
      </c>
      <c r="F1055">
        <v>49.961883544999999</v>
      </c>
      <c r="G1055">
        <v>1351.1628418</v>
      </c>
      <c r="H1055">
        <v>1331.8907471</v>
      </c>
      <c r="I1055">
        <v>1328.652832</v>
      </c>
      <c r="J1055">
        <v>1309.7969971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731.00036399999999</v>
      </c>
      <c r="B1056" s="1">
        <f>DATE(2012,5,1) + TIME(0,0,31)</f>
        <v>41030.000358796293</v>
      </c>
      <c r="C1056">
        <v>80</v>
      </c>
      <c r="D1056">
        <v>58.992435454999999</v>
      </c>
      <c r="E1056">
        <v>50</v>
      </c>
      <c r="F1056">
        <v>49.960586548000002</v>
      </c>
      <c r="G1056">
        <v>1363.4624022999999</v>
      </c>
      <c r="H1056">
        <v>1343.9973144999999</v>
      </c>
      <c r="I1056">
        <v>1317.5360106999999</v>
      </c>
      <c r="J1056">
        <v>1298.6839600000001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731.00109299999997</v>
      </c>
      <c r="B1057" s="1">
        <f>DATE(2012,5,1) + TIME(0,1,34)</f>
        <v>41030.001087962963</v>
      </c>
      <c r="C1057">
        <v>80</v>
      </c>
      <c r="D1057">
        <v>59.015682220000002</v>
      </c>
      <c r="E1057">
        <v>50</v>
      </c>
      <c r="F1057">
        <v>49.959197998</v>
      </c>
      <c r="G1057">
        <v>1376.3765868999999</v>
      </c>
      <c r="H1057">
        <v>1356.7139893000001</v>
      </c>
      <c r="I1057">
        <v>1306.2421875</v>
      </c>
      <c r="J1057">
        <v>1287.3488769999999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731.00328000000002</v>
      </c>
      <c r="B1058" s="1">
        <f>DATE(2012,5,1) + TIME(0,4,43)</f>
        <v>41030.003275462965</v>
      </c>
      <c r="C1058">
        <v>80</v>
      </c>
      <c r="D1058">
        <v>59.082695006999998</v>
      </c>
      <c r="E1058">
        <v>50</v>
      </c>
      <c r="F1058">
        <v>49.957706451</v>
      </c>
      <c r="G1058">
        <v>1388.0870361</v>
      </c>
      <c r="H1058">
        <v>1368.2858887</v>
      </c>
      <c r="I1058">
        <v>1295.9611815999999</v>
      </c>
      <c r="J1058">
        <v>1277.0118408000001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731.00984100000005</v>
      </c>
      <c r="B1059" s="1">
        <f>DATE(2012,5,1) + TIME(0,14,10)</f>
        <v>41030.009837962964</v>
      </c>
      <c r="C1059">
        <v>80</v>
      </c>
      <c r="D1059">
        <v>59.279487609999997</v>
      </c>
      <c r="E1059">
        <v>50</v>
      </c>
      <c r="F1059">
        <v>49.956016540999997</v>
      </c>
      <c r="G1059">
        <v>1395.6076660000001</v>
      </c>
      <c r="H1059">
        <v>1375.7929687999999</v>
      </c>
      <c r="I1059">
        <v>1289.7752685999999</v>
      </c>
      <c r="J1059">
        <v>1270.7961425999999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731.02952400000004</v>
      </c>
      <c r="B1060" s="1">
        <f>DATE(2012,5,1) + TIME(0,42,30)</f>
        <v>41030.029513888891</v>
      </c>
      <c r="C1060">
        <v>80</v>
      </c>
      <c r="D1060">
        <v>59.851665496999999</v>
      </c>
      <c r="E1060">
        <v>50</v>
      </c>
      <c r="F1060">
        <v>49.952907562</v>
      </c>
      <c r="G1060">
        <v>1398.1633300999999</v>
      </c>
      <c r="H1060">
        <v>1378.5083007999999</v>
      </c>
      <c r="I1060">
        <v>1288.1920166</v>
      </c>
      <c r="J1060">
        <v>1269.2049560999999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731.05466200000001</v>
      </c>
      <c r="B1061" s="1">
        <f>DATE(2012,5,1) + TIME(1,18,42)</f>
        <v>41030.054652777777</v>
      </c>
      <c r="C1061">
        <v>80</v>
      </c>
      <c r="D1061">
        <v>60.556381225999999</v>
      </c>
      <c r="E1061">
        <v>50</v>
      </c>
      <c r="F1061">
        <v>49.949203490999999</v>
      </c>
      <c r="G1061">
        <v>1398.2989502</v>
      </c>
      <c r="H1061">
        <v>1378.8454589999999</v>
      </c>
      <c r="I1061">
        <v>1288.1149902</v>
      </c>
      <c r="J1061">
        <v>1269.1267089999999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731.08026700000005</v>
      </c>
      <c r="B1062" s="1">
        <f>DATE(2012,5,1) + TIME(1,55,35)</f>
        <v>41030.080266203702</v>
      </c>
      <c r="C1062">
        <v>80</v>
      </c>
      <c r="D1062">
        <v>61.248897552000003</v>
      </c>
      <c r="E1062">
        <v>50</v>
      </c>
      <c r="F1062">
        <v>49.945476532000001</v>
      </c>
      <c r="G1062">
        <v>1398.0631103999999</v>
      </c>
      <c r="H1062">
        <v>1378.7999268000001</v>
      </c>
      <c r="I1062">
        <v>1288.1314697</v>
      </c>
      <c r="J1062">
        <v>1269.1428223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731.10635400000001</v>
      </c>
      <c r="B1063" s="1">
        <f>DATE(2012,5,1) + TIME(2,33,8)</f>
        <v>41030.106342592589</v>
      </c>
      <c r="C1063">
        <v>80</v>
      </c>
      <c r="D1063">
        <v>61.929267883000001</v>
      </c>
      <c r="E1063">
        <v>50</v>
      </c>
      <c r="F1063">
        <v>49.941711425999998</v>
      </c>
      <c r="G1063">
        <v>1397.7786865</v>
      </c>
      <c r="H1063">
        <v>1378.6988524999999</v>
      </c>
      <c r="I1063">
        <v>1288.1381836</v>
      </c>
      <c r="J1063">
        <v>1269.1492920000001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731.13294499999995</v>
      </c>
      <c r="B1064" s="1">
        <f>DATE(2012,5,1) + TIME(3,11,26)</f>
        <v>41030.132939814815</v>
      </c>
      <c r="C1064">
        <v>80</v>
      </c>
      <c r="D1064">
        <v>62.597572327000002</v>
      </c>
      <c r="E1064">
        <v>50</v>
      </c>
      <c r="F1064">
        <v>49.937911987</v>
      </c>
      <c r="G1064">
        <v>1397.4948730000001</v>
      </c>
      <c r="H1064">
        <v>1378.5915527</v>
      </c>
      <c r="I1064">
        <v>1288.1401367000001</v>
      </c>
      <c r="J1064">
        <v>1269.1508789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731.16006700000003</v>
      </c>
      <c r="B1065" s="1">
        <f>DATE(2012,5,1) + TIME(3,50,29)</f>
        <v>41030.160057870373</v>
      </c>
      <c r="C1065">
        <v>80</v>
      </c>
      <c r="D1065">
        <v>63.253917694000002</v>
      </c>
      <c r="E1065">
        <v>50</v>
      </c>
      <c r="F1065">
        <v>49.934066772000001</v>
      </c>
      <c r="G1065">
        <v>1397.2194824000001</v>
      </c>
      <c r="H1065">
        <v>1378.4860839999999</v>
      </c>
      <c r="I1065">
        <v>1288.1407471</v>
      </c>
      <c r="J1065">
        <v>1269.1511230000001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731.18774699999994</v>
      </c>
      <c r="B1066" s="1">
        <f>DATE(2012,5,1) + TIME(4,30,21)</f>
        <v>41030.187743055554</v>
      </c>
      <c r="C1066">
        <v>80</v>
      </c>
      <c r="D1066">
        <v>63.898399353000002</v>
      </c>
      <c r="E1066">
        <v>50</v>
      </c>
      <c r="F1066">
        <v>49.930183411000002</v>
      </c>
      <c r="G1066">
        <v>1396.9533690999999</v>
      </c>
      <c r="H1066">
        <v>1378.3836670000001</v>
      </c>
      <c r="I1066">
        <v>1288.1411132999999</v>
      </c>
      <c r="J1066">
        <v>1269.1511230000001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731.21601599999997</v>
      </c>
      <c r="B1067" s="1">
        <f>DATE(2012,5,1) + TIME(5,11,3)</f>
        <v>41030.216006944444</v>
      </c>
      <c r="C1067">
        <v>80</v>
      </c>
      <c r="D1067">
        <v>64.531105041999993</v>
      </c>
      <c r="E1067">
        <v>50</v>
      </c>
      <c r="F1067">
        <v>49.926254272000001</v>
      </c>
      <c r="G1067">
        <v>1396.6964111</v>
      </c>
      <c r="H1067">
        <v>1378.2844238</v>
      </c>
      <c r="I1067">
        <v>1288.1412353999999</v>
      </c>
      <c r="J1067">
        <v>1269.1508789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731.24490300000002</v>
      </c>
      <c r="B1068" s="1">
        <f>DATE(2012,5,1) + TIME(5,52,39)</f>
        <v>41030.244895833333</v>
      </c>
      <c r="C1068">
        <v>80</v>
      </c>
      <c r="D1068">
        <v>65.152145386000001</v>
      </c>
      <c r="E1068">
        <v>50</v>
      </c>
      <c r="F1068">
        <v>49.922275542999998</v>
      </c>
      <c r="G1068">
        <v>1396.4483643000001</v>
      </c>
      <c r="H1068">
        <v>1378.1882324000001</v>
      </c>
      <c r="I1068">
        <v>1288.1413574000001</v>
      </c>
      <c r="J1068">
        <v>1269.1506348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731.27443600000004</v>
      </c>
      <c r="B1069" s="1">
        <f>DATE(2012,5,1) + TIME(6,35,11)</f>
        <v>41030.27443287037</v>
      </c>
      <c r="C1069">
        <v>80</v>
      </c>
      <c r="D1069">
        <v>65.761520386000001</v>
      </c>
      <c r="E1069">
        <v>50</v>
      </c>
      <c r="F1069">
        <v>49.918247223000002</v>
      </c>
      <c r="G1069">
        <v>1396.2086182</v>
      </c>
      <c r="H1069">
        <v>1378.0948486</v>
      </c>
      <c r="I1069">
        <v>1288.1413574000001</v>
      </c>
      <c r="J1069">
        <v>1269.1502685999999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731.30465900000002</v>
      </c>
      <c r="B1070" s="1">
        <f>DATE(2012,5,1) + TIME(7,18,42)</f>
        <v>41030.304652777777</v>
      </c>
      <c r="C1070">
        <v>80</v>
      </c>
      <c r="D1070">
        <v>66.359321593999994</v>
      </c>
      <c r="E1070">
        <v>50</v>
      </c>
      <c r="F1070">
        <v>49.914165496999999</v>
      </c>
      <c r="G1070">
        <v>1395.9768065999999</v>
      </c>
      <c r="H1070">
        <v>1378.0041504000001</v>
      </c>
      <c r="I1070">
        <v>1288.1413574000001</v>
      </c>
      <c r="J1070">
        <v>1269.1499022999999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731.33560899999998</v>
      </c>
      <c r="B1071" s="1">
        <f>DATE(2012,5,1) + TIME(8,3,16)</f>
        <v>41030.335601851853</v>
      </c>
      <c r="C1071">
        <v>80</v>
      </c>
      <c r="D1071">
        <v>66.945571899000001</v>
      </c>
      <c r="E1071">
        <v>50</v>
      </c>
      <c r="F1071">
        <v>49.910018921000002</v>
      </c>
      <c r="G1071">
        <v>1395.7525635</v>
      </c>
      <c r="H1071">
        <v>1377.9158935999999</v>
      </c>
      <c r="I1071">
        <v>1288.1412353999999</v>
      </c>
      <c r="J1071">
        <v>1269.1494141000001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731.36733000000004</v>
      </c>
      <c r="B1072" s="1">
        <f>DATE(2012,5,1) + TIME(8,48,57)</f>
        <v>41030.367326388892</v>
      </c>
      <c r="C1072">
        <v>80</v>
      </c>
      <c r="D1072">
        <v>67.520309448000006</v>
      </c>
      <c r="E1072">
        <v>50</v>
      </c>
      <c r="F1072">
        <v>49.905815124999997</v>
      </c>
      <c r="G1072">
        <v>1395.5355225000001</v>
      </c>
      <c r="H1072">
        <v>1377.8300781</v>
      </c>
      <c r="I1072">
        <v>1288.1411132999999</v>
      </c>
      <c r="J1072">
        <v>1269.1489257999999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731.39986499999998</v>
      </c>
      <c r="B1073" s="1">
        <f>DATE(2012,5,1) + TIME(9,35,48)</f>
        <v>41030.399861111109</v>
      </c>
      <c r="C1073">
        <v>80</v>
      </c>
      <c r="D1073">
        <v>68.083549500000004</v>
      </c>
      <c r="E1073">
        <v>50</v>
      </c>
      <c r="F1073">
        <v>49.901542663999997</v>
      </c>
      <c r="G1073">
        <v>1395.3253173999999</v>
      </c>
      <c r="H1073">
        <v>1377.7464600000001</v>
      </c>
      <c r="I1073">
        <v>1288.1408690999999</v>
      </c>
      <c r="J1073">
        <v>1269.1483154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731.43326400000001</v>
      </c>
      <c r="B1074" s="1">
        <f>DATE(2012,5,1) + TIME(10,23,54)</f>
        <v>41030.433263888888</v>
      </c>
      <c r="C1074">
        <v>80</v>
      </c>
      <c r="D1074">
        <v>68.635299683</v>
      </c>
      <c r="E1074">
        <v>50</v>
      </c>
      <c r="F1074">
        <v>49.897197722999998</v>
      </c>
      <c r="G1074">
        <v>1395.121582</v>
      </c>
      <c r="H1074">
        <v>1377.6647949000001</v>
      </c>
      <c r="I1074">
        <v>1288.140625</v>
      </c>
      <c r="J1074">
        <v>1269.1475829999999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731.46758</v>
      </c>
      <c r="B1075" s="1">
        <f>DATE(2012,5,1) + TIME(11,13,18)</f>
        <v>41030.467569444445</v>
      </c>
      <c r="C1075">
        <v>80</v>
      </c>
      <c r="D1075">
        <v>69.175552367999998</v>
      </c>
      <c r="E1075">
        <v>50</v>
      </c>
      <c r="F1075">
        <v>49.892776488999999</v>
      </c>
      <c r="G1075">
        <v>1394.9240723</v>
      </c>
      <c r="H1075">
        <v>1377.5850829999999</v>
      </c>
      <c r="I1075">
        <v>1288.1402588000001</v>
      </c>
      <c r="J1075">
        <v>1269.1468506000001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731.50287100000003</v>
      </c>
      <c r="B1076" s="1">
        <f>DATE(2012,5,1) + TIME(12,4,8)</f>
        <v>41030.502870370372</v>
      </c>
      <c r="C1076">
        <v>80</v>
      </c>
      <c r="D1076">
        <v>69.704299926999994</v>
      </c>
      <c r="E1076">
        <v>50</v>
      </c>
      <c r="F1076">
        <v>49.888271332000002</v>
      </c>
      <c r="G1076">
        <v>1394.7325439000001</v>
      </c>
      <c r="H1076">
        <v>1377.5070800999999</v>
      </c>
      <c r="I1076">
        <v>1288.1400146000001</v>
      </c>
      <c r="J1076">
        <v>1269.1461182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731.53919900000005</v>
      </c>
      <c r="B1077" s="1">
        <f>DATE(2012,5,1) + TIME(12,56,26)</f>
        <v>41030.539189814815</v>
      </c>
      <c r="C1077">
        <v>80</v>
      </c>
      <c r="D1077">
        <v>70.221336364999999</v>
      </c>
      <c r="E1077">
        <v>50</v>
      </c>
      <c r="F1077">
        <v>49.883682251000003</v>
      </c>
      <c r="G1077">
        <v>1394.5465088000001</v>
      </c>
      <c r="H1077">
        <v>1377.4306641000001</v>
      </c>
      <c r="I1077">
        <v>1288.1395264</v>
      </c>
      <c r="J1077">
        <v>1269.1452637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731.57663200000002</v>
      </c>
      <c r="B1078" s="1">
        <f>DATE(2012,5,1) + TIME(13,50,21)</f>
        <v>41030.576631944445</v>
      </c>
      <c r="C1078">
        <v>80</v>
      </c>
      <c r="D1078">
        <v>70.726585388000004</v>
      </c>
      <c r="E1078">
        <v>50</v>
      </c>
      <c r="F1078">
        <v>49.878993987999998</v>
      </c>
      <c r="G1078">
        <v>1394.3658447</v>
      </c>
      <c r="H1078">
        <v>1377.3558350000001</v>
      </c>
      <c r="I1078">
        <v>1288.1390381000001</v>
      </c>
      <c r="J1078">
        <v>1269.1444091999999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731.61526100000003</v>
      </c>
      <c r="B1079" s="1">
        <f>DATE(2012,5,1) + TIME(14,45,58)</f>
        <v>41030.615254629629</v>
      </c>
      <c r="C1079">
        <v>80</v>
      </c>
      <c r="D1079">
        <v>71.220375060999999</v>
      </c>
      <c r="E1079">
        <v>50</v>
      </c>
      <c r="F1079">
        <v>49.874206543</v>
      </c>
      <c r="G1079">
        <v>1394.1900635</v>
      </c>
      <c r="H1079">
        <v>1377.2822266000001</v>
      </c>
      <c r="I1079">
        <v>1288.1385498</v>
      </c>
      <c r="J1079">
        <v>1269.1434326000001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731.65515900000003</v>
      </c>
      <c r="B1080" s="1">
        <f>DATE(2012,5,1) + TIME(15,43,25)</f>
        <v>41030.655150462961</v>
      </c>
      <c r="C1080">
        <v>80</v>
      </c>
      <c r="D1080">
        <v>71.702507018999995</v>
      </c>
      <c r="E1080">
        <v>50</v>
      </c>
      <c r="F1080">
        <v>49.869312286000003</v>
      </c>
      <c r="G1080">
        <v>1394.0191649999999</v>
      </c>
      <c r="H1080">
        <v>1377.2098389</v>
      </c>
      <c r="I1080">
        <v>1288.1380615</v>
      </c>
      <c r="J1080">
        <v>1269.1424560999999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731.69641200000001</v>
      </c>
      <c r="B1081" s="1">
        <f>DATE(2012,5,1) + TIME(16,42,50)</f>
        <v>41030.696412037039</v>
      </c>
      <c r="C1081">
        <v>80</v>
      </c>
      <c r="D1081">
        <v>72.172889709000003</v>
      </c>
      <c r="E1081">
        <v>50</v>
      </c>
      <c r="F1081">
        <v>49.864299774000003</v>
      </c>
      <c r="G1081">
        <v>1393.8527832</v>
      </c>
      <c r="H1081">
        <v>1377.1385498</v>
      </c>
      <c r="I1081">
        <v>1288.1374512</v>
      </c>
      <c r="J1081">
        <v>1269.1413574000001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731.73912299999995</v>
      </c>
      <c r="B1082" s="1">
        <f>DATE(2012,5,1) + TIME(17,44,20)</f>
        <v>41030.739120370374</v>
      </c>
      <c r="C1082">
        <v>80</v>
      </c>
      <c r="D1082">
        <v>72.631423949999999</v>
      </c>
      <c r="E1082">
        <v>50</v>
      </c>
      <c r="F1082">
        <v>49.859161377</v>
      </c>
      <c r="G1082">
        <v>1393.6906738</v>
      </c>
      <c r="H1082">
        <v>1377.0681152</v>
      </c>
      <c r="I1082">
        <v>1288.1367187999999</v>
      </c>
      <c r="J1082">
        <v>1269.1402588000001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731.78340100000003</v>
      </c>
      <c r="B1083" s="1">
        <f>DATE(2012,5,1) + TIME(18,48,5)</f>
        <v>41030.783391203702</v>
      </c>
      <c r="C1083">
        <v>80</v>
      </c>
      <c r="D1083">
        <v>73.078025818</v>
      </c>
      <c r="E1083">
        <v>50</v>
      </c>
      <c r="F1083">
        <v>49.853885650999999</v>
      </c>
      <c r="G1083">
        <v>1393.5325928</v>
      </c>
      <c r="H1083">
        <v>1376.9985352000001</v>
      </c>
      <c r="I1083">
        <v>1288.1361084</v>
      </c>
      <c r="J1083">
        <v>1269.1391602000001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731.82937200000003</v>
      </c>
      <c r="B1084" s="1">
        <f>DATE(2012,5,1) + TIME(19,54,17)</f>
        <v>41030.829363425924</v>
      </c>
      <c r="C1084">
        <v>80</v>
      </c>
      <c r="D1084">
        <v>73.512596130000006</v>
      </c>
      <c r="E1084">
        <v>50</v>
      </c>
      <c r="F1084">
        <v>49.848468781000001</v>
      </c>
      <c r="G1084">
        <v>1393.3782959</v>
      </c>
      <c r="H1084">
        <v>1376.9295654</v>
      </c>
      <c r="I1084">
        <v>1288.135376</v>
      </c>
      <c r="J1084">
        <v>1269.1379394999999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731.87717299999997</v>
      </c>
      <c r="B1085" s="1">
        <f>DATE(2012,5,1) + TIME(21,3,7)</f>
        <v>41030.877164351848</v>
      </c>
      <c r="C1085">
        <v>80</v>
      </c>
      <c r="D1085">
        <v>73.935020446999999</v>
      </c>
      <c r="E1085">
        <v>50</v>
      </c>
      <c r="F1085">
        <v>49.842887877999999</v>
      </c>
      <c r="G1085">
        <v>1393.2275391000001</v>
      </c>
      <c r="H1085">
        <v>1376.8612060999999</v>
      </c>
      <c r="I1085">
        <v>1288.1345214999999</v>
      </c>
      <c r="J1085">
        <v>1269.1365966999999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731.926962</v>
      </c>
      <c r="B1086" s="1">
        <f>DATE(2012,5,1) + TIME(22,14,49)</f>
        <v>41030.92695601852</v>
      </c>
      <c r="C1086">
        <v>80</v>
      </c>
      <c r="D1086">
        <v>74.345169067</v>
      </c>
      <c r="E1086">
        <v>50</v>
      </c>
      <c r="F1086">
        <v>49.837139129999997</v>
      </c>
      <c r="G1086">
        <v>1393.0800781</v>
      </c>
      <c r="H1086">
        <v>1376.7932129000001</v>
      </c>
      <c r="I1086">
        <v>1288.1336670000001</v>
      </c>
      <c r="J1086">
        <v>1269.1352539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731.97891400000003</v>
      </c>
      <c r="B1087" s="1">
        <f>DATE(2012,5,1) + TIME(23,29,38)</f>
        <v>41030.978912037041</v>
      </c>
      <c r="C1087">
        <v>80</v>
      </c>
      <c r="D1087">
        <v>74.742919921999999</v>
      </c>
      <c r="E1087">
        <v>50</v>
      </c>
      <c r="F1087">
        <v>49.831199646000002</v>
      </c>
      <c r="G1087">
        <v>1392.9357910000001</v>
      </c>
      <c r="H1087">
        <v>1376.7254639</v>
      </c>
      <c r="I1087">
        <v>1288.1328125</v>
      </c>
      <c r="J1087">
        <v>1269.1337891000001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732.03322800000001</v>
      </c>
      <c r="B1088" s="1">
        <f>DATE(2012,5,2) + TIME(0,47,50)</f>
        <v>41031.033217592594</v>
      </c>
      <c r="C1088">
        <v>80</v>
      </c>
      <c r="D1088">
        <v>75.128028869999994</v>
      </c>
      <c r="E1088">
        <v>50</v>
      </c>
      <c r="F1088">
        <v>49.825054168999998</v>
      </c>
      <c r="G1088">
        <v>1392.7943115</v>
      </c>
      <c r="H1088">
        <v>1376.6578368999999</v>
      </c>
      <c r="I1088">
        <v>1288.1318358999999</v>
      </c>
      <c r="J1088">
        <v>1269.1323242000001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732.090149</v>
      </c>
      <c r="B1089" s="1">
        <f>DATE(2012,5,2) + TIME(2,9,48)</f>
        <v>41031.090138888889</v>
      </c>
      <c r="C1089">
        <v>80</v>
      </c>
      <c r="D1089">
        <v>75.500328064000001</v>
      </c>
      <c r="E1089">
        <v>50</v>
      </c>
      <c r="F1089">
        <v>49.818683624000002</v>
      </c>
      <c r="G1089">
        <v>1392.6555175999999</v>
      </c>
      <c r="H1089">
        <v>1376.5900879000001</v>
      </c>
      <c r="I1089">
        <v>1288.1308594</v>
      </c>
      <c r="J1089">
        <v>1269.1307373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732.14994799999999</v>
      </c>
      <c r="B1090" s="1">
        <f>DATE(2012,5,2) + TIME(3,35,55)</f>
        <v>41031.149942129632</v>
      </c>
      <c r="C1090">
        <v>80</v>
      </c>
      <c r="D1090">
        <v>75.859886169000006</v>
      </c>
      <c r="E1090">
        <v>50</v>
      </c>
      <c r="F1090">
        <v>49.812065124999997</v>
      </c>
      <c r="G1090">
        <v>1392.5189209</v>
      </c>
      <c r="H1090">
        <v>1376.5222168</v>
      </c>
      <c r="I1090">
        <v>1288.1297606999999</v>
      </c>
      <c r="J1090">
        <v>1269.1291504000001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732.21290699999997</v>
      </c>
      <c r="B1091" s="1">
        <f>DATE(2012,5,2) + TIME(5,6,35)</f>
        <v>41031.212905092594</v>
      </c>
      <c r="C1091">
        <v>80</v>
      </c>
      <c r="D1091">
        <v>76.206359863000003</v>
      </c>
      <c r="E1091">
        <v>50</v>
      </c>
      <c r="F1091">
        <v>49.805171967</v>
      </c>
      <c r="G1091">
        <v>1392.3846435999999</v>
      </c>
      <c r="H1091">
        <v>1376.4538574000001</v>
      </c>
      <c r="I1091">
        <v>1288.1286620999999</v>
      </c>
      <c r="J1091">
        <v>1269.1274414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732.27937499999996</v>
      </c>
      <c r="B1092" s="1">
        <f>DATE(2012,5,2) + TIME(6,42,17)</f>
        <v>41031.279363425929</v>
      </c>
      <c r="C1092">
        <v>80</v>
      </c>
      <c r="D1092">
        <v>76.539550781000003</v>
      </c>
      <c r="E1092">
        <v>50</v>
      </c>
      <c r="F1092">
        <v>49.797973632999998</v>
      </c>
      <c r="G1092">
        <v>1392.2520752</v>
      </c>
      <c r="H1092">
        <v>1376.3848877</v>
      </c>
      <c r="I1092">
        <v>1288.1274414</v>
      </c>
      <c r="J1092">
        <v>1269.1256103999999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732.34976300000005</v>
      </c>
      <c r="B1093" s="1">
        <f>DATE(2012,5,2) + TIME(8,23,39)</f>
        <v>41031.349756944444</v>
      </c>
      <c r="C1093">
        <v>80</v>
      </c>
      <c r="D1093">
        <v>76.859245299999998</v>
      </c>
      <c r="E1093">
        <v>50</v>
      </c>
      <c r="F1093">
        <v>49.790439606</v>
      </c>
      <c r="G1093">
        <v>1392.1212158000001</v>
      </c>
      <c r="H1093">
        <v>1376.3153076000001</v>
      </c>
      <c r="I1093">
        <v>1288.1262207</v>
      </c>
      <c r="J1093">
        <v>1269.1236572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732.42455500000005</v>
      </c>
      <c r="B1094" s="1">
        <f>DATE(2012,5,2) + TIME(10,11,21)</f>
        <v>41031.42454861111</v>
      </c>
      <c r="C1094">
        <v>80</v>
      </c>
      <c r="D1094">
        <v>77.165214539000004</v>
      </c>
      <c r="E1094">
        <v>50</v>
      </c>
      <c r="F1094">
        <v>49.782527924</v>
      </c>
      <c r="G1094">
        <v>1391.9916992000001</v>
      </c>
      <c r="H1094">
        <v>1376.2446289</v>
      </c>
      <c r="I1094">
        <v>1288.1248779</v>
      </c>
      <c r="J1094">
        <v>1269.121582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732.50431400000002</v>
      </c>
      <c r="B1095" s="1">
        <f>DATE(2012,5,2) + TIME(12,6,12)</f>
        <v>41031.504305555558</v>
      </c>
      <c r="C1095">
        <v>80</v>
      </c>
      <c r="D1095">
        <v>77.457153320000003</v>
      </c>
      <c r="E1095">
        <v>50</v>
      </c>
      <c r="F1095">
        <v>49.774188995000003</v>
      </c>
      <c r="G1095">
        <v>1391.8631591999999</v>
      </c>
      <c r="H1095">
        <v>1376.1728516000001</v>
      </c>
      <c r="I1095">
        <v>1288.1234131000001</v>
      </c>
      <c r="J1095">
        <v>1269.1195068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732.58975099999998</v>
      </c>
      <c r="B1096" s="1">
        <f>DATE(2012,5,2) + TIME(14,9,14)</f>
        <v>41031.589745370373</v>
      </c>
      <c r="C1096">
        <v>80</v>
      </c>
      <c r="D1096">
        <v>77.734863281000003</v>
      </c>
      <c r="E1096">
        <v>50</v>
      </c>
      <c r="F1096">
        <v>49.765369415000002</v>
      </c>
      <c r="G1096">
        <v>1391.7353516000001</v>
      </c>
      <c r="H1096">
        <v>1376.0994873</v>
      </c>
      <c r="I1096">
        <v>1288.1218262</v>
      </c>
      <c r="J1096">
        <v>1269.1171875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732.68171500000005</v>
      </c>
      <c r="B1097" s="1">
        <f>DATE(2012,5,2) + TIME(16,21,40)</f>
        <v>41031.681712962964</v>
      </c>
      <c r="C1097">
        <v>80</v>
      </c>
      <c r="D1097">
        <v>77.998062133999994</v>
      </c>
      <c r="E1097">
        <v>50</v>
      </c>
      <c r="F1097">
        <v>49.755996703999998</v>
      </c>
      <c r="G1097">
        <v>1391.6077881000001</v>
      </c>
      <c r="H1097">
        <v>1376.0242920000001</v>
      </c>
      <c r="I1097">
        <v>1288.1202393000001</v>
      </c>
      <c r="J1097">
        <v>1269.1147461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732.78125599999998</v>
      </c>
      <c r="B1098" s="1">
        <f>DATE(2012,5,2) + TIME(18,45,0)</f>
        <v>41031.78125</v>
      </c>
      <c r="C1098">
        <v>80</v>
      </c>
      <c r="D1098">
        <v>78.246437072999996</v>
      </c>
      <c r="E1098">
        <v>50</v>
      </c>
      <c r="F1098">
        <v>49.745986938000001</v>
      </c>
      <c r="G1098">
        <v>1391.4802245999999</v>
      </c>
      <c r="H1098">
        <v>1375.9470214999999</v>
      </c>
      <c r="I1098">
        <v>1288.1184082</v>
      </c>
      <c r="J1098">
        <v>1269.1121826000001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732.88869799999998</v>
      </c>
      <c r="B1099" s="1">
        <f>DATE(2012,5,2) + TIME(21,19,43)</f>
        <v>41031.888692129629</v>
      </c>
      <c r="C1099">
        <v>80</v>
      </c>
      <c r="D1099">
        <v>78.477821349999999</v>
      </c>
      <c r="E1099">
        <v>50</v>
      </c>
      <c r="F1099">
        <v>49.735321044999999</v>
      </c>
      <c r="G1099">
        <v>1391.3527832</v>
      </c>
      <c r="H1099">
        <v>1375.8676757999999</v>
      </c>
      <c r="I1099">
        <v>1288.1164550999999</v>
      </c>
      <c r="J1099">
        <v>1269.109375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732.99643200000003</v>
      </c>
      <c r="B1100" s="1">
        <f>DATE(2012,5,2) + TIME(23,54,51)</f>
        <v>41031.996423611112</v>
      </c>
      <c r="C1100">
        <v>80</v>
      </c>
      <c r="D1100">
        <v>78.678009032999995</v>
      </c>
      <c r="E1100">
        <v>50</v>
      </c>
      <c r="F1100">
        <v>49.724670410000002</v>
      </c>
      <c r="G1100">
        <v>1391.2325439000001</v>
      </c>
      <c r="H1100">
        <v>1375.7895507999999</v>
      </c>
      <c r="I1100">
        <v>1288.1142577999999</v>
      </c>
      <c r="J1100">
        <v>1269.1063231999999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733.10507700000005</v>
      </c>
      <c r="B1101" s="1">
        <f>DATE(2012,5,3) + TIME(2,31,18)</f>
        <v>41032.105069444442</v>
      </c>
      <c r="C1101">
        <v>80</v>
      </c>
      <c r="D1101">
        <v>78.851997374999996</v>
      </c>
      <c r="E1101">
        <v>50</v>
      </c>
      <c r="F1101">
        <v>49.713985442999999</v>
      </c>
      <c r="G1101">
        <v>1391.1191406</v>
      </c>
      <c r="H1101">
        <v>1375.7139893000001</v>
      </c>
      <c r="I1101">
        <v>1288.1120605000001</v>
      </c>
      <c r="J1101">
        <v>1269.1032714999999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733.214473</v>
      </c>
      <c r="B1102" s="1">
        <f>DATE(2012,5,3) + TIME(5,8,50)</f>
        <v>41032.214467592596</v>
      </c>
      <c r="C1102">
        <v>80</v>
      </c>
      <c r="D1102">
        <v>79.002861022999994</v>
      </c>
      <c r="E1102">
        <v>50</v>
      </c>
      <c r="F1102">
        <v>49.703277587999999</v>
      </c>
      <c r="G1102">
        <v>1391.0119629000001</v>
      </c>
      <c r="H1102">
        <v>1375.6409911999999</v>
      </c>
      <c r="I1102">
        <v>1288.1098632999999</v>
      </c>
      <c r="J1102">
        <v>1269.1002197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733.32489599999997</v>
      </c>
      <c r="B1103" s="1">
        <f>DATE(2012,5,3) + TIME(7,47,51)</f>
        <v>41032.324895833335</v>
      </c>
      <c r="C1103">
        <v>80</v>
      </c>
      <c r="D1103">
        <v>79.133827209000003</v>
      </c>
      <c r="E1103">
        <v>50</v>
      </c>
      <c r="F1103">
        <v>49.692516327</v>
      </c>
      <c r="G1103">
        <v>1390.9101562000001</v>
      </c>
      <c r="H1103">
        <v>1375.5701904</v>
      </c>
      <c r="I1103">
        <v>1288.1075439000001</v>
      </c>
      <c r="J1103">
        <v>1269.097168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733.43659600000001</v>
      </c>
      <c r="B1104" s="1">
        <f>DATE(2012,5,3) + TIME(10,28,41)</f>
        <v>41032.436585648145</v>
      </c>
      <c r="C1104">
        <v>80</v>
      </c>
      <c r="D1104">
        <v>79.247589110999996</v>
      </c>
      <c r="E1104">
        <v>50</v>
      </c>
      <c r="F1104">
        <v>49.681690216</v>
      </c>
      <c r="G1104">
        <v>1390.8129882999999</v>
      </c>
      <c r="H1104">
        <v>1375.5013428</v>
      </c>
      <c r="I1104">
        <v>1288.1053466999999</v>
      </c>
      <c r="J1104">
        <v>1269.0941161999999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733.54982199999995</v>
      </c>
      <c r="B1105" s="1">
        <f>DATE(2012,5,3) + TIME(13,11,44)</f>
        <v>41032.549814814818</v>
      </c>
      <c r="C1105">
        <v>80</v>
      </c>
      <c r="D1105">
        <v>79.346443175999994</v>
      </c>
      <c r="E1105">
        <v>50</v>
      </c>
      <c r="F1105">
        <v>49.670764923</v>
      </c>
      <c r="G1105">
        <v>1390.7199707</v>
      </c>
      <c r="H1105">
        <v>1375.4342041</v>
      </c>
      <c r="I1105">
        <v>1288.1030272999999</v>
      </c>
      <c r="J1105">
        <v>1269.0909423999999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733.66482099999996</v>
      </c>
      <c r="B1106" s="1">
        <f>DATE(2012,5,3) + TIME(15,57,20)</f>
        <v>41032.664814814816</v>
      </c>
      <c r="C1106">
        <v>80</v>
      </c>
      <c r="D1106">
        <v>79.432342528999996</v>
      </c>
      <c r="E1106">
        <v>50</v>
      </c>
      <c r="F1106">
        <v>49.659729003999999</v>
      </c>
      <c r="G1106">
        <v>1390.6303711</v>
      </c>
      <c r="H1106">
        <v>1375.3685303</v>
      </c>
      <c r="I1106">
        <v>1288.1005858999999</v>
      </c>
      <c r="J1106">
        <v>1269.0877685999999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733.78186900000003</v>
      </c>
      <c r="B1107" s="1">
        <f>DATE(2012,5,3) + TIME(18,45,53)</f>
        <v>41032.781863425924</v>
      </c>
      <c r="C1107">
        <v>80</v>
      </c>
      <c r="D1107">
        <v>79.506950377999999</v>
      </c>
      <c r="E1107">
        <v>50</v>
      </c>
      <c r="F1107">
        <v>49.648555756</v>
      </c>
      <c r="G1107">
        <v>1390.5439452999999</v>
      </c>
      <c r="H1107">
        <v>1375.3041992000001</v>
      </c>
      <c r="I1107">
        <v>1288.0982666</v>
      </c>
      <c r="J1107">
        <v>1269.0844727000001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733.90123700000004</v>
      </c>
      <c r="B1108" s="1">
        <f>DATE(2012,5,3) + TIME(21,37,46)</f>
        <v>41032.901226851849</v>
      </c>
      <c r="C1108">
        <v>80</v>
      </c>
      <c r="D1108">
        <v>79.571716308999996</v>
      </c>
      <c r="E1108">
        <v>50</v>
      </c>
      <c r="F1108">
        <v>49.637226105000003</v>
      </c>
      <c r="G1108">
        <v>1390.4600829999999</v>
      </c>
      <c r="H1108">
        <v>1375.2409668</v>
      </c>
      <c r="I1108">
        <v>1288.0958252</v>
      </c>
      <c r="J1108">
        <v>1269.0811768000001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734.02317000000005</v>
      </c>
      <c r="B1109" s="1">
        <f>DATE(2012,5,4) + TIME(0,33,21)</f>
        <v>41033.023159722223</v>
      </c>
      <c r="C1109">
        <v>80</v>
      </c>
      <c r="D1109">
        <v>79.627861022999994</v>
      </c>
      <c r="E1109">
        <v>50</v>
      </c>
      <c r="F1109">
        <v>49.625709534000002</v>
      </c>
      <c r="G1109">
        <v>1390.3785399999999</v>
      </c>
      <c r="H1109">
        <v>1375.1785889</v>
      </c>
      <c r="I1109">
        <v>1288.0932617000001</v>
      </c>
      <c r="J1109">
        <v>1269.0777588000001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734.14796000000001</v>
      </c>
      <c r="B1110" s="1">
        <f>DATE(2012,5,4) + TIME(3,33,3)</f>
        <v>41033.147951388892</v>
      </c>
      <c r="C1110">
        <v>80</v>
      </c>
      <c r="D1110">
        <v>79.676467896000005</v>
      </c>
      <c r="E1110">
        <v>50</v>
      </c>
      <c r="F1110">
        <v>49.613990784000002</v>
      </c>
      <c r="G1110">
        <v>1390.2989502</v>
      </c>
      <c r="H1110">
        <v>1375.1170654</v>
      </c>
      <c r="I1110">
        <v>1288.0906981999999</v>
      </c>
      <c r="J1110">
        <v>1269.0743408000001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734.27591700000005</v>
      </c>
      <c r="B1111" s="1">
        <f>DATE(2012,5,4) + TIME(6,37,19)</f>
        <v>41033.275914351849</v>
      </c>
      <c r="C1111">
        <v>80</v>
      </c>
      <c r="D1111">
        <v>79.718482971</v>
      </c>
      <c r="E1111">
        <v>50</v>
      </c>
      <c r="F1111">
        <v>49.602043152</v>
      </c>
      <c r="G1111">
        <v>1390.2209473</v>
      </c>
      <c r="H1111">
        <v>1375.0562743999999</v>
      </c>
      <c r="I1111">
        <v>1288.0881348</v>
      </c>
      <c r="J1111">
        <v>1269.0708007999999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734.40737899999999</v>
      </c>
      <c r="B1112" s="1">
        <f>DATE(2012,5,4) + TIME(9,46,37)</f>
        <v>41033.407372685186</v>
      </c>
      <c r="C1112">
        <v>80</v>
      </c>
      <c r="D1112">
        <v>79.754722595000004</v>
      </c>
      <c r="E1112">
        <v>50</v>
      </c>
      <c r="F1112">
        <v>49.589836120999998</v>
      </c>
      <c r="G1112">
        <v>1390.1444091999999</v>
      </c>
      <c r="H1112">
        <v>1374.9959716999999</v>
      </c>
      <c r="I1112">
        <v>1288.0854492000001</v>
      </c>
      <c r="J1112">
        <v>1269.0671387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734.54270899999995</v>
      </c>
      <c r="B1113" s="1">
        <f>DATE(2012,5,4) + TIME(13,1,30)</f>
        <v>41033.542708333334</v>
      </c>
      <c r="C1113">
        <v>80</v>
      </c>
      <c r="D1113">
        <v>79.785919188999998</v>
      </c>
      <c r="E1113">
        <v>50</v>
      </c>
      <c r="F1113">
        <v>49.577342987000002</v>
      </c>
      <c r="G1113">
        <v>1390.0689697</v>
      </c>
      <c r="H1113">
        <v>1374.9360352000001</v>
      </c>
      <c r="I1113">
        <v>1288.0826416</v>
      </c>
      <c r="J1113">
        <v>1269.0634766000001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734.68231200000002</v>
      </c>
      <c r="B1114" s="1">
        <f>DATE(2012,5,4) + TIME(16,22,31)</f>
        <v>41033.682303240741</v>
      </c>
      <c r="C1114">
        <v>80</v>
      </c>
      <c r="D1114">
        <v>79.812705993999998</v>
      </c>
      <c r="E1114">
        <v>50</v>
      </c>
      <c r="F1114">
        <v>49.564533234000002</v>
      </c>
      <c r="G1114">
        <v>1389.9945068</v>
      </c>
      <c r="H1114">
        <v>1374.8763428</v>
      </c>
      <c r="I1114">
        <v>1288.0798339999999</v>
      </c>
      <c r="J1114">
        <v>1269.0595702999999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734.82663300000002</v>
      </c>
      <c r="B1115" s="1">
        <f>DATE(2012,5,4) + TIME(19,50,21)</f>
        <v>41033.826631944445</v>
      </c>
      <c r="C1115">
        <v>80</v>
      </c>
      <c r="D1115">
        <v>79.835632324000002</v>
      </c>
      <c r="E1115">
        <v>50</v>
      </c>
      <c r="F1115">
        <v>49.551372528000002</v>
      </c>
      <c r="G1115">
        <v>1389.9206543</v>
      </c>
      <c r="H1115">
        <v>1374.8167725000001</v>
      </c>
      <c r="I1115">
        <v>1288.0767822</v>
      </c>
      <c r="J1115">
        <v>1269.0556641000001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734.97616800000003</v>
      </c>
      <c r="B1116" s="1">
        <f>DATE(2012,5,4) + TIME(23,25,40)</f>
        <v>41033.976157407407</v>
      </c>
      <c r="C1116">
        <v>80</v>
      </c>
      <c r="D1116">
        <v>79.855194092000005</v>
      </c>
      <c r="E1116">
        <v>50</v>
      </c>
      <c r="F1116">
        <v>49.537815094000003</v>
      </c>
      <c r="G1116">
        <v>1389.847168</v>
      </c>
      <c r="H1116">
        <v>1374.7573242000001</v>
      </c>
      <c r="I1116">
        <v>1288.0737305</v>
      </c>
      <c r="J1116">
        <v>1269.0515137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735.13149399999998</v>
      </c>
      <c r="B1117" s="1">
        <f>DATE(2012,5,5) + TIME(3,9,21)</f>
        <v>41034.131493055553</v>
      </c>
      <c r="C1117">
        <v>80</v>
      </c>
      <c r="D1117">
        <v>79.871833800999994</v>
      </c>
      <c r="E1117">
        <v>50</v>
      </c>
      <c r="F1117">
        <v>49.523826599000003</v>
      </c>
      <c r="G1117">
        <v>1389.7739257999999</v>
      </c>
      <c r="H1117">
        <v>1374.6976318</v>
      </c>
      <c r="I1117">
        <v>1288.0705565999999</v>
      </c>
      <c r="J1117">
        <v>1269.0472411999999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735.29332199999999</v>
      </c>
      <c r="B1118" s="1">
        <f>DATE(2012,5,5) + TIME(7,2,23)</f>
        <v>41034.293321759258</v>
      </c>
      <c r="C1118">
        <v>80</v>
      </c>
      <c r="D1118">
        <v>79.885925293</v>
      </c>
      <c r="E1118">
        <v>50</v>
      </c>
      <c r="F1118">
        <v>49.509346008000001</v>
      </c>
      <c r="G1118">
        <v>1389.7008057</v>
      </c>
      <c r="H1118">
        <v>1374.6376952999999</v>
      </c>
      <c r="I1118">
        <v>1288.0672606999999</v>
      </c>
      <c r="J1118">
        <v>1269.0428466999999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735.46229300000005</v>
      </c>
      <c r="B1119" s="1">
        <f>DATE(2012,5,5) + TIME(11,5,42)</f>
        <v>41034.462291666663</v>
      </c>
      <c r="C1119">
        <v>80</v>
      </c>
      <c r="D1119">
        <v>79.89781189</v>
      </c>
      <c r="E1119">
        <v>50</v>
      </c>
      <c r="F1119">
        <v>49.494331359999997</v>
      </c>
      <c r="G1119">
        <v>1389.6271973</v>
      </c>
      <c r="H1119">
        <v>1374.5772704999999</v>
      </c>
      <c r="I1119">
        <v>1288.0637207</v>
      </c>
      <c r="J1119">
        <v>1269.0382079999999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735.63858600000003</v>
      </c>
      <c r="B1120" s="1">
        <f>DATE(2012,5,5) + TIME(15,19,33)</f>
        <v>41034.63857638889</v>
      </c>
      <c r="C1120">
        <v>80</v>
      </c>
      <c r="D1120">
        <v>79.907760620000005</v>
      </c>
      <c r="E1120">
        <v>50</v>
      </c>
      <c r="F1120">
        <v>49.478763579999999</v>
      </c>
      <c r="G1120">
        <v>1389.5532227000001</v>
      </c>
      <c r="H1120">
        <v>1374.5163574000001</v>
      </c>
      <c r="I1120">
        <v>1288.0601807</v>
      </c>
      <c r="J1120">
        <v>1269.0333252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735.82122200000003</v>
      </c>
      <c r="B1121" s="1">
        <f>DATE(2012,5,5) + TIME(19,42,33)</f>
        <v>41034.821215277778</v>
      </c>
      <c r="C1121">
        <v>80</v>
      </c>
      <c r="D1121">
        <v>79.915977478000002</v>
      </c>
      <c r="E1121">
        <v>50</v>
      </c>
      <c r="F1121">
        <v>49.462715148999997</v>
      </c>
      <c r="G1121">
        <v>1389.4788818</v>
      </c>
      <c r="H1121">
        <v>1374.4548339999999</v>
      </c>
      <c r="I1121">
        <v>1288.0562743999999</v>
      </c>
      <c r="J1121">
        <v>1269.0283202999999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736.01091599999995</v>
      </c>
      <c r="B1122" s="1">
        <f>DATE(2012,5,6) + TIME(0,15,43)</f>
        <v>41035.010914351849</v>
      </c>
      <c r="C1122">
        <v>80</v>
      </c>
      <c r="D1122">
        <v>79.922744750999996</v>
      </c>
      <c r="E1122">
        <v>50</v>
      </c>
      <c r="F1122">
        <v>49.446132660000004</v>
      </c>
      <c r="G1122">
        <v>1389.4045410000001</v>
      </c>
      <c r="H1122">
        <v>1374.3933105000001</v>
      </c>
      <c r="I1122">
        <v>1288.0523682</v>
      </c>
      <c r="J1122">
        <v>1269.0230713000001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736.20847800000001</v>
      </c>
      <c r="B1123" s="1">
        <f>DATE(2012,5,6) + TIME(5,0,12)</f>
        <v>41035.208472222221</v>
      </c>
      <c r="C1123">
        <v>80</v>
      </c>
      <c r="D1123">
        <v>79.928298949999999</v>
      </c>
      <c r="E1123">
        <v>50</v>
      </c>
      <c r="F1123">
        <v>49.428962708</v>
      </c>
      <c r="G1123">
        <v>1389.3299560999999</v>
      </c>
      <c r="H1123">
        <v>1374.3314209</v>
      </c>
      <c r="I1123">
        <v>1288.0482178</v>
      </c>
      <c r="J1123">
        <v>1269.0175781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736.41472699999997</v>
      </c>
      <c r="B1124" s="1">
        <f>DATE(2012,5,6) + TIME(9,57,12)</f>
        <v>41035.414722222224</v>
      </c>
      <c r="C1124">
        <v>80</v>
      </c>
      <c r="D1124">
        <v>79.932838439999998</v>
      </c>
      <c r="E1124">
        <v>50</v>
      </c>
      <c r="F1124">
        <v>49.411148071</v>
      </c>
      <c r="G1124">
        <v>1389.2548827999999</v>
      </c>
      <c r="H1124">
        <v>1374.2691649999999</v>
      </c>
      <c r="I1124">
        <v>1288.0439452999999</v>
      </c>
      <c r="J1124">
        <v>1269.0119629000001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736.63056900000004</v>
      </c>
      <c r="B1125" s="1">
        <f>DATE(2012,5,6) + TIME(15,8,1)</f>
        <v>41035.630567129629</v>
      </c>
      <c r="C1125">
        <v>80</v>
      </c>
      <c r="D1125">
        <v>79.936538696</v>
      </c>
      <c r="E1125">
        <v>50</v>
      </c>
      <c r="F1125">
        <v>49.392620086999997</v>
      </c>
      <c r="G1125">
        <v>1389.1791992000001</v>
      </c>
      <c r="H1125">
        <v>1374.2062988</v>
      </c>
      <c r="I1125">
        <v>1288.0394286999999</v>
      </c>
      <c r="J1125">
        <v>1269.0061035000001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736.85188000000005</v>
      </c>
      <c r="B1126" s="1">
        <f>DATE(2012,5,6) + TIME(20,26,42)</f>
        <v>41035.851875</v>
      </c>
      <c r="C1126">
        <v>80</v>
      </c>
      <c r="D1126">
        <v>79.939476013000004</v>
      </c>
      <c r="E1126">
        <v>50</v>
      </c>
      <c r="F1126">
        <v>49.373661040999998</v>
      </c>
      <c r="G1126">
        <v>1389.1025391000001</v>
      </c>
      <c r="H1126">
        <v>1374.1425781</v>
      </c>
      <c r="I1126">
        <v>1288.0347899999999</v>
      </c>
      <c r="J1126">
        <v>1268.9998779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737.074432</v>
      </c>
      <c r="B1127" s="1">
        <f>DATE(2012,5,7) + TIME(1,47,10)</f>
        <v>41036.074421296296</v>
      </c>
      <c r="C1127">
        <v>80</v>
      </c>
      <c r="D1127">
        <v>79.941780089999995</v>
      </c>
      <c r="E1127">
        <v>50</v>
      </c>
      <c r="F1127">
        <v>49.354564666999998</v>
      </c>
      <c r="G1127">
        <v>1389.0267334</v>
      </c>
      <c r="H1127">
        <v>1374.0795897999999</v>
      </c>
      <c r="I1127">
        <v>1288.0297852000001</v>
      </c>
      <c r="J1127">
        <v>1268.9935303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737.29835500000002</v>
      </c>
      <c r="B1128" s="1">
        <f>DATE(2012,5,7) + TIME(7,9,37)</f>
        <v>41036.298344907409</v>
      </c>
      <c r="C1128">
        <v>80</v>
      </c>
      <c r="D1128">
        <v>79.943588257000002</v>
      </c>
      <c r="E1128">
        <v>50</v>
      </c>
      <c r="F1128">
        <v>49.335346221999998</v>
      </c>
      <c r="G1128">
        <v>1388.9527588000001</v>
      </c>
      <c r="H1128">
        <v>1374.0181885</v>
      </c>
      <c r="I1128">
        <v>1288.0249022999999</v>
      </c>
      <c r="J1128">
        <v>1268.9871826000001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737.52429600000005</v>
      </c>
      <c r="B1129" s="1">
        <f>DATE(2012,5,7) + TIME(12,34,59)</f>
        <v>41036.524293981478</v>
      </c>
      <c r="C1129">
        <v>80</v>
      </c>
      <c r="D1129">
        <v>79.945014954000001</v>
      </c>
      <c r="E1129">
        <v>50</v>
      </c>
      <c r="F1129">
        <v>49.315975189</v>
      </c>
      <c r="G1129">
        <v>1388.8807373</v>
      </c>
      <c r="H1129">
        <v>1373.958374</v>
      </c>
      <c r="I1129">
        <v>1288.0198975000001</v>
      </c>
      <c r="J1129">
        <v>1268.9807129000001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737.75278100000003</v>
      </c>
      <c r="B1130" s="1">
        <f>DATE(2012,5,7) + TIME(18,4,0)</f>
        <v>41036.75277777778</v>
      </c>
      <c r="C1130">
        <v>80</v>
      </c>
      <c r="D1130">
        <v>79.946144103999998</v>
      </c>
      <c r="E1130">
        <v>50</v>
      </c>
      <c r="F1130">
        <v>49.296432494999998</v>
      </c>
      <c r="G1130">
        <v>1388.8100586</v>
      </c>
      <c r="H1130">
        <v>1373.8997803</v>
      </c>
      <c r="I1130">
        <v>1288.0148925999999</v>
      </c>
      <c r="J1130">
        <v>1268.9742432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737.98433699999998</v>
      </c>
      <c r="B1131" s="1">
        <f>DATE(2012,5,7) + TIME(23,37,26)</f>
        <v>41036.9843287037</v>
      </c>
      <c r="C1131">
        <v>80</v>
      </c>
      <c r="D1131">
        <v>79.947052002000007</v>
      </c>
      <c r="E1131">
        <v>50</v>
      </c>
      <c r="F1131">
        <v>49.276687621999997</v>
      </c>
      <c r="G1131">
        <v>1388.7407227000001</v>
      </c>
      <c r="H1131">
        <v>1373.8422852000001</v>
      </c>
      <c r="I1131">
        <v>1288.0098877</v>
      </c>
      <c r="J1131">
        <v>1268.9676514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738.21953399999995</v>
      </c>
      <c r="B1132" s="1">
        <f>DATE(2012,5,8) + TIME(5,16,7)</f>
        <v>41037.219525462962</v>
      </c>
      <c r="C1132">
        <v>80</v>
      </c>
      <c r="D1132">
        <v>79.947776794000006</v>
      </c>
      <c r="E1132">
        <v>50</v>
      </c>
      <c r="F1132">
        <v>49.256713867000002</v>
      </c>
      <c r="G1132">
        <v>1388.6724853999999</v>
      </c>
      <c r="H1132">
        <v>1373.7857666</v>
      </c>
      <c r="I1132">
        <v>1288.0047606999999</v>
      </c>
      <c r="J1132">
        <v>1268.9609375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738.45895800000005</v>
      </c>
      <c r="B1133" s="1">
        <f>DATE(2012,5,8) + TIME(11,0,53)</f>
        <v>41037.45894675926</v>
      </c>
      <c r="C1133">
        <v>80</v>
      </c>
      <c r="D1133">
        <v>79.948364257999998</v>
      </c>
      <c r="E1133">
        <v>50</v>
      </c>
      <c r="F1133">
        <v>49.236465453999998</v>
      </c>
      <c r="G1133">
        <v>1388.6049805</v>
      </c>
      <c r="H1133">
        <v>1373.7298584</v>
      </c>
      <c r="I1133">
        <v>1287.9995117000001</v>
      </c>
      <c r="J1133">
        <v>1268.9541016000001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738.70322499999997</v>
      </c>
      <c r="B1134" s="1">
        <f>DATE(2012,5,8) + TIME(16,52,38)</f>
        <v>41037.703217592592</v>
      </c>
      <c r="C1134">
        <v>80</v>
      </c>
      <c r="D1134">
        <v>79.948837280000006</v>
      </c>
      <c r="E1134">
        <v>50</v>
      </c>
      <c r="F1134">
        <v>49.215908051</v>
      </c>
      <c r="G1134">
        <v>1388.5380858999999</v>
      </c>
      <c r="H1134">
        <v>1373.6745605000001</v>
      </c>
      <c r="I1134">
        <v>1287.9941406</v>
      </c>
      <c r="J1134">
        <v>1268.9472656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738.952991</v>
      </c>
      <c r="B1135" s="1">
        <f>DATE(2012,5,8) + TIME(22,52,18)</f>
        <v>41037.952986111108</v>
      </c>
      <c r="C1135">
        <v>80</v>
      </c>
      <c r="D1135">
        <v>79.949226378999995</v>
      </c>
      <c r="E1135">
        <v>50</v>
      </c>
      <c r="F1135">
        <v>49.194999695</v>
      </c>
      <c r="G1135">
        <v>1388.4716797000001</v>
      </c>
      <c r="H1135">
        <v>1373.619751</v>
      </c>
      <c r="I1135">
        <v>1287.9887695</v>
      </c>
      <c r="J1135">
        <v>1268.9401855000001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739.20896300000004</v>
      </c>
      <c r="B1136" s="1">
        <f>DATE(2012,5,9) + TIME(5,0,54)</f>
        <v>41038.208958333336</v>
      </c>
      <c r="C1136">
        <v>80</v>
      </c>
      <c r="D1136">
        <v>79.949539185000006</v>
      </c>
      <c r="E1136">
        <v>50</v>
      </c>
      <c r="F1136">
        <v>49.173690796000002</v>
      </c>
      <c r="G1136">
        <v>1388.4055175999999</v>
      </c>
      <c r="H1136">
        <v>1373.5651855000001</v>
      </c>
      <c r="I1136">
        <v>1287.9832764</v>
      </c>
      <c r="J1136">
        <v>1268.9328613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739.47191199999997</v>
      </c>
      <c r="B1137" s="1">
        <f>DATE(2012,5,9) + TIME(11,19,33)</f>
        <v>41038.471909722219</v>
      </c>
      <c r="C1137">
        <v>80</v>
      </c>
      <c r="D1137">
        <v>79.949806213000002</v>
      </c>
      <c r="E1137">
        <v>50</v>
      </c>
      <c r="F1137">
        <v>49.151927948000001</v>
      </c>
      <c r="G1137">
        <v>1388.3393555</v>
      </c>
      <c r="H1137">
        <v>1373.5106201000001</v>
      </c>
      <c r="I1137">
        <v>1287.9775391000001</v>
      </c>
      <c r="J1137">
        <v>1268.9255370999999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739.74268700000005</v>
      </c>
      <c r="B1138" s="1">
        <f>DATE(2012,5,9) + TIME(17,49,28)</f>
        <v>41038.742685185185</v>
      </c>
      <c r="C1138">
        <v>80</v>
      </c>
      <c r="D1138">
        <v>79.950019835999996</v>
      </c>
      <c r="E1138">
        <v>50</v>
      </c>
      <c r="F1138">
        <v>49.129650116000001</v>
      </c>
      <c r="G1138">
        <v>1388.2731934000001</v>
      </c>
      <c r="H1138">
        <v>1373.4561768000001</v>
      </c>
      <c r="I1138">
        <v>1287.9716797000001</v>
      </c>
      <c r="J1138">
        <v>1268.9178466999999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740.02232200000003</v>
      </c>
      <c r="B1139" s="1">
        <f>DATE(2012,5,10) + TIME(0,32,8)</f>
        <v>41039.022314814814</v>
      </c>
      <c r="C1139">
        <v>80</v>
      </c>
      <c r="D1139">
        <v>79.950195312000005</v>
      </c>
      <c r="E1139">
        <v>50</v>
      </c>
      <c r="F1139">
        <v>49.106796265</v>
      </c>
      <c r="G1139">
        <v>1388.2067870999999</v>
      </c>
      <c r="H1139">
        <v>1373.4016113</v>
      </c>
      <c r="I1139">
        <v>1287.9655762</v>
      </c>
      <c r="J1139">
        <v>1268.9100341999999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740.311913</v>
      </c>
      <c r="B1140" s="1">
        <f>DATE(2012,5,10) + TIME(7,29,9)</f>
        <v>41039.311909722222</v>
      </c>
      <c r="C1140">
        <v>80</v>
      </c>
      <c r="D1140">
        <v>79.950340271000002</v>
      </c>
      <c r="E1140">
        <v>50</v>
      </c>
      <c r="F1140">
        <v>49.083282470999997</v>
      </c>
      <c r="G1140">
        <v>1388.1400146000001</v>
      </c>
      <c r="H1140">
        <v>1373.3465576000001</v>
      </c>
      <c r="I1140">
        <v>1287.9593506000001</v>
      </c>
      <c r="J1140">
        <v>1268.9018555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740.60887400000001</v>
      </c>
      <c r="B1141" s="1">
        <f>DATE(2012,5,10) + TIME(14,36,46)</f>
        <v>41039.608865740738</v>
      </c>
      <c r="C1141">
        <v>80</v>
      </c>
      <c r="D1141">
        <v>79.950462341000005</v>
      </c>
      <c r="E1141">
        <v>50</v>
      </c>
      <c r="F1141">
        <v>49.059261321999998</v>
      </c>
      <c r="G1141">
        <v>1388.0725098</v>
      </c>
      <c r="H1141">
        <v>1373.2911377</v>
      </c>
      <c r="I1141">
        <v>1287.9528809000001</v>
      </c>
      <c r="J1141">
        <v>1268.8934326000001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740.91326100000003</v>
      </c>
      <c r="B1142" s="1">
        <f>DATE(2012,5,10) + TIME(21,55,5)</f>
        <v>41039.913252314815</v>
      </c>
      <c r="C1142">
        <v>80</v>
      </c>
      <c r="D1142">
        <v>79.950553893999995</v>
      </c>
      <c r="E1142">
        <v>50</v>
      </c>
      <c r="F1142">
        <v>49.034729003999999</v>
      </c>
      <c r="G1142">
        <v>1388.0050048999999</v>
      </c>
      <c r="H1142">
        <v>1373.2358397999999</v>
      </c>
      <c r="I1142">
        <v>1287.9461670000001</v>
      </c>
      <c r="J1142">
        <v>1268.8847656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741.22593300000005</v>
      </c>
      <c r="B1143" s="1">
        <f>DATE(2012,5,11) + TIME(5,25,20)</f>
        <v>41040.225925925923</v>
      </c>
      <c r="C1143">
        <v>80</v>
      </c>
      <c r="D1143">
        <v>79.950637817</v>
      </c>
      <c r="E1143">
        <v>50</v>
      </c>
      <c r="F1143">
        <v>49.009643554999997</v>
      </c>
      <c r="G1143">
        <v>1387.9375</v>
      </c>
      <c r="H1143">
        <v>1373.1805420000001</v>
      </c>
      <c r="I1143">
        <v>1287.9393310999999</v>
      </c>
      <c r="J1143">
        <v>1268.8759766000001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741.54781500000001</v>
      </c>
      <c r="B1144" s="1">
        <f>DATE(2012,5,11) + TIME(13,8,51)</f>
        <v>41040.547812500001</v>
      </c>
      <c r="C1144">
        <v>80</v>
      </c>
      <c r="D1144">
        <v>79.950698853000006</v>
      </c>
      <c r="E1144">
        <v>50</v>
      </c>
      <c r="F1144">
        <v>48.983955383000001</v>
      </c>
      <c r="G1144">
        <v>1387.8699951000001</v>
      </c>
      <c r="H1144">
        <v>1373.1252440999999</v>
      </c>
      <c r="I1144">
        <v>1287.932251</v>
      </c>
      <c r="J1144">
        <v>1268.8668213000001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741.87994100000003</v>
      </c>
      <c r="B1145" s="1">
        <f>DATE(2012,5,11) + TIME(21,7,6)</f>
        <v>41040.879930555559</v>
      </c>
      <c r="C1145">
        <v>80</v>
      </c>
      <c r="D1145">
        <v>79.950752257999994</v>
      </c>
      <c r="E1145">
        <v>50</v>
      </c>
      <c r="F1145">
        <v>48.957595824999999</v>
      </c>
      <c r="G1145">
        <v>1387.802124</v>
      </c>
      <c r="H1145">
        <v>1373.0697021000001</v>
      </c>
      <c r="I1145">
        <v>1287.9250488</v>
      </c>
      <c r="J1145">
        <v>1268.8574219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742.22356400000001</v>
      </c>
      <c r="B1146" s="1">
        <f>DATE(2012,5,12) + TIME(5,21,55)</f>
        <v>41041.223553240743</v>
      </c>
      <c r="C1146">
        <v>80</v>
      </c>
      <c r="D1146">
        <v>79.950790405000006</v>
      </c>
      <c r="E1146">
        <v>50</v>
      </c>
      <c r="F1146">
        <v>48.930488586000003</v>
      </c>
      <c r="G1146">
        <v>1387.7338867000001</v>
      </c>
      <c r="H1146">
        <v>1373.0139160000001</v>
      </c>
      <c r="I1146">
        <v>1287.9174805</v>
      </c>
      <c r="J1146">
        <v>1268.8476562000001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742.57409800000005</v>
      </c>
      <c r="B1147" s="1">
        <f>DATE(2012,5,12) + TIME(13,46,42)</f>
        <v>41041.574097222219</v>
      </c>
      <c r="C1147">
        <v>80</v>
      </c>
      <c r="D1147">
        <v>79.950820922999995</v>
      </c>
      <c r="E1147">
        <v>50</v>
      </c>
      <c r="F1147">
        <v>48.902889252000001</v>
      </c>
      <c r="G1147">
        <v>1387.6649170000001</v>
      </c>
      <c r="H1147">
        <v>1372.9576416</v>
      </c>
      <c r="I1147">
        <v>1287.909668</v>
      </c>
      <c r="J1147">
        <v>1268.8376464999999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742.92726900000002</v>
      </c>
      <c r="B1148" s="1">
        <f>DATE(2012,5,12) + TIME(22,15,16)</f>
        <v>41041.927268518521</v>
      </c>
      <c r="C1148">
        <v>80</v>
      </c>
      <c r="D1148">
        <v>79.950843810999999</v>
      </c>
      <c r="E1148">
        <v>50</v>
      </c>
      <c r="F1148">
        <v>48.875045776</v>
      </c>
      <c r="G1148">
        <v>1387.5963135</v>
      </c>
      <c r="H1148">
        <v>1372.9016113</v>
      </c>
      <c r="I1148">
        <v>1287.9016113</v>
      </c>
      <c r="J1148">
        <v>1268.8273925999999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743.28355799999997</v>
      </c>
      <c r="B1149" s="1">
        <f>DATE(2012,5,13) + TIME(6,48,19)</f>
        <v>41042.283553240741</v>
      </c>
      <c r="C1149">
        <v>80</v>
      </c>
      <c r="D1149">
        <v>79.950859070000007</v>
      </c>
      <c r="E1149">
        <v>50</v>
      </c>
      <c r="F1149">
        <v>48.846984863000003</v>
      </c>
      <c r="G1149">
        <v>1387.5289307</v>
      </c>
      <c r="H1149">
        <v>1372.8465576000001</v>
      </c>
      <c r="I1149">
        <v>1287.8935547000001</v>
      </c>
      <c r="J1149">
        <v>1268.8170166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743.64390600000002</v>
      </c>
      <c r="B1150" s="1">
        <f>DATE(2012,5,13) + TIME(15,27,13)</f>
        <v>41042.643900462965</v>
      </c>
      <c r="C1150">
        <v>80</v>
      </c>
      <c r="D1150">
        <v>79.950866699000002</v>
      </c>
      <c r="E1150">
        <v>50</v>
      </c>
      <c r="F1150">
        <v>48.818679809999999</v>
      </c>
      <c r="G1150">
        <v>1387.4625243999999</v>
      </c>
      <c r="H1150">
        <v>1372.7924805</v>
      </c>
      <c r="I1150">
        <v>1287.885376</v>
      </c>
      <c r="J1150">
        <v>1268.8065185999999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744.00926200000004</v>
      </c>
      <c r="B1151" s="1">
        <f>DATE(2012,5,14) + TIME(0,13,20)</f>
        <v>41043.009259259263</v>
      </c>
      <c r="C1151">
        <v>80</v>
      </c>
      <c r="D1151">
        <v>79.950874329000001</v>
      </c>
      <c r="E1151">
        <v>50</v>
      </c>
      <c r="F1151">
        <v>48.790096282999997</v>
      </c>
      <c r="G1151">
        <v>1387.3968506000001</v>
      </c>
      <c r="H1151">
        <v>1372.7390137</v>
      </c>
      <c r="I1151">
        <v>1287.8770752</v>
      </c>
      <c r="J1151">
        <v>1268.7958983999999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744.38060099999996</v>
      </c>
      <c r="B1152" s="1">
        <f>DATE(2012,5,14) + TIME(9,8,3)</f>
        <v>41043.380590277775</v>
      </c>
      <c r="C1152">
        <v>80</v>
      </c>
      <c r="D1152">
        <v>79.950866699000002</v>
      </c>
      <c r="E1152">
        <v>50</v>
      </c>
      <c r="F1152">
        <v>48.761184692</v>
      </c>
      <c r="G1152">
        <v>1387.3317870999999</v>
      </c>
      <c r="H1152">
        <v>1372.6860352000001</v>
      </c>
      <c r="I1152">
        <v>1287.8687743999999</v>
      </c>
      <c r="J1152">
        <v>1268.7851562000001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744.75840400000004</v>
      </c>
      <c r="B1153" s="1">
        <f>DATE(2012,5,14) + TIME(18,12,6)</f>
        <v>41043.758402777778</v>
      </c>
      <c r="C1153">
        <v>80</v>
      </c>
      <c r="D1153">
        <v>79.950866699000002</v>
      </c>
      <c r="E1153">
        <v>50</v>
      </c>
      <c r="F1153">
        <v>48.731918335000003</v>
      </c>
      <c r="G1153">
        <v>1387.2672118999999</v>
      </c>
      <c r="H1153">
        <v>1372.6335449000001</v>
      </c>
      <c r="I1153">
        <v>1287.8602295000001</v>
      </c>
      <c r="J1153">
        <v>1268.7741699000001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745.14298499999995</v>
      </c>
      <c r="B1154" s="1">
        <f>DATE(2012,5,15) + TIME(3,25,53)</f>
        <v>41044.142974537041</v>
      </c>
      <c r="C1154">
        <v>80</v>
      </c>
      <c r="D1154">
        <v>79.950859070000007</v>
      </c>
      <c r="E1154">
        <v>50</v>
      </c>
      <c r="F1154">
        <v>48.702281952</v>
      </c>
      <c r="G1154">
        <v>1387.2028809000001</v>
      </c>
      <c r="H1154">
        <v>1372.5811768000001</v>
      </c>
      <c r="I1154">
        <v>1287.8514404</v>
      </c>
      <c r="J1154">
        <v>1268.7629394999999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745.53537300000005</v>
      </c>
      <c r="B1155" s="1">
        <f>DATE(2012,5,15) + TIME(12,50,56)</f>
        <v>41044.535370370373</v>
      </c>
      <c r="C1155">
        <v>80</v>
      </c>
      <c r="D1155">
        <v>79.950851439999994</v>
      </c>
      <c r="E1155">
        <v>50</v>
      </c>
      <c r="F1155">
        <v>48.672210692999997</v>
      </c>
      <c r="G1155">
        <v>1387.1389160000001</v>
      </c>
      <c r="H1155">
        <v>1372.5291748</v>
      </c>
      <c r="I1155">
        <v>1287.8426514</v>
      </c>
      <c r="J1155">
        <v>1268.7514647999999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745.93666099999996</v>
      </c>
      <c r="B1156" s="1">
        <f>DATE(2012,5,15) + TIME(22,28,47)</f>
        <v>41044.936655092592</v>
      </c>
      <c r="C1156">
        <v>80</v>
      </c>
      <c r="D1156">
        <v>79.950843810999999</v>
      </c>
      <c r="E1156">
        <v>50</v>
      </c>
      <c r="F1156">
        <v>48.641647339000002</v>
      </c>
      <c r="G1156">
        <v>1387.0750731999999</v>
      </c>
      <c r="H1156">
        <v>1372.4772949000001</v>
      </c>
      <c r="I1156">
        <v>1287.8334961</v>
      </c>
      <c r="J1156">
        <v>1268.7397461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746.34803199999999</v>
      </c>
      <c r="B1157" s="1">
        <f>DATE(2012,5,16) + TIME(8,21,9)</f>
        <v>41045.348020833335</v>
      </c>
      <c r="C1157">
        <v>80</v>
      </c>
      <c r="D1157">
        <v>79.950828552000004</v>
      </c>
      <c r="E1157">
        <v>50</v>
      </c>
      <c r="F1157">
        <v>48.610515593999999</v>
      </c>
      <c r="G1157">
        <v>1387.0111084</v>
      </c>
      <c r="H1157">
        <v>1372.425293</v>
      </c>
      <c r="I1157">
        <v>1287.8242187999999</v>
      </c>
      <c r="J1157">
        <v>1268.7277832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746.77077699999995</v>
      </c>
      <c r="B1158" s="1">
        <f>DATE(2012,5,16) + TIME(18,29,55)</f>
        <v>41045.770775462966</v>
      </c>
      <c r="C1158">
        <v>80</v>
      </c>
      <c r="D1158">
        <v>79.950813292999996</v>
      </c>
      <c r="E1158">
        <v>50</v>
      </c>
      <c r="F1158">
        <v>48.578735352000002</v>
      </c>
      <c r="G1158">
        <v>1386.9468993999999</v>
      </c>
      <c r="H1158">
        <v>1372.3732910000001</v>
      </c>
      <c r="I1158">
        <v>1287.8146973</v>
      </c>
      <c r="J1158">
        <v>1268.7154541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747.20633999999995</v>
      </c>
      <c r="B1159" s="1">
        <f>DATE(2012,5,17) + TIME(4,57,7)</f>
        <v>41046.206331018519</v>
      </c>
      <c r="C1159">
        <v>80</v>
      </c>
      <c r="D1159">
        <v>79.950798035000005</v>
      </c>
      <c r="E1159">
        <v>50</v>
      </c>
      <c r="F1159">
        <v>48.546222686999997</v>
      </c>
      <c r="G1159">
        <v>1386.8823242000001</v>
      </c>
      <c r="H1159">
        <v>1372.3209228999999</v>
      </c>
      <c r="I1159">
        <v>1287.8048096</v>
      </c>
      <c r="J1159">
        <v>1268.7027588000001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747.65659900000003</v>
      </c>
      <c r="B1160" s="1">
        <f>DATE(2012,5,17) + TIME(15,45,30)</f>
        <v>41046.656597222223</v>
      </c>
      <c r="C1160">
        <v>80</v>
      </c>
      <c r="D1160">
        <v>79.950782775999997</v>
      </c>
      <c r="E1160">
        <v>50</v>
      </c>
      <c r="F1160">
        <v>48.512863158999998</v>
      </c>
      <c r="G1160">
        <v>1386.8172606999999</v>
      </c>
      <c r="H1160">
        <v>1372.2680664</v>
      </c>
      <c r="I1160">
        <v>1287.7945557</v>
      </c>
      <c r="J1160">
        <v>1268.6896973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748.11778400000003</v>
      </c>
      <c r="B1161" s="1">
        <f>DATE(2012,5,18) + TIME(2,49,36)</f>
        <v>41047.117777777778</v>
      </c>
      <c r="C1161">
        <v>80</v>
      </c>
      <c r="D1161">
        <v>79.950767517000003</v>
      </c>
      <c r="E1161">
        <v>50</v>
      </c>
      <c r="F1161">
        <v>48.478809357000003</v>
      </c>
      <c r="G1161">
        <v>1386.7514647999999</v>
      </c>
      <c r="H1161">
        <v>1372.2147216999999</v>
      </c>
      <c r="I1161">
        <v>1287.7839355000001</v>
      </c>
      <c r="J1161">
        <v>1268.6761475000001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748.58252000000005</v>
      </c>
      <c r="B1162" s="1">
        <f>DATE(2012,5,18) + TIME(13,58,49)</f>
        <v>41047.582511574074</v>
      </c>
      <c r="C1162">
        <v>80</v>
      </c>
      <c r="D1162">
        <v>79.950752257999994</v>
      </c>
      <c r="E1162">
        <v>50</v>
      </c>
      <c r="F1162">
        <v>48.444435120000001</v>
      </c>
      <c r="G1162">
        <v>1386.6854248</v>
      </c>
      <c r="H1162">
        <v>1372.1611327999999</v>
      </c>
      <c r="I1162">
        <v>1287.7730713000001</v>
      </c>
      <c r="J1162">
        <v>1268.6622314000001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749.05101000000002</v>
      </c>
      <c r="B1163" s="1">
        <f>DATE(2012,5,19) + TIME(1,13,27)</f>
        <v>41048.051006944443</v>
      </c>
      <c r="C1163">
        <v>80</v>
      </c>
      <c r="D1163">
        <v>79.950737000000004</v>
      </c>
      <c r="E1163">
        <v>50</v>
      </c>
      <c r="F1163">
        <v>48.409805298000002</v>
      </c>
      <c r="G1163">
        <v>1386.6202393000001</v>
      </c>
      <c r="H1163">
        <v>1372.1082764</v>
      </c>
      <c r="I1163">
        <v>1287.7619629000001</v>
      </c>
      <c r="J1163">
        <v>1268.6480713000001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749.524541</v>
      </c>
      <c r="B1164" s="1">
        <f>DATE(2012,5,19) + TIME(12,35,20)</f>
        <v>41048.524537037039</v>
      </c>
      <c r="C1164">
        <v>80</v>
      </c>
      <c r="D1164">
        <v>79.950721740999995</v>
      </c>
      <c r="E1164">
        <v>50</v>
      </c>
      <c r="F1164">
        <v>48.374912262000002</v>
      </c>
      <c r="G1164">
        <v>1386.5559082</v>
      </c>
      <c r="H1164">
        <v>1372.0562743999999</v>
      </c>
      <c r="I1164">
        <v>1287.7508545000001</v>
      </c>
      <c r="J1164">
        <v>1268.6337891000001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750.00440800000001</v>
      </c>
      <c r="B1165" s="1">
        <f>DATE(2012,5,20) + TIME(0,6,20)</f>
        <v>41049.00439814815</v>
      </c>
      <c r="C1165">
        <v>80</v>
      </c>
      <c r="D1165">
        <v>79.950698853000006</v>
      </c>
      <c r="E1165">
        <v>50</v>
      </c>
      <c r="F1165">
        <v>48.339710236000002</v>
      </c>
      <c r="G1165">
        <v>1386.4923096</v>
      </c>
      <c r="H1165">
        <v>1372.0046387</v>
      </c>
      <c r="I1165">
        <v>1287.739624</v>
      </c>
      <c r="J1165">
        <v>1268.6193848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750.49194499999999</v>
      </c>
      <c r="B1166" s="1">
        <f>DATE(2012,5,20) + TIME(11,48,24)</f>
        <v>41049.491944444446</v>
      </c>
      <c r="C1166">
        <v>80</v>
      </c>
      <c r="D1166">
        <v>79.950683593999997</v>
      </c>
      <c r="E1166">
        <v>50</v>
      </c>
      <c r="F1166">
        <v>48.304149627999998</v>
      </c>
      <c r="G1166">
        <v>1386.4290771000001</v>
      </c>
      <c r="H1166">
        <v>1371.9533690999999</v>
      </c>
      <c r="I1166">
        <v>1287.7281493999999</v>
      </c>
      <c r="J1166">
        <v>1268.6046143000001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750.98700099999996</v>
      </c>
      <c r="B1167" s="1">
        <f>DATE(2012,5,20) + TIME(23,41,16)</f>
        <v>41049.986990740741</v>
      </c>
      <c r="C1167">
        <v>80</v>
      </c>
      <c r="D1167">
        <v>79.950668335000003</v>
      </c>
      <c r="E1167">
        <v>50</v>
      </c>
      <c r="F1167">
        <v>48.268222809000001</v>
      </c>
      <c r="G1167">
        <v>1386.3660889</v>
      </c>
      <c r="H1167">
        <v>1371.9024658000001</v>
      </c>
      <c r="I1167">
        <v>1287.7164307</v>
      </c>
      <c r="J1167">
        <v>1268.5895995999999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751.48801500000002</v>
      </c>
      <c r="B1168" s="1">
        <f>DATE(2012,5,21) + TIME(11,42,44)</f>
        <v>41050.488009259258</v>
      </c>
      <c r="C1168">
        <v>80</v>
      </c>
      <c r="D1168">
        <v>79.950653075999995</v>
      </c>
      <c r="E1168">
        <v>50</v>
      </c>
      <c r="F1168">
        <v>48.232006073000001</v>
      </c>
      <c r="G1168">
        <v>1386.3034668</v>
      </c>
      <c r="H1168">
        <v>1371.8516846</v>
      </c>
      <c r="I1168">
        <v>1287.7044678</v>
      </c>
      <c r="J1168">
        <v>1268.5743408000001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751.99628399999995</v>
      </c>
      <c r="B1169" s="1">
        <f>DATE(2012,5,21) + TIME(23,54,38)</f>
        <v>41050.99627314815</v>
      </c>
      <c r="C1169">
        <v>80</v>
      </c>
      <c r="D1169">
        <v>79.950630188000005</v>
      </c>
      <c r="E1169">
        <v>50</v>
      </c>
      <c r="F1169">
        <v>48.195446013999998</v>
      </c>
      <c r="G1169">
        <v>1386.2412108999999</v>
      </c>
      <c r="H1169">
        <v>1371.8012695</v>
      </c>
      <c r="I1169">
        <v>1287.6923827999999</v>
      </c>
      <c r="J1169">
        <v>1268.5587158000001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752.51313500000003</v>
      </c>
      <c r="B1170" s="1">
        <f>DATE(2012,5,22) + TIME(12,18,54)</f>
        <v>41051.513124999998</v>
      </c>
      <c r="C1170">
        <v>80</v>
      </c>
      <c r="D1170">
        <v>79.950614928999997</v>
      </c>
      <c r="E1170">
        <v>50</v>
      </c>
      <c r="F1170">
        <v>48.158489226999997</v>
      </c>
      <c r="G1170">
        <v>1386.1793213000001</v>
      </c>
      <c r="H1170">
        <v>1371.7510986</v>
      </c>
      <c r="I1170">
        <v>1287.6799315999999</v>
      </c>
      <c r="J1170">
        <v>1268.5428466999999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753.03998200000001</v>
      </c>
      <c r="B1171" s="1">
        <f>DATE(2012,5,23) + TIME(0,57,34)</f>
        <v>41052.039976851855</v>
      </c>
      <c r="C1171">
        <v>80</v>
      </c>
      <c r="D1171">
        <v>79.950599670000003</v>
      </c>
      <c r="E1171">
        <v>50</v>
      </c>
      <c r="F1171">
        <v>48.121059418000002</v>
      </c>
      <c r="G1171">
        <v>1386.1176757999999</v>
      </c>
      <c r="H1171">
        <v>1371.7010498</v>
      </c>
      <c r="I1171">
        <v>1287.6673584</v>
      </c>
      <c r="J1171">
        <v>1268.5267334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753.578351</v>
      </c>
      <c r="B1172" s="1">
        <f>DATE(2012,5,23) + TIME(13,52,49)</f>
        <v>41052.578344907408</v>
      </c>
      <c r="C1172">
        <v>80</v>
      </c>
      <c r="D1172">
        <v>79.950584411999998</v>
      </c>
      <c r="E1172">
        <v>50</v>
      </c>
      <c r="F1172">
        <v>48.083068848000003</v>
      </c>
      <c r="G1172">
        <v>1386.0559082</v>
      </c>
      <c r="H1172">
        <v>1371.651001</v>
      </c>
      <c r="I1172">
        <v>1287.6545410000001</v>
      </c>
      <c r="J1172">
        <v>1268.5101318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754.12989600000003</v>
      </c>
      <c r="B1173" s="1">
        <f>DATE(2012,5,24) + TIME(3,7,2)</f>
        <v>41053.129884259259</v>
      </c>
      <c r="C1173">
        <v>80</v>
      </c>
      <c r="D1173">
        <v>79.950569153000004</v>
      </c>
      <c r="E1173">
        <v>50</v>
      </c>
      <c r="F1173">
        <v>48.044422150000003</v>
      </c>
      <c r="G1173">
        <v>1385.9938964999999</v>
      </c>
      <c r="H1173">
        <v>1371.6008300999999</v>
      </c>
      <c r="I1173">
        <v>1287.6412353999999</v>
      </c>
      <c r="J1173">
        <v>1268.4930420000001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754.69645300000002</v>
      </c>
      <c r="B1174" s="1">
        <f>DATE(2012,5,24) + TIME(16,42,53)</f>
        <v>41053.696446759262</v>
      </c>
      <c r="C1174">
        <v>80</v>
      </c>
      <c r="D1174">
        <v>79.950553893999995</v>
      </c>
      <c r="E1174">
        <v>50</v>
      </c>
      <c r="F1174">
        <v>48.005016327</v>
      </c>
      <c r="G1174">
        <v>1385.9316406</v>
      </c>
      <c r="H1174">
        <v>1371.5504149999999</v>
      </c>
      <c r="I1174">
        <v>1287.6276855000001</v>
      </c>
      <c r="J1174">
        <v>1268.4755858999999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755.280306</v>
      </c>
      <c r="B1175" s="1">
        <f>DATE(2012,5,25) + TIME(6,43,38)</f>
        <v>41054.280300925922</v>
      </c>
      <c r="C1175">
        <v>80</v>
      </c>
      <c r="D1175">
        <v>79.950538635000001</v>
      </c>
      <c r="E1175">
        <v>50</v>
      </c>
      <c r="F1175">
        <v>47.964721679999997</v>
      </c>
      <c r="G1175">
        <v>1385.8688964999999</v>
      </c>
      <c r="H1175">
        <v>1371.4995117000001</v>
      </c>
      <c r="I1175">
        <v>1287.6136475000001</v>
      </c>
      <c r="J1175">
        <v>1268.4575195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755.87579000000005</v>
      </c>
      <c r="B1176" s="1">
        <f>DATE(2012,5,25) + TIME(21,1,8)</f>
        <v>41054.875787037039</v>
      </c>
      <c r="C1176">
        <v>80</v>
      </c>
      <c r="D1176">
        <v>79.950531006000006</v>
      </c>
      <c r="E1176">
        <v>50</v>
      </c>
      <c r="F1176">
        <v>47.923728943</v>
      </c>
      <c r="G1176">
        <v>1385.8054199000001</v>
      </c>
      <c r="H1176">
        <v>1371.4481201000001</v>
      </c>
      <c r="I1176">
        <v>1287.598999</v>
      </c>
      <c r="J1176">
        <v>1268.4387207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756.47522300000003</v>
      </c>
      <c r="B1177" s="1">
        <f>DATE(2012,5,26) + TIME(11,24,19)</f>
        <v>41055.475219907406</v>
      </c>
      <c r="C1177">
        <v>80</v>
      </c>
      <c r="D1177">
        <v>79.950515746999997</v>
      </c>
      <c r="E1177">
        <v>50</v>
      </c>
      <c r="F1177">
        <v>47.882385253999999</v>
      </c>
      <c r="G1177">
        <v>1385.7418213000001</v>
      </c>
      <c r="H1177">
        <v>1371.3966064000001</v>
      </c>
      <c r="I1177">
        <v>1287.5839844</v>
      </c>
      <c r="J1177">
        <v>1268.4195557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757.08032500000002</v>
      </c>
      <c r="B1178" s="1">
        <f>DATE(2012,5,27) + TIME(1,55,40)</f>
        <v>41056.080324074072</v>
      </c>
      <c r="C1178">
        <v>80</v>
      </c>
      <c r="D1178">
        <v>79.950500488000003</v>
      </c>
      <c r="E1178">
        <v>50</v>
      </c>
      <c r="F1178">
        <v>47.840740203999999</v>
      </c>
      <c r="G1178">
        <v>1385.6790771000001</v>
      </c>
      <c r="H1178">
        <v>1371.3455810999999</v>
      </c>
      <c r="I1178">
        <v>1287.5688477000001</v>
      </c>
      <c r="J1178">
        <v>1268.4000243999999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757.69278999999995</v>
      </c>
      <c r="B1179" s="1">
        <f>DATE(2012,5,27) + TIME(16,37,37)</f>
        <v>41056.692789351851</v>
      </c>
      <c r="C1179">
        <v>80</v>
      </c>
      <c r="D1179">
        <v>79.950485228999995</v>
      </c>
      <c r="E1179">
        <v>50</v>
      </c>
      <c r="F1179">
        <v>47.798767089999998</v>
      </c>
      <c r="G1179">
        <v>1385.6168213000001</v>
      </c>
      <c r="H1179">
        <v>1371.2951660000001</v>
      </c>
      <c r="I1179">
        <v>1287.5534668</v>
      </c>
      <c r="J1179">
        <v>1268.380249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758.31436699999995</v>
      </c>
      <c r="B1180" s="1">
        <f>DATE(2012,5,28) + TIME(7,32,41)</f>
        <v>41057.314363425925</v>
      </c>
      <c r="C1180">
        <v>80</v>
      </c>
      <c r="D1180">
        <v>79.950477599999999</v>
      </c>
      <c r="E1180">
        <v>50</v>
      </c>
      <c r="F1180">
        <v>47.756412505999997</v>
      </c>
      <c r="G1180">
        <v>1385.5550536999999</v>
      </c>
      <c r="H1180">
        <v>1371.2449951000001</v>
      </c>
      <c r="I1180">
        <v>1287.5377197</v>
      </c>
      <c r="J1180">
        <v>1268.3599853999999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758.94688099999996</v>
      </c>
      <c r="B1181" s="1">
        <f>DATE(2012,5,28) + TIME(22,43,30)</f>
        <v>41057.946875000001</v>
      </c>
      <c r="C1181">
        <v>80</v>
      </c>
      <c r="D1181">
        <v>79.950462341000005</v>
      </c>
      <c r="E1181">
        <v>50</v>
      </c>
      <c r="F1181">
        <v>47.713592529000003</v>
      </c>
      <c r="G1181">
        <v>1385.4934082</v>
      </c>
      <c r="H1181">
        <v>1371.1949463000001</v>
      </c>
      <c r="I1181">
        <v>1287.5217285000001</v>
      </c>
      <c r="J1181">
        <v>1268.3393555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759.592265</v>
      </c>
      <c r="B1182" s="1">
        <f>DATE(2012,5,29) + TIME(14,12,51)</f>
        <v>41058.592256944445</v>
      </c>
      <c r="C1182">
        <v>80</v>
      </c>
      <c r="D1182">
        <v>79.950454711999996</v>
      </c>
      <c r="E1182">
        <v>50</v>
      </c>
      <c r="F1182">
        <v>47.670204163000001</v>
      </c>
      <c r="G1182">
        <v>1385.4317627</v>
      </c>
      <c r="H1182">
        <v>1371.1448975000001</v>
      </c>
      <c r="I1182">
        <v>1287.5053711</v>
      </c>
      <c r="J1182">
        <v>1268.3182373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760.24728900000002</v>
      </c>
      <c r="B1183" s="1">
        <f>DATE(2012,5,30) + TIME(5,56,5)</f>
        <v>41059.24728009259</v>
      </c>
      <c r="C1183">
        <v>80</v>
      </c>
      <c r="D1183">
        <v>79.950439453000001</v>
      </c>
      <c r="E1183">
        <v>50</v>
      </c>
      <c r="F1183">
        <v>47.626335144000002</v>
      </c>
      <c r="G1183">
        <v>1385.3698730000001</v>
      </c>
      <c r="H1183">
        <v>1371.0946045000001</v>
      </c>
      <c r="I1183">
        <v>1287.4885254000001</v>
      </c>
      <c r="J1183">
        <v>1268.2965088000001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760.91168100000004</v>
      </c>
      <c r="B1184" s="1">
        <f>DATE(2012,5,30) + TIME(21,52,49)</f>
        <v>41059.911678240744</v>
      </c>
      <c r="C1184">
        <v>80</v>
      </c>
      <c r="D1184">
        <v>79.950431824000006</v>
      </c>
      <c r="E1184">
        <v>50</v>
      </c>
      <c r="F1184">
        <v>47.582015990999999</v>
      </c>
      <c r="G1184">
        <v>1385.3083495999999</v>
      </c>
      <c r="H1184">
        <v>1371.0445557</v>
      </c>
      <c r="I1184">
        <v>1287.4713135</v>
      </c>
      <c r="J1184">
        <v>1268.2741699000001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761.58728799999994</v>
      </c>
      <c r="B1185" s="1">
        <f>DATE(2012,5,31) + TIME(14,5,41)</f>
        <v>41060.587280092594</v>
      </c>
      <c r="C1185">
        <v>80</v>
      </c>
      <c r="D1185">
        <v>79.950424193999993</v>
      </c>
      <c r="E1185">
        <v>50</v>
      </c>
      <c r="F1185">
        <v>47.537193297999998</v>
      </c>
      <c r="G1185">
        <v>1385.2468262</v>
      </c>
      <c r="H1185">
        <v>1370.9946289</v>
      </c>
      <c r="I1185">
        <v>1287.4537353999999</v>
      </c>
      <c r="J1185">
        <v>1268.2514647999999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762</v>
      </c>
      <c r="B1186" s="1">
        <f>DATE(2012,6,1) + TIME(0,0,0)</f>
        <v>41061</v>
      </c>
      <c r="C1186">
        <v>80</v>
      </c>
      <c r="D1186">
        <v>79.950408936000002</v>
      </c>
      <c r="E1186">
        <v>50</v>
      </c>
      <c r="F1186">
        <v>47.504131317000002</v>
      </c>
      <c r="G1186">
        <v>1385.1851807</v>
      </c>
      <c r="H1186">
        <v>1370.9443358999999</v>
      </c>
      <c r="I1186">
        <v>1287.4343262</v>
      </c>
      <c r="J1186">
        <v>1268.229126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762.68876999999998</v>
      </c>
      <c r="B1187" s="1">
        <f>DATE(2012,6,1) + TIME(16,31,49)</f>
        <v>41061.688761574071</v>
      </c>
      <c r="C1187">
        <v>80</v>
      </c>
      <c r="D1187">
        <v>79.950408936000002</v>
      </c>
      <c r="E1187">
        <v>50</v>
      </c>
      <c r="F1187">
        <v>47.461212158000002</v>
      </c>
      <c r="G1187">
        <v>1385.1485596</v>
      </c>
      <c r="H1187">
        <v>1370.9145507999999</v>
      </c>
      <c r="I1187">
        <v>1287.4249268000001</v>
      </c>
      <c r="J1187">
        <v>1268.2132568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763.40320399999996</v>
      </c>
      <c r="B1188" s="1">
        <f>DATE(2012,6,2) + TIME(9,40,36)</f>
        <v>41062.403194444443</v>
      </c>
      <c r="C1188">
        <v>80</v>
      </c>
      <c r="D1188">
        <v>79.950401306000003</v>
      </c>
      <c r="E1188">
        <v>50</v>
      </c>
      <c r="F1188">
        <v>47.416202544999997</v>
      </c>
      <c r="G1188">
        <v>1385.0876464999999</v>
      </c>
      <c r="H1188">
        <v>1370.8651123</v>
      </c>
      <c r="I1188">
        <v>1287.40625</v>
      </c>
      <c r="J1188">
        <v>1268.1892089999999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764.13636099999997</v>
      </c>
      <c r="B1189" s="1">
        <f>DATE(2012,6,3) + TIME(3,16,21)</f>
        <v>41063.136354166665</v>
      </c>
      <c r="C1189">
        <v>80</v>
      </c>
      <c r="D1189">
        <v>79.950393676999994</v>
      </c>
      <c r="E1189">
        <v>50</v>
      </c>
      <c r="F1189">
        <v>47.369606017999999</v>
      </c>
      <c r="G1189">
        <v>1385.0255127</v>
      </c>
      <c r="H1189">
        <v>1370.8144531</v>
      </c>
      <c r="I1189">
        <v>1287.3867187999999</v>
      </c>
      <c r="J1189">
        <v>1268.1639404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764.87516700000003</v>
      </c>
      <c r="B1190" s="1">
        <f>DATE(2012,6,3) + TIME(21,0,14)</f>
        <v>41063.875162037039</v>
      </c>
      <c r="C1190">
        <v>80</v>
      </c>
      <c r="D1190">
        <v>79.950386046999995</v>
      </c>
      <c r="E1190">
        <v>50</v>
      </c>
      <c r="F1190">
        <v>47.322128296000002</v>
      </c>
      <c r="G1190">
        <v>1384.9628906</v>
      </c>
      <c r="H1190">
        <v>1370.7634277</v>
      </c>
      <c r="I1190">
        <v>1287.3664550999999</v>
      </c>
      <c r="J1190">
        <v>1268.1378173999999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765.61686399999996</v>
      </c>
      <c r="B1191" s="1">
        <f>DATE(2012,6,4) + TIME(14,48,17)</f>
        <v>41064.616863425923</v>
      </c>
      <c r="C1191">
        <v>80</v>
      </c>
      <c r="D1191">
        <v>79.950378418</v>
      </c>
      <c r="E1191">
        <v>50</v>
      </c>
      <c r="F1191">
        <v>47.274200438999998</v>
      </c>
      <c r="G1191">
        <v>1384.9007568</v>
      </c>
      <c r="H1191">
        <v>1370.7127685999999</v>
      </c>
      <c r="I1191">
        <v>1287.3459473</v>
      </c>
      <c r="J1191">
        <v>1268.1110839999999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766.363426</v>
      </c>
      <c r="B1192" s="1">
        <f>DATE(2012,6,5) + TIME(8,43,19)</f>
        <v>41065.36341435185</v>
      </c>
      <c r="C1192">
        <v>80</v>
      </c>
      <c r="D1192">
        <v>79.950378418</v>
      </c>
      <c r="E1192">
        <v>50</v>
      </c>
      <c r="F1192">
        <v>47.225971221999998</v>
      </c>
      <c r="G1192">
        <v>1384.8394774999999</v>
      </c>
      <c r="H1192">
        <v>1370.6627197</v>
      </c>
      <c r="I1192">
        <v>1287.3250731999999</v>
      </c>
      <c r="J1192">
        <v>1268.0839844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767.11681099999998</v>
      </c>
      <c r="B1193" s="1">
        <f>DATE(2012,6,6) + TIME(2,48,12)</f>
        <v>41066.116805555554</v>
      </c>
      <c r="C1193">
        <v>80</v>
      </c>
      <c r="D1193">
        <v>79.950370789000004</v>
      </c>
      <c r="E1193">
        <v>50</v>
      </c>
      <c r="F1193">
        <v>47.177455901999998</v>
      </c>
      <c r="G1193">
        <v>1384.7788086</v>
      </c>
      <c r="H1193">
        <v>1370.6131591999999</v>
      </c>
      <c r="I1193">
        <v>1287.3039550999999</v>
      </c>
      <c r="J1193">
        <v>1268.0562743999999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767.87901399999998</v>
      </c>
      <c r="B1194" s="1">
        <f>DATE(2012,6,6) + TIME(21,5,46)</f>
        <v>41066.879004629627</v>
      </c>
      <c r="C1194">
        <v>80</v>
      </c>
      <c r="D1194">
        <v>79.950363159000005</v>
      </c>
      <c r="E1194">
        <v>50</v>
      </c>
      <c r="F1194">
        <v>47.128612517999997</v>
      </c>
      <c r="G1194">
        <v>1384.7185059000001</v>
      </c>
      <c r="H1194">
        <v>1370.5639647999999</v>
      </c>
      <c r="I1194">
        <v>1287.2824707</v>
      </c>
      <c r="J1194">
        <v>1268.0280762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768.65208800000005</v>
      </c>
      <c r="B1195" s="1">
        <f>DATE(2012,6,7) + TIME(15,39,0)</f>
        <v>41067.652083333334</v>
      </c>
      <c r="C1195">
        <v>80</v>
      </c>
      <c r="D1195">
        <v>79.950363159000005</v>
      </c>
      <c r="E1195">
        <v>50</v>
      </c>
      <c r="F1195">
        <v>47.079357147000003</v>
      </c>
      <c r="G1195">
        <v>1384.6584473</v>
      </c>
      <c r="H1195">
        <v>1370.5148925999999</v>
      </c>
      <c r="I1195">
        <v>1287.260376</v>
      </c>
      <c r="J1195">
        <v>1267.9990233999999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769.43817999999999</v>
      </c>
      <c r="B1196" s="1">
        <f>DATE(2012,6,8) + TIME(10,30,58)</f>
        <v>41068.438171296293</v>
      </c>
      <c r="C1196">
        <v>80</v>
      </c>
      <c r="D1196">
        <v>79.950355529999996</v>
      </c>
      <c r="E1196">
        <v>50</v>
      </c>
      <c r="F1196">
        <v>47.029575348000002</v>
      </c>
      <c r="G1196">
        <v>1384.5986327999999</v>
      </c>
      <c r="H1196">
        <v>1370.4659423999999</v>
      </c>
      <c r="I1196">
        <v>1287.2379149999999</v>
      </c>
      <c r="J1196">
        <v>1267.9693603999999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770.23956199999998</v>
      </c>
      <c r="B1197" s="1">
        <f>DATE(2012,6,9) + TIME(5,44,58)</f>
        <v>41069.239560185182</v>
      </c>
      <c r="C1197">
        <v>80</v>
      </c>
      <c r="D1197">
        <v>79.950355529999996</v>
      </c>
      <c r="E1197">
        <v>50</v>
      </c>
      <c r="F1197">
        <v>46.979141235</v>
      </c>
      <c r="G1197">
        <v>1384.5386963000001</v>
      </c>
      <c r="H1197">
        <v>1370.4168701000001</v>
      </c>
      <c r="I1197">
        <v>1287.2147216999999</v>
      </c>
      <c r="J1197">
        <v>1267.9387207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771.05870800000002</v>
      </c>
      <c r="B1198" s="1">
        <f>DATE(2012,6,10) + TIME(1,24,32)</f>
        <v>41070.058703703704</v>
      </c>
      <c r="C1198">
        <v>80</v>
      </c>
      <c r="D1198">
        <v>79.950355529999996</v>
      </c>
      <c r="E1198">
        <v>50</v>
      </c>
      <c r="F1198">
        <v>46.927925109999997</v>
      </c>
      <c r="G1198">
        <v>1384.4785156</v>
      </c>
      <c r="H1198">
        <v>1370.3676757999999</v>
      </c>
      <c r="I1198">
        <v>1287.1907959</v>
      </c>
      <c r="J1198">
        <v>1267.9071045000001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771.89841300000001</v>
      </c>
      <c r="B1199" s="1">
        <f>DATE(2012,6,10) + TIME(21,33,42)</f>
        <v>41070.898402777777</v>
      </c>
      <c r="C1199">
        <v>80</v>
      </c>
      <c r="D1199">
        <v>79.950355529999996</v>
      </c>
      <c r="E1199">
        <v>50</v>
      </c>
      <c r="F1199">
        <v>46.875762938999998</v>
      </c>
      <c r="G1199">
        <v>1384.4179687999999</v>
      </c>
      <c r="H1199">
        <v>1370.3179932</v>
      </c>
      <c r="I1199">
        <v>1287.1661377</v>
      </c>
      <c r="J1199">
        <v>1267.8742675999999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772.758285</v>
      </c>
      <c r="B1200" s="1">
        <f>DATE(2012,6,11) + TIME(18,11,55)</f>
        <v>41071.758275462962</v>
      </c>
      <c r="C1200">
        <v>80</v>
      </c>
      <c r="D1200">
        <v>79.950355529999996</v>
      </c>
      <c r="E1200">
        <v>50</v>
      </c>
      <c r="F1200">
        <v>46.822597504000001</v>
      </c>
      <c r="G1200">
        <v>1384.3569336</v>
      </c>
      <c r="H1200">
        <v>1370.2679443</v>
      </c>
      <c r="I1200">
        <v>1287.1405029</v>
      </c>
      <c r="J1200">
        <v>1267.8402100000001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773.63197300000002</v>
      </c>
      <c r="B1201" s="1">
        <f>DATE(2012,6,12) + TIME(15,10,2)</f>
        <v>41072.631967592592</v>
      </c>
      <c r="C1201">
        <v>80</v>
      </c>
      <c r="D1201">
        <v>79.950355529999996</v>
      </c>
      <c r="E1201">
        <v>50</v>
      </c>
      <c r="F1201">
        <v>46.76858902</v>
      </c>
      <c r="G1201">
        <v>1384.2952881000001</v>
      </c>
      <c r="H1201">
        <v>1370.2172852000001</v>
      </c>
      <c r="I1201">
        <v>1287.1140137</v>
      </c>
      <c r="J1201">
        <v>1267.8049315999999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774.509728</v>
      </c>
      <c r="B1202" s="1">
        <f>DATE(2012,6,13) + TIME(12,14,0)</f>
        <v>41073.509722222225</v>
      </c>
      <c r="C1202">
        <v>80</v>
      </c>
      <c r="D1202">
        <v>79.950355529999996</v>
      </c>
      <c r="E1202">
        <v>50</v>
      </c>
      <c r="F1202">
        <v>46.714122772000003</v>
      </c>
      <c r="G1202">
        <v>1384.2336425999999</v>
      </c>
      <c r="H1202">
        <v>1370.1667480000001</v>
      </c>
      <c r="I1202">
        <v>1287.0865478999999</v>
      </c>
      <c r="J1202">
        <v>1267.7684326000001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775.39056500000004</v>
      </c>
      <c r="B1203" s="1">
        <f>DATE(2012,6,14) + TIME(9,22,24)</f>
        <v>41074.390555555554</v>
      </c>
      <c r="C1203">
        <v>80</v>
      </c>
      <c r="D1203">
        <v>79.950355529999996</v>
      </c>
      <c r="E1203">
        <v>50</v>
      </c>
      <c r="F1203">
        <v>46.659412383999999</v>
      </c>
      <c r="G1203">
        <v>1384.1727295000001</v>
      </c>
      <c r="H1203">
        <v>1370.1165771000001</v>
      </c>
      <c r="I1203">
        <v>1287.0587158000001</v>
      </c>
      <c r="J1203">
        <v>1267.7312012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776.276838</v>
      </c>
      <c r="B1204" s="1">
        <f>DATE(2012,6,15) + TIME(6,38,38)</f>
        <v>41075.276828703703</v>
      </c>
      <c r="C1204">
        <v>80</v>
      </c>
      <c r="D1204">
        <v>79.950355529999996</v>
      </c>
      <c r="E1204">
        <v>50</v>
      </c>
      <c r="F1204">
        <v>46.604496001999998</v>
      </c>
      <c r="G1204">
        <v>1384.1125488</v>
      </c>
      <c r="H1204">
        <v>1370.0670166</v>
      </c>
      <c r="I1204">
        <v>1287.0303954999999</v>
      </c>
      <c r="J1204">
        <v>1267.6931152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777.17089099999998</v>
      </c>
      <c r="B1205" s="1">
        <f>DATE(2012,6,16) + TIME(4,6,4)</f>
        <v>41076.17087962963</v>
      </c>
      <c r="C1205">
        <v>80</v>
      </c>
      <c r="D1205">
        <v>79.950363159000005</v>
      </c>
      <c r="E1205">
        <v>50</v>
      </c>
      <c r="F1205">
        <v>46.549312592</v>
      </c>
      <c r="G1205">
        <v>1384.0528564000001</v>
      </c>
      <c r="H1205">
        <v>1370.0178223</v>
      </c>
      <c r="I1205">
        <v>1287.0015868999999</v>
      </c>
      <c r="J1205">
        <v>1267.6542969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778.07511399999999</v>
      </c>
      <c r="B1206" s="1">
        <f>DATE(2012,6,17) + TIME(1,48,9)</f>
        <v>41077.075104166666</v>
      </c>
      <c r="C1206">
        <v>80</v>
      </c>
      <c r="D1206">
        <v>79.950363159000005</v>
      </c>
      <c r="E1206">
        <v>50</v>
      </c>
      <c r="F1206">
        <v>46.493751525999997</v>
      </c>
      <c r="G1206">
        <v>1383.9934082</v>
      </c>
      <c r="H1206">
        <v>1369.9689940999999</v>
      </c>
      <c r="I1206">
        <v>1286.9720459</v>
      </c>
      <c r="J1206">
        <v>1267.6143798999999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778.99196700000005</v>
      </c>
      <c r="B1207" s="1">
        <f>DATE(2012,6,17) + TIME(23,48,25)</f>
        <v>41077.991956018515</v>
      </c>
      <c r="C1207">
        <v>80</v>
      </c>
      <c r="D1207">
        <v>79.950370789000004</v>
      </c>
      <c r="E1207">
        <v>50</v>
      </c>
      <c r="F1207">
        <v>46.437683104999998</v>
      </c>
      <c r="G1207">
        <v>1383.9343262</v>
      </c>
      <c r="H1207">
        <v>1369.9201660000001</v>
      </c>
      <c r="I1207">
        <v>1286.9417725000001</v>
      </c>
      <c r="J1207">
        <v>1267.5733643000001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779.92402600000003</v>
      </c>
      <c r="B1208" s="1">
        <f>DATE(2012,6,18) + TIME(22,10,35)</f>
        <v>41078.924016203702</v>
      </c>
      <c r="C1208">
        <v>80</v>
      </c>
      <c r="D1208">
        <v>79.950370789000004</v>
      </c>
      <c r="E1208">
        <v>50</v>
      </c>
      <c r="F1208">
        <v>46.380962371999999</v>
      </c>
      <c r="G1208">
        <v>1383.8752440999999</v>
      </c>
      <c r="H1208">
        <v>1369.8713379000001</v>
      </c>
      <c r="I1208">
        <v>1286.9107666</v>
      </c>
      <c r="J1208">
        <v>1267.5311279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780.87404400000003</v>
      </c>
      <c r="B1209" s="1">
        <f>DATE(2012,6,19) + TIME(20,58,37)</f>
        <v>41079.874039351853</v>
      </c>
      <c r="C1209">
        <v>80</v>
      </c>
      <c r="D1209">
        <v>79.950378418</v>
      </c>
      <c r="E1209">
        <v>50</v>
      </c>
      <c r="F1209">
        <v>46.323425293</v>
      </c>
      <c r="G1209">
        <v>1383.8160399999999</v>
      </c>
      <c r="H1209">
        <v>1369.8223877</v>
      </c>
      <c r="I1209">
        <v>1286.8786620999999</v>
      </c>
      <c r="J1209">
        <v>1267.4873047000001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781.84497099999999</v>
      </c>
      <c r="B1210" s="1">
        <f>DATE(2012,6,20) + TIME(20,16,45)</f>
        <v>41080.844965277778</v>
      </c>
      <c r="C1210">
        <v>80</v>
      </c>
      <c r="D1210">
        <v>79.950386046999995</v>
      </c>
      <c r="E1210">
        <v>50</v>
      </c>
      <c r="F1210">
        <v>46.264896393000001</v>
      </c>
      <c r="G1210">
        <v>1383.7564697</v>
      </c>
      <c r="H1210">
        <v>1369.7731934000001</v>
      </c>
      <c r="I1210">
        <v>1286.8454589999999</v>
      </c>
      <c r="J1210">
        <v>1267.4420166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782.83751800000005</v>
      </c>
      <c r="B1211" s="1">
        <f>DATE(2012,6,21) + TIME(20,6,1)</f>
        <v>41081.837511574071</v>
      </c>
      <c r="C1211">
        <v>80</v>
      </c>
      <c r="D1211">
        <v>79.950393676999994</v>
      </c>
      <c r="E1211">
        <v>50</v>
      </c>
      <c r="F1211">
        <v>46.205265044999997</v>
      </c>
      <c r="G1211">
        <v>1383.6965332</v>
      </c>
      <c r="H1211">
        <v>1369.7236327999999</v>
      </c>
      <c r="I1211">
        <v>1286.8111572</v>
      </c>
      <c r="J1211">
        <v>1267.3948975000001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783.8492</v>
      </c>
      <c r="B1212" s="1">
        <f>DATE(2012,6,22) + TIME(20,22,50)</f>
        <v>41082.849189814813</v>
      </c>
      <c r="C1212">
        <v>80</v>
      </c>
      <c r="D1212">
        <v>79.950401306000003</v>
      </c>
      <c r="E1212">
        <v>50</v>
      </c>
      <c r="F1212">
        <v>46.14453125</v>
      </c>
      <c r="G1212">
        <v>1383.6362305</v>
      </c>
      <c r="H1212">
        <v>1369.6735839999999</v>
      </c>
      <c r="I1212">
        <v>1286.7753906</v>
      </c>
      <c r="J1212">
        <v>1267.3457031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784.88102400000002</v>
      </c>
      <c r="B1213" s="1">
        <f>DATE(2012,6,23) + TIME(21,8,40)</f>
        <v>41083.881018518521</v>
      </c>
      <c r="C1213">
        <v>80</v>
      </c>
      <c r="D1213">
        <v>79.950408936000002</v>
      </c>
      <c r="E1213">
        <v>50</v>
      </c>
      <c r="F1213">
        <v>46.082675934000001</v>
      </c>
      <c r="G1213">
        <v>1383.5755615</v>
      </c>
      <c r="H1213">
        <v>1369.6231689000001</v>
      </c>
      <c r="I1213">
        <v>1286.7385254000001</v>
      </c>
      <c r="J1213">
        <v>1267.2947998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785.91489100000001</v>
      </c>
      <c r="B1214" s="1">
        <f>DATE(2012,6,24) + TIME(21,57,26)</f>
        <v>41084.914884259262</v>
      </c>
      <c r="C1214">
        <v>80</v>
      </c>
      <c r="D1214">
        <v>79.950416564999998</v>
      </c>
      <c r="E1214">
        <v>50</v>
      </c>
      <c r="F1214">
        <v>46.020175934000001</v>
      </c>
      <c r="G1214">
        <v>1383.5145264</v>
      </c>
      <c r="H1214">
        <v>1369.5725098</v>
      </c>
      <c r="I1214">
        <v>1286.7001952999999</v>
      </c>
      <c r="J1214">
        <v>1267.2418213000001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786.95342700000003</v>
      </c>
      <c r="B1215" s="1">
        <f>DATE(2012,6,25) + TIME(22,52,56)</f>
        <v>41085.953425925924</v>
      </c>
      <c r="C1215">
        <v>80</v>
      </c>
      <c r="D1215">
        <v>79.950431824000006</v>
      </c>
      <c r="E1215">
        <v>50</v>
      </c>
      <c r="F1215">
        <v>45.957263947000001</v>
      </c>
      <c r="G1215">
        <v>1383.4542236</v>
      </c>
      <c r="H1215">
        <v>1369.5224608999999</v>
      </c>
      <c r="I1215">
        <v>1286.6611327999999</v>
      </c>
      <c r="J1215">
        <v>1267.1876221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787.999414</v>
      </c>
      <c r="B1216" s="1">
        <f>DATE(2012,6,26) + TIME(23,59,9)</f>
        <v>41086.999409722222</v>
      </c>
      <c r="C1216">
        <v>80</v>
      </c>
      <c r="D1216">
        <v>79.950439453000001</v>
      </c>
      <c r="E1216">
        <v>50</v>
      </c>
      <c r="F1216">
        <v>45.893951416</v>
      </c>
      <c r="G1216">
        <v>1383.3945312000001</v>
      </c>
      <c r="H1216">
        <v>1369.4727783000001</v>
      </c>
      <c r="I1216">
        <v>1286.6213379000001</v>
      </c>
      <c r="J1216">
        <v>1267.1322021000001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789.055654</v>
      </c>
      <c r="B1217" s="1">
        <f>DATE(2012,6,28) + TIME(1,20,8)</f>
        <v>41088.055648148147</v>
      </c>
      <c r="C1217">
        <v>80</v>
      </c>
      <c r="D1217">
        <v>79.950447083</v>
      </c>
      <c r="E1217">
        <v>50</v>
      </c>
      <c r="F1217">
        <v>45.830139160000002</v>
      </c>
      <c r="G1217">
        <v>1383.3352050999999</v>
      </c>
      <c r="H1217">
        <v>1369.4233397999999</v>
      </c>
      <c r="I1217">
        <v>1286.5806885</v>
      </c>
      <c r="J1217">
        <v>1267.0751952999999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790.12503400000003</v>
      </c>
      <c r="B1218" s="1">
        <f>DATE(2012,6,29) + TIME(3,0,2)</f>
        <v>41089.125023148146</v>
      </c>
      <c r="C1218">
        <v>80</v>
      </c>
      <c r="D1218">
        <v>79.950462341000005</v>
      </c>
      <c r="E1218">
        <v>50</v>
      </c>
      <c r="F1218">
        <v>45.765682220000002</v>
      </c>
      <c r="G1218">
        <v>1383.2761230000001</v>
      </c>
      <c r="H1218">
        <v>1369.3741454999999</v>
      </c>
      <c r="I1218">
        <v>1286.5388184000001</v>
      </c>
      <c r="J1218">
        <v>1267.0164795000001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791.21054500000002</v>
      </c>
      <c r="B1219" s="1">
        <f>DATE(2012,6,30) + TIME(5,3,11)</f>
        <v>41090.210543981484</v>
      </c>
      <c r="C1219">
        <v>80</v>
      </c>
      <c r="D1219">
        <v>79.950477599999999</v>
      </c>
      <c r="E1219">
        <v>50</v>
      </c>
      <c r="F1219">
        <v>45.700412749999998</v>
      </c>
      <c r="G1219">
        <v>1383.2171631000001</v>
      </c>
      <c r="H1219">
        <v>1369.3248291</v>
      </c>
      <c r="I1219">
        <v>1286.4958495999999</v>
      </c>
      <c r="J1219">
        <v>1266.9559326000001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792</v>
      </c>
      <c r="B1220" s="1">
        <f>DATE(2012,7,1) + TIME(0,0,0)</f>
        <v>41091</v>
      </c>
      <c r="C1220">
        <v>80</v>
      </c>
      <c r="D1220">
        <v>79.950477599999999</v>
      </c>
      <c r="E1220">
        <v>50</v>
      </c>
      <c r="F1220">
        <v>45.644142150999997</v>
      </c>
      <c r="G1220">
        <v>1383.1578368999999</v>
      </c>
      <c r="H1220">
        <v>1369.2752685999999</v>
      </c>
      <c r="I1220">
        <v>1286.4510498</v>
      </c>
      <c r="J1220">
        <v>1266.8953856999999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793.09890900000005</v>
      </c>
      <c r="B1221" s="1">
        <f>DATE(2012,7,2) + TIME(2,22,25)</f>
        <v>41092.098900462966</v>
      </c>
      <c r="C1221">
        <v>80</v>
      </c>
      <c r="D1221">
        <v>79.950492858999993</v>
      </c>
      <c r="E1221">
        <v>50</v>
      </c>
      <c r="F1221">
        <v>45.582496642999999</v>
      </c>
      <c r="G1221">
        <v>1383.1156006000001</v>
      </c>
      <c r="H1221">
        <v>1369.2399902</v>
      </c>
      <c r="I1221">
        <v>1286.4185791</v>
      </c>
      <c r="J1221">
        <v>1266.8453368999999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794.22642399999995</v>
      </c>
      <c r="B1222" s="1">
        <f>DATE(2012,7,3) + TIME(5,26,3)</f>
        <v>41093.226423611108</v>
      </c>
      <c r="C1222">
        <v>80</v>
      </c>
      <c r="D1222">
        <v>79.950508118000002</v>
      </c>
      <c r="E1222">
        <v>50</v>
      </c>
      <c r="F1222">
        <v>45.517101287999999</v>
      </c>
      <c r="G1222">
        <v>1383.057251</v>
      </c>
      <c r="H1222">
        <v>1369.1910399999999</v>
      </c>
      <c r="I1222">
        <v>1286.3725586</v>
      </c>
      <c r="J1222">
        <v>1266.7803954999999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795.37450899999999</v>
      </c>
      <c r="B1223" s="1">
        <f>DATE(2012,7,4) + TIME(8,59,17)</f>
        <v>41094.374502314815</v>
      </c>
      <c r="C1223">
        <v>80</v>
      </c>
      <c r="D1223">
        <v>79.950531006000006</v>
      </c>
      <c r="E1223">
        <v>50</v>
      </c>
      <c r="F1223">
        <v>45.449214935000001</v>
      </c>
      <c r="G1223">
        <v>1382.9980469</v>
      </c>
      <c r="H1223">
        <v>1369.1414795000001</v>
      </c>
      <c r="I1223">
        <v>1286.3245850000001</v>
      </c>
      <c r="J1223">
        <v>1266.7120361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796.54675299999997</v>
      </c>
      <c r="B1224" s="1">
        <f>DATE(2012,7,5) + TIME(13,7,19)</f>
        <v>41095.546747685185</v>
      </c>
      <c r="C1224">
        <v>80</v>
      </c>
      <c r="D1224">
        <v>79.950546265</v>
      </c>
      <c r="E1224">
        <v>50</v>
      </c>
      <c r="F1224">
        <v>45.379379272000001</v>
      </c>
      <c r="G1224">
        <v>1382.9385986</v>
      </c>
      <c r="H1224">
        <v>1369.0915527</v>
      </c>
      <c r="I1224">
        <v>1286.2747803</v>
      </c>
      <c r="J1224">
        <v>1266.6408690999999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797.74686699999995</v>
      </c>
      <c r="B1225" s="1">
        <f>DATE(2012,7,6) + TIME(17,55,29)</f>
        <v>41096.746863425928</v>
      </c>
      <c r="C1225">
        <v>80</v>
      </c>
      <c r="D1225">
        <v>79.950561523000005</v>
      </c>
      <c r="E1225">
        <v>50</v>
      </c>
      <c r="F1225">
        <v>45.307689666999998</v>
      </c>
      <c r="G1225">
        <v>1382.8786620999999</v>
      </c>
      <c r="H1225">
        <v>1369.0412598</v>
      </c>
      <c r="I1225">
        <v>1286.2231445</v>
      </c>
      <c r="J1225">
        <v>1266.5666504000001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798.95429799999999</v>
      </c>
      <c r="B1226" s="1">
        <f>DATE(2012,7,7) + TIME(22,54,11)</f>
        <v>41097.954293981478</v>
      </c>
      <c r="C1226">
        <v>80</v>
      </c>
      <c r="D1226">
        <v>79.950576781999999</v>
      </c>
      <c r="E1226">
        <v>50</v>
      </c>
      <c r="F1226">
        <v>45.234676360999998</v>
      </c>
      <c r="G1226">
        <v>1382.8181152</v>
      </c>
      <c r="H1226">
        <v>1368.9903564000001</v>
      </c>
      <c r="I1226">
        <v>1286.1694336</v>
      </c>
      <c r="J1226">
        <v>1266.4892577999999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800.16908100000001</v>
      </c>
      <c r="B1227" s="1">
        <f>DATE(2012,7,9) + TIME(4,3,28)</f>
        <v>41099.169074074074</v>
      </c>
      <c r="C1227">
        <v>80</v>
      </c>
      <c r="D1227">
        <v>79.950599670000003</v>
      </c>
      <c r="E1227">
        <v>50</v>
      </c>
      <c r="F1227">
        <v>45.160747528000002</v>
      </c>
      <c r="G1227">
        <v>1382.7579346</v>
      </c>
      <c r="H1227">
        <v>1368.9396973</v>
      </c>
      <c r="I1227">
        <v>1286.1143798999999</v>
      </c>
      <c r="J1227">
        <v>1266.4095459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801.39110900000003</v>
      </c>
      <c r="B1228" s="1">
        <f>DATE(2012,7,10) + TIME(9,23,11)</f>
        <v>41100.391099537039</v>
      </c>
      <c r="C1228">
        <v>80</v>
      </c>
      <c r="D1228">
        <v>79.950614928999997</v>
      </c>
      <c r="E1228">
        <v>50</v>
      </c>
      <c r="F1228">
        <v>45.086067200000002</v>
      </c>
      <c r="G1228">
        <v>1382.6982422000001</v>
      </c>
      <c r="H1228">
        <v>1368.8894043</v>
      </c>
      <c r="I1228">
        <v>1286.0581055</v>
      </c>
      <c r="J1228">
        <v>1266.3277588000001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802.62074900000005</v>
      </c>
      <c r="B1229" s="1">
        <f>DATE(2012,7,11) + TIME(14,53,52)</f>
        <v>41101.620740740742</v>
      </c>
      <c r="C1229">
        <v>80</v>
      </c>
      <c r="D1229">
        <v>79.950637817</v>
      </c>
      <c r="E1229">
        <v>50</v>
      </c>
      <c r="F1229">
        <v>45.010688782000003</v>
      </c>
      <c r="G1229">
        <v>1382.6389160000001</v>
      </c>
      <c r="H1229">
        <v>1368.8393555</v>
      </c>
      <c r="I1229">
        <v>1286.0006103999999</v>
      </c>
      <c r="J1229">
        <v>1266.2437743999999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803.86112000000003</v>
      </c>
      <c r="B1230" s="1">
        <f>DATE(2012,7,12) + TIME(20,40,0)</f>
        <v>41102.861111111109</v>
      </c>
      <c r="C1230">
        <v>80</v>
      </c>
      <c r="D1230">
        <v>79.950653075999995</v>
      </c>
      <c r="E1230">
        <v>50</v>
      </c>
      <c r="F1230">
        <v>44.93453598</v>
      </c>
      <c r="G1230">
        <v>1382.5800781</v>
      </c>
      <c r="H1230">
        <v>1368.7895507999999</v>
      </c>
      <c r="I1230">
        <v>1285.9417725000001</v>
      </c>
      <c r="J1230">
        <v>1266.1575928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805.11543900000004</v>
      </c>
      <c r="B1231" s="1">
        <f>DATE(2012,7,14) + TIME(2,46,13)</f>
        <v>41104.115428240744</v>
      </c>
      <c r="C1231">
        <v>80</v>
      </c>
      <c r="D1231">
        <v>79.950675963999998</v>
      </c>
      <c r="E1231">
        <v>50</v>
      </c>
      <c r="F1231">
        <v>44.857460021999998</v>
      </c>
      <c r="G1231">
        <v>1382.5213623</v>
      </c>
      <c r="H1231">
        <v>1368.7399902</v>
      </c>
      <c r="I1231">
        <v>1285.8815918</v>
      </c>
      <c r="J1231">
        <v>1266.0688477000001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806.38700400000005</v>
      </c>
      <c r="B1232" s="1">
        <f>DATE(2012,7,15) + TIME(9,17,17)</f>
        <v>41105.387002314812</v>
      </c>
      <c r="C1232">
        <v>80</v>
      </c>
      <c r="D1232">
        <v>79.950698853000006</v>
      </c>
      <c r="E1232">
        <v>50</v>
      </c>
      <c r="F1232">
        <v>44.779262543000002</v>
      </c>
      <c r="G1232">
        <v>1382.4627685999999</v>
      </c>
      <c r="H1232">
        <v>1368.6903076000001</v>
      </c>
      <c r="I1232">
        <v>1285.8197021000001</v>
      </c>
      <c r="J1232">
        <v>1265.9774170000001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807.679306</v>
      </c>
      <c r="B1233" s="1">
        <f>DATE(2012,7,16) + TIME(16,18,12)</f>
        <v>41106.679305555554</v>
      </c>
      <c r="C1233">
        <v>80</v>
      </c>
      <c r="D1233">
        <v>79.950721740999995</v>
      </c>
      <c r="E1233">
        <v>50</v>
      </c>
      <c r="F1233">
        <v>44.699726105000003</v>
      </c>
      <c r="G1233">
        <v>1382.4040527</v>
      </c>
      <c r="H1233">
        <v>1368.640625</v>
      </c>
      <c r="I1233">
        <v>1285.7559814000001</v>
      </c>
      <c r="J1233">
        <v>1265.8830565999999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808.99607500000002</v>
      </c>
      <c r="B1234" s="1">
        <f>DATE(2012,7,17) + TIME(23,54,20)</f>
        <v>41107.996064814812</v>
      </c>
      <c r="C1234">
        <v>80</v>
      </c>
      <c r="D1234">
        <v>79.950744628999999</v>
      </c>
      <c r="E1234">
        <v>50</v>
      </c>
      <c r="F1234">
        <v>44.618614196999999</v>
      </c>
      <c r="G1234">
        <v>1382.3450928</v>
      </c>
      <c r="H1234">
        <v>1368.5905762</v>
      </c>
      <c r="I1234">
        <v>1285.6903076000001</v>
      </c>
      <c r="J1234">
        <v>1265.7851562000001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810.34134100000006</v>
      </c>
      <c r="B1235" s="1">
        <f>DATE(2012,7,19) + TIME(8,11,31)</f>
        <v>41109.341331018521</v>
      </c>
      <c r="C1235">
        <v>80</v>
      </c>
      <c r="D1235">
        <v>79.950767517000003</v>
      </c>
      <c r="E1235">
        <v>50</v>
      </c>
      <c r="F1235">
        <v>44.535675048999998</v>
      </c>
      <c r="G1235">
        <v>1382.2857666</v>
      </c>
      <c r="H1235">
        <v>1368.5401611</v>
      </c>
      <c r="I1235">
        <v>1285.6223144999999</v>
      </c>
      <c r="J1235">
        <v>1265.6837158000001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811.71417499999995</v>
      </c>
      <c r="B1236" s="1">
        <f>DATE(2012,7,20) + TIME(17,8,24)</f>
        <v>41110.714166666665</v>
      </c>
      <c r="C1236">
        <v>80</v>
      </c>
      <c r="D1236">
        <v>79.950790405000006</v>
      </c>
      <c r="E1236">
        <v>50</v>
      </c>
      <c r="F1236">
        <v>44.450748443999998</v>
      </c>
      <c r="G1236">
        <v>1382.2259521000001</v>
      </c>
      <c r="H1236">
        <v>1368.4892577999999</v>
      </c>
      <c r="I1236">
        <v>1285.5518798999999</v>
      </c>
      <c r="J1236">
        <v>1265.578125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813.10198200000002</v>
      </c>
      <c r="B1237" s="1">
        <f>DATE(2012,7,22) + TIME(2,26,51)</f>
        <v>41112.101979166669</v>
      </c>
      <c r="C1237">
        <v>80</v>
      </c>
      <c r="D1237">
        <v>79.950820922999995</v>
      </c>
      <c r="E1237">
        <v>50</v>
      </c>
      <c r="F1237">
        <v>44.364082336000003</v>
      </c>
      <c r="G1237">
        <v>1382.1656493999999</v>
      </c>
      <c r="H1237">
        <v>1368.4378661999999</v>
      </c>
      <c r="I1237">
        <v>1285.4788818</v>
      </c>
      <c r="J1237">
        <v>1265.4683838000001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814.49195099999997</v>
      </c>
      <c r="B1238" s="1">
        <f>DATE(2012,7,23) + TIME(11,48,24)</f>
        <v>41113.491944444446</v>
      </c>
      <c r="C1238">
        <v>80</v>
      </c>
      <c r="D1238">
        <v>79.950843810999999</v>
      </c>
      <c r="E1238">
        <v>50</v>
      </c>
      <c r="F1238">
        <v>44.276248932000001</v>
      </c>
      <c r="G1238">
        <v>1382.1053466999999</v>
      </c>
      <c r="H1238">
        <v>1368.3864745999999</v>
      </c>
      <c r="I1238">
        <v>1285.4040527</v>
      </c>
      <c r="J1238">
        <v>1265.3555908000001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815.88900599999999</v>
      </c>
      <c r="B1239" s="1">
        <f>DATE(2012,7,24) + TIME(21,20,10)</f>
        <v>41114.889004629629</v>
      </c>
      <c r="C1239">
        <v>80</v>
      </c>
      <c r="D1239">
        <v>79.950874329000001</v>
      </c>
      <c r="E1239">
        <v>50</v>
      </c>
      <c r="F1239">
        <v>44.187526703000003</v>
      </c>
      <c r="G1239">
        <v>1382.0456543</v>
      </c>
      <c r="H1239">
        <v>1368.3355713000001</v>
      </c>
      <c r="I1239">
        <v>1285.3280029</v>
      </c>
      <c r="J1239">
        <v>1265.2402344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817.29633200000001</v>
      </c>
      <c r="B1240" s="1">
        <f>DATE(2012,7,26) + TIME(7,6,43)</f>
        <v>41116.296331018515</v>
      </c>
      <c r="C1240">
        <v>80</v>
      </c>
      <c r="D1240">
        <v>79.950897217000005</v>
      </c>
      <c r="E1240">
        <v>50</v>
      </c>
      <c r="F1240">
        <v>44.097881317000002</v>
      </c>
      <c r="G1240">
        <v>1381.9864502</v>
      </c>
      <c r="H1240">
        <v>1368.2849120999999</v>
      </c>
      <c r="I1240">
        <v>1285.2504882999999</v>
      </c>
      <c r="J1240">
        <v>1265.1221923999999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818.71753799999999</v>
      </c>
      <c r="B1241" s="1">
        <f>DATE(2012,7,27) + TIME(17,13,15)</f>
        <v>41117.717534722222</v>
      </c>
      <c r="C1241">
        <v>80</v>
      </c>
      <c r="D1241">
        <v>79.950927734000004</v>
      </c>
      <c r="E1241">
        <v>50</v>
      </c>
      <c r="F1241">
        <v>44.007152556999998</v>
      </c>
      <c r="G1241">
        <v>1381.9274902</v>
      </c>
      <c r="H1241">
        <v>1368.234375</v>
      </c>
      <c r="I1241">
        <v>1285.1715088000001</v>
      </c>
      <c r="J1241">
        <v>1265.0012207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820.15636199999994</v>
      </c>
      <c r="B1242" s="1">
        <f>DATE(2012,7,29) + TIME(3,45,9)</f>
        <v>41119.156354166669</v>
      </c>
      <c r="C1242">
        <v>80</v>
      </c>
      <c r="D1242">
        <v>79.950958252000007</v>
      </c>
      <c r="E1242">
        <v>50</v>
      </c>
      <c r="F1242">
        <v>43.915142058999997</v>
      </c>
      <c r="G1242">
        <v>1381.8685303</v>
      </c>
      <c r="H1242">
        <v>1368.1839600000001</v>
      </c>
      <c r="I1242">
        <v>1285.0905762</v>
      </c>
      <c r="J1242">
        <v>1264.8771973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821.616758</v>
      </c>
      <c r="B1243" s="1">
        <f>DATE(2012,7,30) + TIME(14,48,7)</f>
        <v>41120.616747685184</v>
      </c>
      <c r="C1243">
        <v>80</v>
      </c>
      <c r="D1243">
        <v>79.950988769999995</v>
      </c>
      <c r="E1243">
        <v>50</v>
      </c>
      <c r="F1243">
        <v>43.821609496999997</v>
      </c>
      <c r="G1243">
        <v>1381.8095702999999</v>
      </c>
      <c r="H1243">
        <v>1368.1333007999999</v>
      </c>
      <c r="I1243">
        <v>1285.0076904</v>
      </c>
      <c r="J1243">
        <v>1264.7495117000001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823</v>
      </c>
      <c r="B1244" s="1">
        <f>DATE(2012,8,1) + TIME(0,0,0)</f>
        <v>41122</v>
      </c>
      <c r="C1244">
        <v>80</v>
      </c>
      <c r="D1244">
        <v>79.951011657999999</v>
      </c>
      <c r="E1244">
        <v>50</v>
      </c>
      <c r="F1244">
        <v>43.728885650999999</v>
      </c>
      <c r="G1244">
        <v>1381.7503661999999</v>
      </c>
      <c r="H1244">
        <v>1368.0823975000001</v>
      </c>
      <c r="I1244">
        <v>1284.9227295000001</v>
      </c>
      <c r="J1244">
        <v>1264.6188964999999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824.48612500000002</v>
      </c>
      <c r="B1245" s="1">
        <f>DATE(2012,8,2) + TIME(11,40,1)</f>
        <v>41123.486122685186</v>
      </c>
      <c r="C1245">
        <v>80</v>
      </c>
      <c r="D1245">
        <v>79.951049804999997</v>
      </c>
      <c r="E1245">
        <v>50</v>
      </c>
      <c r="F1245">
        <v>43.634864807</v>
      </c>
      <c r="G1245">
        <v>1381.6949463000001</v>
      </c>
      <c r="H1245">
        <v>1368.0347899999999</v>
      </c>
      <c r="I1245">
        <v>1284.8408202999999</v>
      </c>
      <c r="J1245">
        <v>1264.4904785000001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826.02604099999996</v>
      </c>
      <c r="B1246" s="1">
        <f>DATE(2012,8,4) + TIME(0,37,29)</f>
        <v>41125.026030092595</v>
      </c>
      <c r="C1246">
        <v>80</v>
      </c>
      <c r="D1246">
        <v>79.951080321999996</v>
      </c>
      <c r="E1246">
        <v>50</v>
      </c>
      <c r="F1246">
        <v>43.537254333</v>
      </c>
      <c r="G1246">
        <v>1381.6361084</v>
      </c>
      <c r="H1246">
        <v>1367.9840088000001</v>
      </c>
      <c r="I1246">
        <v>1284.7525635</v>
      </c>
      <c r="J1246">
        <v>1264.3529053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827.58585100000005</v>
      </c>
      <c r="B1247" s="1">
        <f>DATE(2012,8,5) + TIME(14,3,37)</f>
        <v>41126.585844907408</v>
      </c>
      <c r="C1247">
        <v>80</v>
      </c>
      <c r="D1247">
        <v>79.951110839999998</v>
      </c>
      <c r="E1247">
        <v>50</v>
      </c>
      <c r="F1247">
        <v>43.436664581000002</v>
      </c>
      <c r="G1247">
        <v>1381.5756836</v>
      </c>
      <c r="H1247">
        <v>1367.9318848</v>
      </c>
      <c r="I1247">
        <v>1284.6600341999999</v>
      </c>
      <c r="J1247">
        <v>1264.2086182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829.16017799999997</v>
      </c>
      <c r="B1248" s="1">
        <f>DATE(2012,8,7) + TIME(3,50,39)</f>
        <v>41128.160173611112</v>
      </c>
      <c r="C1248">
        <v>80</v>
      </c>
      <c r="D1248">
        <v>79.951148986999996</v>
      </c>
      <c r="E1248">
        <v>50</v>
      </c>
      <c r="F1248">
        <v>43.334083557</v>
      </c>
      <c r="G1248">
        <v>1381.5151367000001</v>
      </c>
      <c r="H1248">
        <v>1367.8796387</v>
      </c>
      <c r="I1248">
        <v>1284.5654297000001</v>
      </c>
      <c r="J1248">
        <v>1264.0600586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830.74613999999997</v>
      </c>
      <c r="B1249" s="1">
        <f>DATE(2012,8,8) + TIME(17,54,26)</f>
        <v>41129.746134259258</v>
      </c>
      <c r="C1249">
        <v>80</v>
      </c>
      <c r="D1249">
        <v>79.951179503999995</v>
      </c>
      <c r="E1249">
        <v>50</v>
      </c>
      <c r="F1249">
        <v>43.230075835999997</v>
      </c>
      <c r="G1249">
        <v>1381.4547118999999</v>
      </c>
      <c r="H1249">
        <v>1367.8273925999999</v>
      </c>
      <c r="I1249">
        <v>1284.4689940999999</v>
      </c>
      <c r="J1249">
        <v>1263.9079589999999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832.34241599999996</v>
      </c>
      <c r="B1250" s="1">
        <f>DATE(2012,8,10) + TIME(8,13,4)</f>
        <v>41131.342407407406</v>
      </c>
      <c r="C1250">
        <v>80</v>
      </c>
      <c r="D1250">
        <v>79.951217650999993</v>
      </c>
      <c r="E1250">
        <v>50</v>
      </c>
      <c r="F1250">
        <v>43.124954224</v>
      </c>
      <c r="G1250">
        <v>1381.3945312000001</v>
      </c>
      <c r="H1250">
        <v>1367.7752685999999</v>
      </c>
      <c r="I1250">
        <v>1284.3709716999999</v>
      </c>
      <c r="J1250">
        <v>1263.7528076000001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833.953259</v>
      </c>
      <c r="B1251" s="1">
        <f>DATE(2012,8,11) + TIME(22,52,41)</f>
        <v>41132.953252314815</v>
      </c>
      <c r="C1251">
        <v>80</v>
      </c>
      <c r="D1251">
        <v>79.951248168999996</v>
      </c>
      <c r="E1251">
        <v>50</v>
      </c>
      <c r="F1251">
        <v>43.018791198999999</v>
      </c>
      <c r="G1251">
        <v>1381.3345947</v>
      </c>
      <c r="H1251">
        <v>1367.7232666</v>
      </c>
      <c r="I1251">
        <v>1284.2714844</v>
      </c>
      <c r="J1251">
        <v>1263.5944824000001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835.58292600000004</v>
      </c>
      <c r="B1252" s="1">
        <f>DATE(2012,8,13) + TIME(13,59,24)</f>
        <v>41134.582916666666</v>
      </c>
      <c r="C1252">
        <v>80</v>
      </c>
      <c r="D1252">
        <v>79.951286315999994</v>
      </c>
      <c r="E1252">
        <v>50</v>
      </c>
      <c r="F1252">
        <v>42.911487579000003</v>
      </c>
      <c r="G1252">
        <v>1381.2746582</v>
      </c>
      <c r="H1252">
        <v>1367.6712646000001</v>
      </c>
      <c r="I1252">
        <v>1284.1704102000001</v>
      </c>
      <c r="J1252">
        <v>1263.4329834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837.23586399999999</v>
      </c>
      <c r="B1253" s="1">
        <f>DATE(2012,8,15) + TIME(5,39,38)</f>
        <v>41136.235856481479</v>
      </c>
      <c r="C1253">
        <v>80</v>
      </c>
      <c r="D1253">
        <v>79.951324463000006</v>
      </c>
      <c r="E1253">
        <v>50</v>
      </c>
      <c r="F1253">
        <v>42.802864075000002</v>
      </c>
      <c r="G1253">
        <v>1381.2147216999999</v>
      </c>
      <c r="H1253">
        <v>1367.6191406</v>
      </c>
      <c r="I1253">
        <v>1284.0675048999999</v>
      </c>
      <c r="J1253">
        <v>1263.2679443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838.91685399999994</v>
      </c>
      <c r="B1254" s="1">
        <f>DATE(2012,8,16) + TIME(22,0,16)</f>
        <v>41137.916851851849</v>
      </c>
      <c r="C1254">
        <v>80</v>
      </c>
      <c r="D1254">
        <v>79.951362610000004</v>
      </c>
      <c r="E1254">
        <v>50</v>
      </c>
      <c r="F1254">
        <v>42.692726135000001</v>
      </c>
      <c r="G1254">
        <v>1381.1544189000001</v>
      </c>
      <c r="H1254">
        <v>1367.5666504000001</v>
      </c>
      <c r="I1254">
        <v>1283.9626464999999</v>
      </c>
      <c r="J1254">
        <v>1263.0988769999999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840.61910899999998</v>
      </c>
      <c r="B1255" s="1">
        <f>DATE(2012,8,18) + TIME(14,51,31)</f>
        <v>41139.619108796294</v>
      </c>
      <c r="C1255">
        <v>80</v>
      </c>
      <c r="D1255">
        <v>79.951400757000002</v>
      </c>
      <c r="E1255">
        <v>50</v>
      </c>
      <c r="F1255">
        <v>42.581123351999999</v>
      </c>
      <c r="G1255">
        <v>1381.0938721</v>
      </c>
      <c r="H1255">
        <v>1367.5137939000001</v>
      </c>
      <c r="I1255">
        <v>1283.8554687999999</v>
      </c>
      <c r="J1255">
        <v>1262.9256591999999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842.33574399999998</v>
      </c>
      <c r="B1256" s="1">
        <f>DATE(2012,8,20) + TIME(8,3,28)</f>
        <v>41141.335740740738</v>
      </c>
      <c r="C1256">
        <v>80</v>
      </c>
      <c r="D1256">
        <v>79.951438904</v>
      </c>
      <c r="E1256">
        <v>50</v>
      </c>
      <c r="F1256">
        <v>42.468460082999997</v>
      </c>
      <c r="G1256">
        <v>1381.0329589999999</v>
      </c>
      <c r="H1256">
        <v>1367.4606934000001</v>
      </c>
      <c r="I1256">
        <v>1283.746582</v>
      </c>
      <c r="J1256">
        <v>1262.7487793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844.066236</v>
      </c>
      <c r="B1257" s="1">
        <f>DATE(2012,8,22) + TIME(1,35,22)</f>
        <v>41143.06622685185</v>
      </c>
      <c r="C1257">
        <v>80</v>
      </c>
      <c r="D1257">
        <v>79.951484679999993</v>
      </c>
      <c r="E1257">
        <v>50</v>
      </c>
      <c r="F1257">
        <v>42.355125426999997</v>
      </c>
      <c r="G1257">
        <v>1380.9722899999999</v>
      </c>
      <c r="H1257">
        <v>1367.4075928</v>
      </c>
      <c r="I1257">
        <v>1283.6364745999999</v>
      </c>
      <c r="J1257">
        <v>1262.5690918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845.81511999999998</v>
      </c>
      <c r="B1258" s="1">
        <f>DATE(2012,8,23) + TIME(19,33,46)</f>
        <v>41144.815115740741</v>
      </c>
      <c r="C1258">
        <v>80</v>
      </c>
      <c r="D1258">
        <v>79.951522827000005</v>
      </c>
      <c r="E1258">
        <v>50</v>
      </c>
      <c r="F1258">
        <v>42.241283416999998</v>
      </c>
      <c r="G1258">
        <v>1380.9116211</v>
      </c>
      <c r="H1258">
        <v>1367.3544922000001</v>
      </c>
      <c r="I1258">
        <v>1283.5252685999999</v>
      </c>
      <c r="J1258">
        <v>1262.3867187999999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847.58708999999999</v>
      </c>
      <c r="B1259" s="1">
        <f>DATE(2012,8,25) + TIME(14,5,24)</f>
        <v>41146.587083333332</v>
      </c>
      <c r="C1259">
        <v>80</v>
      </c>
      <c r="D1259">
        <v>79.951568604000002</v>
      </c>
      <c r="E1259">
        <v>50</v>
      </c>
      <c r="F1259">
        <v>42.126926421999997</v>
      </c>
      <c r="G1259">
        <v>1380.8509521000001</v>
      </c>
      <c r="H1259">
        <v>1367.3012695</v>
      </c>
      <c r="I1259">
        <v>1283.4128418</v>
      </c>
      <c r="J1259">
        <v>1262.2014160000001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849.38711999999998</v>
      </c>
      <c r="B1260" s="1">
        <f>DATE(2012,8,27) + TIME(9,17,27)</f>
        <v>41148.387118055558</v>
      </c>
      <c r="C1260">
        <v>80</v>
      </c>
      <c r="D1260">
        <v>79.951606749999996</v>
      </c>
      <c r="E1260">
        <v>50</v>
      </c>
      <c r="F1260">
        <v>42.011985779</v>
      </c>
      <c r="G1260">
        <v>1380.7899170000001</v>
      </c>
      <c r="H1260">
        <v>1367.2478027</v>
      </c>
      <c r="I1260">
        <v>1283.2990723</v>
      </c>
      <c r="J1260">
        <v>1262.0130615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851.21626700000002</v>
      </c>
      <c r="B1261" s="1">
        <f>DATE(2012,8,29) + TIME(5,11,25)</f>
        <v>41150.216261574074</v>
      </c>
      <c r="C1261">
        <v>80</v>
      </c>
      <c r="D1261">
        <v>79.951652526999993</v>
      </c>
      <c r="E1261">
        <v>50</v>
      </c>
      <c r="F1261">
        <v>41.896461487000003</v>
      </c>
      <c r="G1261">
        <v>1380.7286377</v>
      </c>
      <c r="H1261">
        <v>1367.1938477000001</v>
      </c>
      <c r="I1261">
        <v>1283.1837158000001</v>
      </c>
      <c r="J1261">
        <v>1261.8212891000001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853.06760299999996</v>
      </c>
      <c r="B1262" s="1">
        <f>DATE(2012,8,31) + TIME(1,37,20)</f>
        <v>41152.06759259259</v>
      </c>
      <c r="C1262">
        <v>80</v>
      </c>
      <c r="D1262">
        <v>79.951698303000001</v>
      </c>
      <c r="E1262">
        <v>50</v>
      </c>
      <c r="F1262">
        <v>41.780647278000004</v>
      </c>
      <c r="G1262">
        <v>1380.6668701000001</v>
      </c>
      <c r="H1262">
        <v>1367.1394043</v>
      </c>
      <c r="I1262">
        <v>1283.0668945</v>
      </c>
      <c r="J1262">
        <v>1261.6262207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854</v>
      </c>
      <c r="B1263" s="1">
        <f>DATE(2012,9,1) + TIME(0,0,0)</f>
        <v>41153</v>
      </c>
      <c r="C1263">
        <v>80</v>
      </c>
      <c r="D1263">
        <v>79.951705933</v>
      </c>
      <c r="E1263">
        <v>50</v>
      </c>
      <c r="F1263">
        <v>41.693004608000003</v>
      </c>
      <c r="G1263">
        <v>1380.6043701000001</v>
      </c>
      <c r="H1263">
        <v>1367.0843506000001</v>
      </c>
      <c r="I1263">
        <v>1282.9528809000001</v>
      </c>
      <c r="J1263">
        <v>1261.4460449000001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855.87708199999997</v>
      </c>
      <c r="B1264" s="1">
        <f>DATE(2012,9,2) + TIME(21,2,59)</f>
        <v>41154.877071759256</v>
      </c>
      <c r="C1264">
        <v>80</v>
      </c>
      <c r="D1264">
        <v>79.951759338000002</v>
      </c>
      <c r="E1264">
        <v>50</v>
      </c>
      <c r="F1264">
        <v>41.598228454999997</v>
      </c>
      <c r="G1264">
        <v>1380.5737305</v>
      </c>
      <c r="H1264">
        <v>1367.057251</v>
      </c>
      <c r="I1264">
        <v>1282.8865966999999</v>
      </c>
      <c r="J1264">
        <v>1261.3194579999999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857.76248099999998</v>
      </c>
      <c r="B1265" s="1">
        <f>DATE(2012,9,4) + TIME(18,17,58)</f>
        <v>41156.762476851851</v>
      </c>
      <c r="C1265">
        <v>80</v>
      </c>
      <c r="D1265">
        <v>79.951805114999999</v>
      </c>
      <c r="E1265">
        <v>50</v>
      </c>
      <c r="F1265">
        <v>41.490577698000003</v>
      </c>
      <c r="G1265">
        <v>1380.5117187999999</v>
      </c>
      <c r="H1265">
        <v>1367.0024414</v>
      </c>
      <c r="I1265">
        <v>1282.7712402</v>
      </c>
      <c r="J1265">
        <v>1261.1269531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859.66020000000003</v>
      </c>
      <c r="B1266" s="1">
        <f>DATE(2012,9,6) + TIME(15,50,41)</f>
        <v>41158.660196759258</v>
      </c>
      <c r="C1266">
        <v>80</v>
      </c>
      <c r="D1266">
        <v>79.951850891000007</v>
      </c>
      <c r="E1266">
        <v>50</v>
      </c>
      <c r="F1266">
        <v>41.380184174</v>
      </c>
      <c r="G1266">
        <v>1380.4499512</v>
      </c>
      <c r="H1266">
        <v>1366.9477539</v>
      </c>
      <c r="I1266">
        <v>1282.6544189000001</v>
      </c>
      <c r="J1266">
        <v>1260.9293213000001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861.57511899999997</v>
      </c>
      <c r="B1267" s="1">
        <f>DATE(2012,9,8) + TIME(13,48,10)</f>
        <v>41160.575115740743</v>
      </c>
      <c r="C1267">
        <v>80</v>
      </c>
      <c r="D1267">
        <v>79.951904296999999</v>
      </c>
      <c r="E1267">
        <v>50</v>
      </c>
      <c r="F1267">
        <v>41.270351410000004</v>
      </c>
      <c r="G1267">
        <v>1380.3881836</v>
      </c>
      <c r="H1267">
        <v>1366.8929443</v>
      </c>
      <c r="I1267">
        <v>1282.5375977000001</v>
      </c>
      <c r="J1267">
        <v>1260.7301024999999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863.51227100000006</v>
      </c>
      <c r="B1268" s="1">
        <f>DATE(2012,9,10) + TIME(12,17,40)</f>
        <v>41162.51226851852</v>
      </c>
      <c r="C1268">
        <v>80</v>
      </c>
      <c r="D1268">
        <v>79.951950073000006</v>
      </c>
      <c r="E1268">
        <v>50</v>
      </c>
      <c r="F1268">
        <v>41.162242888999998</v>
      </c>
      <c r="G1268">
        <v>1380.3264160000001</v>
      </c>
      <c r="H1268">
        <v>1366.8381348</v>
      </c>
      <c r="I1268">
        <v>1282.4210204999999</v>
      </c>
      <c r="J1268">
        <v>1260.5302733999999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865.47693000000004</v>
      </c>
      <c r="B1269" s="1">
        <f>DATE(2012,9,12) + TIME(11,26,46)</f>
        <v>41164.476921296293</v>
      </c>
      <c r="C1269">
        <v>80</v>
      </c>
      <c r="D1269">
        <v>79.951995850000003</v>
      </c>
      <c r="E1269">
        <v>50</v>
      </c>
      <c r="F1269">
        <v>41.056385040000002</v>
      </c>
      <c r="G1269">
        <v>1380.2642822</v>
      </c>
      <c r="H1269">
        <v>1366.7829589999999</v>
      </c>
      <c r="I1269">
        <v>1282.3048096</v>
      </c>
      <c r="J1269">
        <v>1260.3299560999999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867.45941700000003</v>
      </c>
      <c r="B1270" s="1">
        <f>DATE(2012,9,14) + TIME(11,1,33)</f>
        <v>41166.459409722222</v>
      </c>
      <c r="C1270">
        <v>80</v>
      </c>
      <c r="D1270">
        <v>79.952049255000006</v>
      </c>
      <c r="E1270">
        <v>50</v>
      </c>
      <c r="F1270">
        <v>40.953411101999997</v>
      </c>
      <c r="G1270">
        <v>1380.2019043</v>
      </c>
      <c r="H1270">
        <v>1366.7274170000001</v>
      </c>
      <c r="I1270">
        <v>1282.1889647999999</v>
      </c>
      <c r="J1270">
        <v>1260.1293945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869.45291799999995</v>
      </c>
      <c r="B1271" s="1">
        <f>DATE(2012,9,16) + TIME(10,52,12)</f>
        <v>41168.452916666669</v>
      </c>
      <c r="C1271">
        <v>80</v>
      </c>
      <c r="D1271">
        <v>79.952095032000003</v>
      </c>
      <c r="E1271">
        <v>50</v>
      </c>
      <c r="F1271">
        <v>40.854244231999999</v>
      </c>
      <c r="G1271">
        <v>1380.1392822</v>
      </c>
      <c r="H1271">
        <v>1366.6715088000001</v>
      </c>
      <c r="I1271">
        <v>1282.0744629000001</v>
      </c>
      <c r="J1271">
        <v>1259.9301757999999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871.460644</v>
      </c>
      <c r="B1272" s="1">
        <f>DATE(2012,9,18) + TIME(11,3,19)</f>
        <v>41170.460636574076</v>
      </c>
      <c r="C1272">
        <v>80</v>
      </c>
      <c r="D1272">
        <v>79.952148437999995</v>
      </c>
      <c r="E1272">
        <v>50</v>
      </c>
      <c r="F1272">
        <v>40.759693145999996</v>
      </c>
      <c r="G1272">
        <v>1380.0769043</v>
      </c>
      <c r="H1272">
        <v>1366.6158447</v>
      </c>
      <c r="I1272">
        <v>1281.9616699000001</v>
      </c>
      <c r="J1272">
        <v>1259.7331543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873.494057</v>
      </c>
      <c r="B1273" s="1">
        <f>DATE(2012,9,20) + TIME(11,51,26)</f>
        <v>41172.494050925925</v>
      </c>
      <c r="C1273">
        <v>80</v>
      </c>
      <c r="D1273">
        <v>79.952194214000002</v>
      </c>
      <c r="E1273">
        <v>50</v>
      </c>
      <c r="F1273">
        <v>40.670257567999997</v>
      </c>
      <c r="G1273">
        <v>1380.0144043</v>
      </c>
      <c r="H1273">
        <v>1366.5599365</v>
      </c>
      <c r="I1273">
        <v>1281.8508300999999</v>
      </c>
      <c r="J1273">
        <v>1259.5385742000001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875.55894999999998</v>
      </c>
      <c r="B1274" s="1">
        <f>DATE(2012,9,22) + TIME(13,24,53)</f>
        <v>41174.558946759258</v>
      </c>
      <c r="C1274">
        <v>80</v>
      </c>
      <c r="D1274">
        <v>79.952247619999994</v>
      </c>
      <c r="E1274">
        <v>50</v>
      </c>
      <c r="F1274">
        <v>40.586391448999997</v>
      </c>
      <c r="G1274">
        <v>1379.9516602000001</v>
      </c>
      <c r="H1274">
        <v>1366.5036620999999</v>
      </c>
      <c r="I1274">
        <v>1281.7416992000001</v>
      </c>
      <c r="J1274">
        <v>1259.3464355000001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877.65197699999999</v>
      </c>
      <c r="B1275" s="1">
        <f>DATE(2012,9,24) + TIME(15,38,50)</f>
        <v>41176.651967592596</v>
      </c>
      <c r="C1275">
        <v>80</v>
      </c>
      <c r="D1275">
        <v>79.952301024999997</v>
      </c>
      <c r="E1275">
        <v>50</v>
      </c>
      <c r="F1275">
        <v>40.508819580000001</v>
      </c>
      <c r="G1275">
        <v>1379.8883057</v>
      </c>
      <c r="H1275">
        <v>1366.4467772999999</v>
      </c>
      <c r="I1275">
        <v>1281.6342772999999</v>
      </c>
      <c r="J1275">
        <v>1259.1567382999999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879.76046399999996</v>
      </c>
      <c r="B1276" s="1">
        <f>DATE(2012,9,26) + TIME(18,15,4)</f>
        <v>41178.760462962964</v>
      </c>
      <c r="C1276">
        <v>80</v>
      </c>
      <c r="D1276">
        <v>79.952354431000003</v>
      </c>
      <c r="E1276">
        <v>50</v>
      </c>
      <c r="F1276">
        <v>40.438636780000003</v>
      </c>
      <c r="G1276">
        <v>1379.8244629000001</v>
      </c>
      <c r="H1276">
        <v>1366.3895264</v>
      </c>
      <c r="I1276">
        <v>1281.5291748</v>
      </c>
      <c r="J1276">
        <v>1258.9705810999999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881.88374599999997</v>
      </c>
      <c r="B1277" s="1">
        <f>DATE(2012,9,28) + TIME(21,12,35)</f>
        <v>41180.883738425924</v>
      </c>
      <c r="C1277">
        <v>80</v>
      </c>
      <c r="D1277">
        <v>79.952407836999996</v>
      </c>
      <c r="E1277">
        <v>50</v>
      </c>
      <c r="F1277">
        <v>40.377006530999999</v>
      </c>
      <c r="G1277">
        <v>1379.7607422000001</v>
      </c>
      <c r="H1277">
        <v>1366.3320312000001</v>
      </c>
      <c r="I1277">
        <v>1281.4273682</v>
      </c>
      <c r="J1277">
        <v>1258.7895507999999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884</v>
      </c>
      <c r="B1278" s="1">
        <f>DATE(2012,10,1) + TIME(0,0,0)</f>
        <v>41183</v>
      </c>
      <c r="C1278">
        <v>80</v>
      </c>
      <c r="D1278">
        <v>79.952461243000002</v>
      </c>
      <c r="E1278">
        <v>50</v>
      </c>
      <c r="F1278">
        <v>40.325054168999998</v>
      </c>
      <c r="G1278">
        <v>1379.6968993999999</v>
      </c>
      <c r="H1278">
        <v>1366.2745361</v>
      </c>
      <c r="I1278">
        <v>1281.3289795000001</v>
      </c>
      <c r="J1278">
        <v>1258.6147461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886.14542600000004</v>
      </c>
      <c r="B1279" s="1">
        <f>DATE(2012,10,3) + TIME(3,29,24)</f>
        <v>41185.145416666666</v>
      </c>
      <c r="C1279">
        <v>80</v>
      </c>
      <c r="D1279">
        <v>79.952514648000005</v>
      </c>
      <c r="E1279">
        <v>50</v>
      </c>
      <c r="F1279">
        <v>40.283599854000002</v>
      </c>
      <c r="G1279">
        <v>1379.6336670000001</v>
      </c>
      <c r="H1279">
        <v>1366.2175293</v>
      </c>
      <c r="I1279">
        <v>1281.2352295000001</v>
      </c>
      <c r="J1279">
        <v>1258.447876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888.33877399999994</v>
      </c>
      <c r="B1280" s="1">
        <f>DATE(2012,10,5) + TIME(8,7,50)</f>
        <v>41187.338773148149</v>
      </c>
      <c r="C1280">
        <v>80</v>
      </c>
      <c r="D1280">
        <v>79.952568053999997</v>
      </c>
      <c r="E1280">
        <v>50</v>
      </c>
      <c r="F1280">
        <v>40.253162383999999</v>
      </c>
      <c r="G1280">
        <v>1379.5700684000001</v>
      </c>
      <c r="H1280">
        <v>1366.1600341999999</v>
      </c>
      <c r="I1280">
        <v>1281.1448975000001</v>
      </c>
      <c r="J1280">
        <v>1258.2872314000001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890.54577200000006</v>
      </c>
      <c r="B1281" s="1">
        <f>DATE(2012,10,7) + TIME(13,5,54)</f>
        <v>41189.545763888891</v>
      </c>
      <c r="C1281">
        <v>80</v>
      </c>
      <c r="D1281">
        <v>79.952621460000003</v>
      </c>
      <c r="E1281">
        <v>50</v>
      </c>
      <c r="F1281">
        <v>40.234798431000002</v>
      </c>
      <c r="G1281">
        <v>1379.5054932</v>
      </c>
      <c r="H1281">
        <v>1366.1015625</v>
      </c>
      <c r="I1281">
        <v>1281.0578613</v>
      </c>
      <c r="J1281">
        <v>1258.1329346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892.75557700000002</v>
      </c>
      <c r="B1282" s="1">
        <f>DATE(2012,10,9) + TIME(18,8,1)</f>
        <v>41191.755567129629</v>
      </c>
      <c r="C1282">
        <v>80</v>
      </c>
      <c r="D1282">
        <v>79.952682495000005</v>
      </c>
      <c r="E1282">
        <v>50</v>
      </c>
      <c r="F1282">
        <v>40.229614257999998</v>
      </c>
      <c r="G1282">
        <v>1379.440918</v>
      </c>
      <c r="H1282">
        <v>1366.0429687999999</v>
      </c>
      <c r="I1282">
        <v>1280.9753418</v>
      </c>
      <c r="J1282">
        <v>1257.9873047000001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894.97531300000003</v>
      </c>
      <c r="B1283" s="1">
        <f>DATE(2012,10,11) + TIME(23,24,27)</f>
        <v>41193.975312499999</v>
      </c>
      <c r="C1283">
        <v>80</v>
      </c>
      <c r="D1283">
        <v>79.952735900999997</v>
      </c>
      <c r="E1283">
        <v>50</v>
      </c>
      <c r="F1283">
        <v>40.238327026</v>
      </c>
      <c r="G1283">
        <v>1379.3767089999999</v>
      </c>
      <c r="H1283">
        <v>1365.9847411999999</v>
      </c>
      <c r="I1283">
        <v>1280.8979492000001</v>
      </c>
      <c r="J1283">
        <v>1257.8516846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897.21082000000001</v>
      </c>
      <c r="B1284" s="1">
        <f>DATE(2012,10,14) + TIME(5,3,34)</f>
        <v>41196.210810185185</v>
      </c>
      <c r="C1284">
        <v>80</v>
      </c>
      <c r="D1284">
        <v>79.952789307000003</v>
      </c>
      <c r="E1284">
        <v>50</v>
      </c>
      <c r="F1284">
        <v>40.261493682999998</v>
      </c>
      <c r="G1284">
        <v>1379.3127440999999</v>
      </c>
      <c r="H1284">
        <v>1365.9266356999999</v>
      </c>
      <c r="I1284">
        <v>1280.8255615</v>
      </c>
      <c r="J1284">
        <v>1257.7261963000001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899.47287600000004</v>
      </c>
      <c r="B1285" s="1">
        <f>DATE(2012,10,16) + TIME(11,20,56)</f>
        <v>41198.472870370373</v>
      </c>
      <c r="C1285">
        <v>80</v>
      </c>
      <c r="D1285">
        <v>79.952850342000005</v>
      </c>
      <c r="E1285">
        <v>50</v>
      </c>
      <c r="F1285">
        <v>40.299671173</v>
      </c>
      <c r="G1285">
        <v>1379.2487793</v>
      </c>
      <c r="H1285">
        <v>1365.8685303</v>
      </c>
      <c r="I1285">
        <v>1280.7581786999999</v>
      </c>
      <c r="J1285">
        <v>1257.6107178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901.77336500000001</v>
      </c>
      <c r="B1286" s="1">
        <f>DATE(2012,10,18) + TIME(18,33,38)</f>
        <v>41200.773356481484</v>
      </c>
      <c r="C1286">
        <v>80</v>
      </c>
      <c r="D1286">
        <v>79.952903747999997</v>
      </c>
      <c r="E1286">
        <v>50</v>
      </c>
      <c r="F1286">
        <v>40.353515625</v>
      </c>
      <c r="G1286">
        <v>1379.1846923999999</v>
      </c>
      <c r="H1286">
        <v>1365.8100586</v>
      </c>
      <c r="I1286">
        <v>1280.6955565999999</v>
      </c>
      <c r="J1286">
        <v>1257.5053711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904.12095499999998</v>
      </c>
      <c r="B1287" s="1">
        <f>DATE(2012,10,21) + TIME(2,54,10)</f>
        <v>41203.120949074073</v>
      </c>
      <c r="C1287">
        <v>80</v>
      </c>
      <c r="D1287">
        <v>79.952964782999999</v>
      </c>
      <c r="E1287">
        <v>50</v>
      </c>
      <c r="F1287">
        <v>40.423793793000002</v>
      </c>
      <c r="G1287">
        <v>1379.1199951000001</v>
      </c>
      <c r="H1287">
        <v>1365.7509766000001</v>
      </c>
      <c r="I1287">
        <v>1280.6374512</v>
      </c>
      <c r="J1287">
        <v>1257.4099120999999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905.30360700000006</v>
      </c>
      <c r="B1288" s="1">
        <f>DATE(2012,10,22) + TIME(7,17,11)</f>
        <v>41204.303599537037</v>
      </c>
      <c r="C1288">
        <v>80</v>
      </c>
      <c r="D1288">
        <v>79.952987671000002</v>
      </c>
      <c r="E1288">
        <v>50</v>
      </c>
      <c r="F1288">
        <v>40.493133544999999</v>
      </c>
      <c r="G1288">
        <v>1379.0541992000001</v>
      </c>
      <c r="H1288">
        <v>1365.6910399999999</v>
      </c>
      <c r="I1288">
        <v>1280.5933838000001</v>
      </c>
      <c r="J1288">
        <v>1257.3327637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906.48625900000002</v>
      </c>
      <c r="B1289" s="1">
        <f>DATE(2012,10,23) + TIME(11,40,12)</f>
        <v>41205.486250000002</v>
      </c>
      <c r="C1289">
        <v>80</v>
      </c>
      <c r="D1289">
        <v>79.953018188000001</v>
      </c>
      <c r="E1289">
        <v>50</v>
      </c>
      <c r="F1289">
        <v>40.553611754999999</v>
      </c>
      <c r="G1289">
        <v>1379.0214844</v>
      </c>
      <c r="H1289">
        <v>1365.6610106999999</v>
      </c>
      <c r="I1289">
        <v>1280.5635986</v>
      </c>
      <c r="J1289">
        <v>1257.2902832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907.66891099999998</v>
      </c>
      <c r="B1290" s="1">
        <f>DATE(2012,10,24) + TIME(16,3,13)</f>
        <v>41206.668900462966</v>
      </c>
      <c r="C1290">
        <v>80</v>
      </c>
      <c r="D1290">
        <v>79.953048706000004</v>
      </c>
      <c r="E1290">
        <v>50</v>
      </c>
      <c r="F1290">
        <v>40.612609863000003</v>
      </c>
      <c r="G1290">
        <v>1378.9888916</v>
      </c>
      <c r="H1290">
        <v>1365.6313477000001</v>
      </c>
      <c r="I1290">
        <v>1280.5385742000001</v>
      </c>
      <c r="J1290">
        <v>1257.2539062000001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910.03421500000002</v>
      </c>
      <c r="B1291" s="1">
        <f>DATE(2012,10,27) + TIME(0,49,16)</f>
        <v>41209.034212962964</v>
      </c>
      <c r="C1291">
        <v>80</v>
      </c>
      <c r="D1291">
        <v>79.953117371000005</v>
      </c>
      <c r="E1291">
        <v>50</v>
      </c>
      <c r="F1291">
        <v>40.688598632999998</v>
      </c>
      <c r="G1291">
        <v>1378.9567870999999</v>
      </c>
      <c r="H1291">
        <v>1365.6019286999999</v>
      </c>
      <c r="I1291">
        <v>1280.5098877</v>
      </c>
      <c r="J1291">
        <v>1257.2178954999999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912.40063799999996</v>
      </c>
      <c r="B1292" s="1">
        <f>DATE(2012,10,29) + TIME(9,36,55)</f>
        <v>41211.400636574072</v>
      </c>
      <c r="C1292">
        <v>80</v>
      </c>
      <c r="D1292">
        <v>79.953178406000006</v>
      </c>
      <c r="E1292">
        <v>50</v>
      </c>
      <c r="F1292">
        <v>40.804916382000002</v>
      </c>
      <c r="G1292">
        <v>1378.8925781</v>
      </c>
      <c r="H1292">
        <v>1365.5432129000001</v>
      </c>
      <c r="I1292">
        <v>1280.4742432</v>
      </c>
      <c r="J1292">
        <v>1257.1646728999999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914.80909999999994</v>
      </c>
      <c r="B1293" s="1">
        <f>DATE(2012,10,31) + TIME(19,25,6)</f>
        <v>41213.80909722222</v>
      </c>
      <c r="C1293">
        <v>80</v>
      </c>
      <c r="D1293">
        <v>79.953239440999994</v>
      </c>
      <c r="E1293">
        <v>50</v>
      </c>
      <c r="F1293">
        <v>40.942260742000002</v>
      </c>
      <c r="G1293">
        <v>1378.8289795000001</v>
      </c>
      <c r="H1293">
        <v>1365.4849853999999</v>
      </c>
      <c r="I1293">
        <v>1280.4404297000001</v>
      </c>
      <c r="J1293">
        <v>1257.1204834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915</v>
      </c>
      <c r="B1294" s="1">
        <f>DATE(2012,11,1) + TIME(0,0,0)</f>
        <v>41214</v>
      </c>
      <c r="C1294">
        <v>80</v>
      </c>
      <c r="D1294">
        <v>79.953231811999999</v>
      </c>
      <c r="E1294">
        <v>50</v>
      </c>
      <c r="F1294">
        <v>40.981399535999998</v>
      </c>
      <c r="G1294">
        <v>1378.7653809000001</v>
      </c>
      <c r="H1294">
        <v>1365.4267577999999</v>
      </c>
      <c r="I1294">
        <v>1280.4465332</v>
      </c>
      <c r="J1294">
        <v>1257.0969238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915.000001</v>
      </c>
      <c r="B1295" s="1">
        <f>DATE(2012,11,1) + TIME(0,0,0)</f>
        <v>41214</v>
      </c>
      <c r="C1295">
        <v>80</v>
      </c>
      <c r="D1295">
        <v>79.952758789000001</v>
      </c>
      <c r="E1295">
        <v>50</v>
      </c>
      <c r="F1295">
        <v>40.981933593999997</v>
      </c>
      <c r="G1295">
        <v>1361.324707</v>
      </c>
      <c r="H1295">
        <v>1349.3469238</v>
      </c>
      <c r="I1295">
        <v>1308.2889404</v>
      </c>
      <c r="J1295">
        <v>1285.1430664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915.00000399999999</v>
      </c>
      <c r="B1296" s="1">
        <f>DATE(2012,11,1) + TIME(0,0,0)</f>
        <v>41214</v>
      </c>
      <c r="C1296">
        <v>80</v>
      </c>
      <c r="D1296">
        <v>79.952003478999998</v>
      </c>
      <c r="E1296">
        <v>50</v>
      </c>
      <c r="F1296">
        <v>40.982986449999999</v>
      </c>
      <c r="G1296">
        <v>1354.7540283000001</v>
      </c>
      <c r="H1296">
        <v>1342.7753906</v>
      </c>
      <c r="I1296">
        <v>1317.2789307</v>
      </c>
      <c r="J1296">
        <v>1294.2965088000001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915.00001299999997</v>
      </c>
      <c r="B1297" s="1">
        <f>DATE(2012,11,1) + TIME(0,0,1)</f>
        <v>41214.000011574077</v>
      </c>
      <c r="C1297">
        <v>80</v>
      </c>
      <c r="D1297">
        <v>79.951126099000007</v>
      </c>
      <c r="E1297">
        <v>50</v>
      </c>
      <c r="F1297">
        <v>40.984500885000003</v>
      </c>
      <c r="G1297">
        <v>1347.1523437999999</v>
      </c>
      <c r="H1297">
        <v>1335.1788329999999</v>
      </c>
      <c r="I1297">
        <v>1329.9465332</v>
      </c>
      <c r="J1297">
        <v>1307.0151367000001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915.00004000000001</v>
      </c>
      <c r="B1298" s="1">
        <f>DATE(2012,11,1) + TIME(0,0,3)</f>
        <v>41214.000034722223</v>
      </c>
      <c r="C1298">
        <v>80</v>
      </c>
      <c r="D1298">
        <v>79.950256347999996</v>
      </c>
      <c r="E1298">
        <v>50</v>
      </c>
      <c r="F1298">
        <v>40.986328125</v>
      </c>
      <c r="G1298">
        <v>1339.6577147999999</v>
      </c>
      <c r="H1298">
        <v>1327.6921387</v>
      </c>
      <c r="I1298">
        <v>1343.7263184000001</v>
      </c>
      <c r="J1298">
        <v>1320.7882079999999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915.00012100000004</v>
      </c>
      <c r="B1299" s="1">
        <f>DATE(2012,11,1) + TIME(0,0,10)</f>
        <v>41214.000115740739</v>
      </c>
      <c r="C1299">
        <v>80</v>
      </c>
      <c r="D1299">
        <v>79.949386597</v>
      </c>
      <c r="E1299">
        <v>50</v>
      </c>
      <c r="F1299">
        <v>40.988754272000001</v>
      </c>
      <c r="G1299">
        <v>1332.3022461</v>
      </c>
      <c r="H1299">
        <v>1320.3342285000001</v>
      </c>
      <c r="I1299">
        <v>1357.5694579999999</v>
      </c>
      <c r="J1299">
        <v>1334.6257324000001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915.00036399999999</v>
      </c>
      <c r="B1300" s="1">
        <f>DATE(2012,11,1) + TIME(0,0,31)</f>
        <v>41214.000358796293</v>
      </c>
      <c r="C1300">
        <v>80</v>
      </c>
      <c r="D1300">
        <v>79.948471068999993</v>
      </c>
      <c r="E1300">
        <v>50</v>
      </c>
      <c r="F1300">
        <v>40.992969512999998</v>
      </c>
      <c r="G1300">
        <v>1324.7763672000001</v>
      </c>
      <c r="H1300">
        <v>1312.7348632999999</v>
      </c>
      <c r="I1300">
        <v>1371.6149902</v>
      </c>
      <c r="J1300">
        <v>1348.6202393000001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915.00109299999997</v>
      </c>
      <c r="B1301" s="1">
        <f>DATE(2012,11,1) + TIME(0,1,34)</f>
        <v>41214.001087962963</v>
      </c>
      <c r="C1301">
        <v>80</v>
      </c>
      <c r="D1301">
        <v>79.947395325000002</v>
      </c>
      <c r="E1301">
        <v>50</v>
      </c>
      <c r="F1301">
        <v>41.002498627000001</v>
      </c>
      <c r="G1301">
        <v>1316.8569336</v>
      </c>
      <c r="H1301">
        <v>1304.6688231999999</v>
      </c>
      <c r="I1301">
        <v>1385.3858643000001</v>
      </c>
      <c r="J1301">
        <v>1362.2574463000001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915.00328000000002</v>
      </c>
      <c r="B1302" s="1">
        <f>DATE(2012,11,1) + TIME(0,4,43)</f>
        <v>41214.003275462965</v>
      </c>
      <c r="C1302">
        <v>80</v>
      </c>
      <c r="D1302">
        <v>79.946052550999994</v>
      </c>
      <c r="E1302">
        <v>50</v>
      </c>
      <c r="F1302">
        <v>41.027873993</v>
      </c>
      <c r="G1302">
        <v>1309.4643555</v>
      </c>
      <c r="H1302">
        <v>1297.1713867000001</v>
      </c>
      <c r="I1302">
        <v>1396.6772461</v>
      </c>
      <c r="J1302">
        <v>1373.3937988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915.00984100000005</v>
      </c>
      <c r="B1303" s="1">
        <f>DATE(2012,11,1) + TIME(0,14,10)</f>
        <v>41214.009837962964</v>
      </c>
      <c r="C1303">
        <v>80</v>
      </c>
      <c r="D1303">
        <v>79.944038391000007</v>
      </c>
      <c r="E1303">
        <v>50</v>
      </c>
      <c r="F1303">
        <v>41.100681305000002</v>
      </c>
      <c r="G1303">
        <v>1304.6627197</v>
      </c>
      <c r="H1303">
        <v>1292.3319091999999</v>
      </c>
      <c r="I1303">
        <v>1402.8304443</v>
      </c>
      <c r="J1303">
        <v>1379.4776611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915.02952400000004</v>
      </c>
      <c r="B1304" s="1">
        <f>DATE(2012,11,1) + TIME(0,42,30)</f>
        <v>41214.029513888891</v>
      </c>
      <c r="C1304">
        <v>80</v>
      </c>
      <c r="D1304">
        <v>79.939544678000004</v>
      </c>
      <c r="E1304">
        <v>50</v>
      </c>
      <c r="F1304">
        <v>41.312343597000002</v>
      </c>
      <c r="G1304">
        <v>1303.0013428</v>
      </c>
      <c r="H1304">
        <v>1290.6616211</v>
      </c>
      <c r="I1304">
        <v>1404.3138428</v>
      </c>
      <c r="J1304">
        <v>1381.0224608999999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915.08122700000001</v>
      </c>
      <c r="B1305" s="1">
        <f>DATE(2012,11,1) + TIME(1,56,57)</f>
        <v>41214.08121527778</v>
      </c>
      <c r="C1305">
        <v>80</v>
      </c>
      <c r="D1305">
        <v>79.928672790999997</v>
      </c>
      <c r="E1305">
        <v>50</v>
      </c>
      <c r="F1305">
        <v>41.834579468000001</v>
      </c>
      <c r="G1305">
        <v>1302.7454834</v>
      </c>
      <c r="H1305">
        <v>1290.4040527</v>
      </c>
      <c r="I1305">
        <v>1404.0748291</v>
      </c>
      <c r="J1305">
        <v>1380.9989014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915.13521400000002</v>
      </c>
      <c r="B1306" s="1">
        <f>DATE(2012,11,1) + TIME(3,14,42)</f>
        <v>41214.135208333333</v>
      </c>
      <c r="C1306">
        <v>80</v>
      </c>
      <c r="D1306">
        <v>79.917564392000003</v>
      </c>
      <c r="E1306">
        <v>50</v>
      </c>
      <c r="F1306">
        <v>42.346050261999999</v>
      </c>
      <c r="G1306">
        <v>1302.7252197</v>
      </c>
      <c r="H1306">
        <v>1290.3831786999999</v>
      </c>
      <c r="I1306">
        <v>1403.7329102000001</v>
      </c>
      <c r="J1306">
        <v>1380.8576660000001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915.19170999999994</v>
      </c>
      <c r="B1307" s="1">
        <f>DATE(2012,11,1) + TIME(4,36,3)</f>
        <v>41214.191701388889</v>
      </c>
      <c r="C1307">
        <v>80</v>
      </c>
      <c r="D1307">
        <v>79.906173706000004</v>
      </c>
      <c r="E1307">
        <v>50</v>
      </c>
      <c r="F1307">
        <v>42.846576691000003</v>
      </c>
      <c r="G1307">
        <v>1302.7214355000001</v>
      </c>
      <c r="H1307">
        <v>1290.3789062000001</v>
      </c>
      <c r="I1307">
        <v>1403.4007568</v>
      </c>
      <c r="J1307">
        <v>1380.7192382999999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915.25099599999999</v>
      </c>
      <c r="B1308" s="1">
        <f>DATE(2012,11,1) + TIME(6,1,26)</f>
        <v>41214.25099537037</v>
      </c>
      <c r="C1308">
        <v>80</v>
      </c>
      <c r="D1308">
        <v>79.894454956000004</v>
      </c>
      <c r="E1308">
        <v>50</v>
      </c>
      <c r="F1308">
        <v>43.336112976000003</v>
      </c>
      <c r="G1308">
        <v>1302.7188721</v>
      </c>
      <c r="H1308">
        <v>1290.3758545000001</v>
      </c>
      <c r="I1308">
        <v>1403.0795897999999</v>
      </c>
      <c r="J1308">
        <v>1380.5845947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915.313399</v>
      </c>
      <c r="B1309" s="1">
        <f>DATE(2012,11,1) + TIME(7,31,17)</f>
        <v>41214.313391203701</v>
      </c>
      <c r="C1309">
        <v>80</v>
      </c>
      <c r="D1309">
        <v>79.882362365999995</v>
      </c>
      <c r="E1309">
        <v>50</v>
      </c>
      <c r="F1309">
        <v>43.814594268999997</v>
      </c>
      <c r="G1309">
        <v>1302.7163086</v>
      </c>
      <c r="H1309">
        <v>1290.3728027</v>
      </c>
      <c r="I1309">
        <v>1402.7684326000001</v>
      </c>
      <c r="J1309">
        <v>1380.453125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915.37930500000004</v>
      </c>
      <c r="B1310" s="1">
        <f>DATE(2012,11,1) + TIME(9,6,11)</f>
        <v>41214.379293981481</v>
      </c>
      <c r="C1310">
        <v>80</v>
      </c>
      <c r="D1310">
        <v>79.869850158999995</v>
      </c>
      <c r="E1310">
        <v>50</v>
      </c>
      <c r="F1310">
        <v>44.281913756999998</v>
      </c>
      <c r="G1310">
        <v>1302.7136230000001</v>
      </c>
      <c r="H1310">
        <v>1290.3695068</v>
      </c>
      <c r="I1310">
        <v>1402.4666748</v>
      </c>
      <c r="J1310">
        <v>1380.3244629000001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915.44917099999998</v>
      </c>
      <c r="B1311" s="1">
        <f>DATE(2012,11,1) + TIME(10,46,48)</f>
        <v>41214.449166666665</v>
      </c>
      <c r="C1311">
        <v>80</v>
      </c>
      <c r="D1311">
        <v>79.856857300000001</v>
      </c>
      <c r="E1311">
        <v>50</v>
      </c>
      <c r="F1311">
        <v>44.737911224000001</v>
      </c>
      <c r="G1311">
        <v>1302.7106934000001</v>
      </c>
      <c r="H1311">
        <v>1290.3659668</v>
      </c>
      <c r="I1311">
        <v>1402.1739502</v>
      </c>
      <c r="J1311">
        <v>1380.1982422000001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915.52354700000001</v>
      </c>
      <c r="B1312" s="1">
        <f>DATE(2012,11,1) + TIME(12,33,54)</f>
        <v>41214.523541666669</v>
      </c>
      <c r="C1312">
        <v>80</v>
      </c>
      <c r="D1312">
        <v>79.843315125000004</v>
      </c>
      <c r="E1312">
        <v>50</v>
      </c>
      <c r="F1312">
        <v>45.182380676000001</v>
      </c>
      <c r="G1312">
        <v>1302.7076416</v>
      </c>
      <c r="H1312">
        <v>1290.3623047000001</v>
      </c>
      <c r="I1312">
        <v>1401.8895264</v>
      </c>
      <c r="J1312">
        <v>1380.0743408000001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915.60309900000004</v>
      </c>
      <c r="B1313" s="1">
        <f>DATE(2012,11,1) + TIME(14,28,27)</f>
        <v>41214.603090277778</v>
      </c>
      <c r="C1313">
        <v>80</v>
      </c>
      <c r="D1313">
        <v>79.829139709000003</v>
      </c>
      <c r="E1313">
        <v>50</v>
      </c>
      <c r="F1313">
        <v>45.615051270000002</v>
      </c>
      <c r="G1313">
        <v>1302.7042236</v>
      </c>
      <c r="H1313">
        <v>1290.3583983999999</v>
      </c>
      <c r="I1313">
        <v>1401.6132812000001</v>
      </c>
      <c r="J1313">
        <v>1379.9522704999999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915.68864399999995</v>
      </c>
      <c r="B1314" s="1">
        <f>DATE(2012,11,1) + TIME(16,31,38)</f>
        <v>41214.688634259262</v>
      </c>
      <c r="C1314">
        <v>80</v>
      </c>
      <c r="D1314">
        <v>79.814231872999997</v>
      </c>
      <c r="E1314">
        <v>50</v>
      </c>
      <c r="F1314">
        <v>46.035587311</v>
      </c>
      <c r="G1314">
        <v>1302.7006836</v>
      </c>
      <c r="H1314">
        <v>1290.354126</v>
      </c>
      <c r="I1314">
        <v>1401.3443603999999</v>
      </c>
      <c r="J1314">
        <v>1379.8319091999999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915.781203</v>
      </c>
      <c r="B1315" s="1">
        <f>DATE(2012,11,1) + TIME(18,44,55)</f>
        <v>41214.781192129631</v>
      </c>
      <c r="C1315">
        <v>80</v>
      </c>
      <c r="D1315">
        <v>79.798461914000001</v>
      </c>
      <c r="E1315">
        <v>50</v>
      </c>
      <c r="F1315">
        <v>46.443565368999998</v>
      </c>
      <c r="G1315">
        <v>1302.6968993999999</v>
      </c>
      <c r="H1315">
        <v>1290.3496094</v>
      </c>
      <c r="I1315">
        <v>1401.0826416</v>
      </c>
      <c r="J1315">
        <v>1379.7126464999999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915.88205800000003</v>
      </c>
      <c r="B1316" s="1">
        <f>DATE(2012,11,1) + TIME(21,10,9)</f>
        <v>41214.882048611114</v>
      </c>
      <c r="C1316">
        <v>80</v>
      </c>
      <c r="D1316">
        <v>79.781692504999995</v>
      </c>
      <c r="E1316">
        <v>50</v>
      </c>
      <c r="F1316">
        <v>46.838424683</v>
      </c>
      <c r="G1316">
        <v>1302.6926269999999</v>
      </c>
      <c r="H1316">
        <v>1290.3447266000001</v>
      </c>
      <c r="I1316">
        <v>1400.8275146000001</v>
      </c>
      <c r="J1316">
        <v>1379.5944824000001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915.99286199999995</v>
      </c>
      <c r="B1317" s="1">
        <f>DATE(2012,11,1) + TIME(23,49,43)</f>
        <v>41214.992858796293</v>
      </c>
      <c r="C1317">
        <v>80</v>
      </c>
      <c r="D1317">
        <v>79.763710021999998</v>
      </c>
      <c r="E1317">
        <v>50</v>
      </c>
      <c r="F1317">
        <v>47.219490051000001</v>
      </c>
      <c r="G1317">
        <v>1302.6881103999999</v>
      </c>
      <c r="H1317">
        <v>1290.3393555</v>
      </c>
      <c r="I1317">
        <v>1400.5787353999999</v>
      </c>
      <c r="J1317">
        <v>1379.4766846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916.11582399999998</v>
      </c>
      <c r="B1318" s="1">
        <f>DATE(2012,11,2) + TIME(2,46,47)</f>
        <v>41215.11582175926</v>
      </c>
      <c r="C1318">
        <v>80</v>
      </c>
      <c r="D1318">
        <v>79.744270325000002</v>
      </c>
      <c r="E1318">
        <v>50</v>
      </c>
      <c r="F1318">
        <v>47.585994720000002</v>
      </c>
      <c r="G1318">
        <v>1302.6832274999999</v>
      </c>
      <c r="H1318">
        <v>1290.3334961</v>
      </c>
      <c r="I1318">
        <v>1400.3355713000001</v>
      </c>
      <c r="J1318">
        <v>1379.3590088000001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916.25391300000001</v>
      </c>
      <c r="B1319" s="1">
        <f>DATE(2012,11,2) + TIME(6,5,38)</f>
        <v>41215.253912037035</v>
      </c>
      <c r="C1319">
        <v>80</v>
      </c>
      <c r="D1319">
        <v>79.723037719999994</v>
      </c>
      <c r="E1319">
        <v>50</v>
      </c>
      <c r="F1319">
        <v>47.936897278000004</v>
      </c>
      <c r="G1319">
        <v>1302.6777344</v>
      </c>
      <c r="H1319">
        <v>1290.3271483999999</v>
      </c>
      <c r="I1319">
        <v>1400.0975341999999</v>
      </c>
      <c r="J1319">
        <v>1379.2408447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916.41127100000006</v>
      </c>
      <c r="B1320" s="1">
        <f>DATE(2012,11,2) + TIME(9,52,13)</f>
        <v>41215.411261574074</v>
      </c>
      <c r="C1320">
        <v>80</v>
      </c>
      <c r="D1320">
        <v>79.699554442999997</v>
      </c>
      <c r="E1320">
        <v>50</v>
      </c>
      <c r="F1320">
        <v>48.270885468000003</v>
      </c>
      <c r="G1320">
        <v>1302.6715088000001</v>
      </c>
      <c r="H1320">
        <v>1290.3199463000001</v>
      </c>
      <c r="I1320">
        <v>1399.8642577999999</v>
      </c>
      <c r="J1320">
        <v>1379.1213379000001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916.59389699999997</v>
      </c>
      <c r="B1321" s="1">
        <f>DATE(2012,11,2) + TIME(14,15,12)</f>
        <v>41215.593888888892</v>
      </c>
      <c r="C1321">
        <v>80</v>
      </c>
      <c r="D1321">
        <v>79.673187256000006</v>
      </c>
      <c r="E1321">
        <v>50</v>
      </c>
      <c r="F1321">
        <v>48.58625412</v>
      </c>
      <c r="G1321">
        <v>1302.6645507999999</v>
      </c>
      <c r="H1321">
        <v>1290.3117675999999</v>
      </c>
      <c r="I1321">
        <v>1399.6348877</v>
      </c>
      <c r="J1321">
        <v>1378.9997559000001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916.80229999999995</v>
      </c>
      <c r="B1322" s="1">
        <f>DATE(2012,11,2) + TIME(19,15,18)</f>
        <v>41215.802291666667</v>
      </c>
      <c r="C1322">
        <v>80</v>
      </c>
      <c r="D1322">
        <v>79.643966675000001</v>
      </c>
      <c r="E1322">
        <v>50</v>
      </c>
      <c r="F1322">
        <v>48.871528625000003</v>
      </c>
      <c r="G1322">
        <v>1302.6564940999999</v>
      </c>
      <c r="H1322">
        <v>1290.3024902</v>
      </c>
      <c r="I1322">
        <v>1399.4149170000001</v>
      </c>
      <c r="J1322">
        <v>1378.8778076000001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917.011124</v>
      </c>
      <c r="B1323" s="1">
        <f>DATE(2012,11,3) + TIME(0,16,1)</f>
        <v>41216.011122685188</v>
      </c>
      <c r="C1323">
        <v>80</v>
      </c>
      <c r="D1323">
        <v>79.614715575999995</v>
      </c>
      <c r="E1323">
        <v>50</v>
      </c>
      <c r="F1323">
        <v>49.098030090000002</v>
      </c>
      <c r="G1323">
        <v>1302.6472168</v>
      </c>
      <c r="H1323">
        <v>1290.2919922000001</v>
      </c>
      <c r="I1323">
        <v>1399.2230225000001</v>
      </c>
      <c r="J1323">
        <v>1378.7640381000001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917.22500300000002</v>
      </c>
      <c r="B1324" s="1">
        <f>DATE(2012,11,3) + TIME(5,24,0)</f>
        <v>41216.224999999999</v>
      </c>
      <c r="C1324">
        <v>80</v>
      </c>
      <c r="D1324">
        <v>79.584960937999995</v>
      </c>
      <c r="E1324">
        <v>50</v>
      </c>
      <c r="F1324">
        <v>49.28093338</v>
      </c>
      <c r="G1324">
        <v>1302.6379394999999</v>
      </c>
      <c r="H1324">
        <v>1290.2816161999999</v>
      </c>
      <c r="I1324">
        <v>1399.0550536999999</v>
      </c>
      <c r="J1324">
        <v>1378.6605225000001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917.44594800000004</v>
      </c>
      <c r="B1325" s="1">
        <f>DATE(2012,11,3) + TIME(10,42,9)</f>
        <v>41216.445937500001</v>
      </c>
      <c r="C1325">
        <v>80</v>
      </c>
      <c r="D1325">
        <v>79.554481506000002</v>
      </c>
      <c r="E1325">
        <v>50</v>
      </c>
      <c r="F1325">
        <v>49.428886413999997</v>
      </c>
      <c r="G1325">
        <v>1302.628418</v>
      </c>
      <c r="H1325">
        <v>1290.270874</v>
      </c>
      <c r="I1325">
        <v>1398.9056396000001</v>
      </c>
      <c r="J1325">
        <v>1378.5646973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917.676244</v>
      </c>
      <c r="B1326" s="1">
        <f>DATE(2012,11,3) + TIME(16,13,47)</f>
        <v>41216.676238425927</v>
      </c>
      <c r="C1326">
        <v>80</v>
      </c>
      <c r="D1326">
        <v>79.523056030000006</v>
      </c>
      <c r="E1326">
        <v>50</v>
      </c>
      <c r="F1326">
        <v>49.548568725999999</v>
      </c>
      <c r="G1326">
        <v>1302.6187743999999</v>
      </c>
      <c r="H1326">
        <v>1290.2598877</v>
      </c>
      <c r="I1326">
        <v>1398.770874</v>
      </c>
      <c r="J1326">
        <v>1378.4748535000001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917.91837399999997</v>
      </c>
      <c r="B1327" s="1">
        <f>DATE(2012,11,3) + TIME(22,2,27)</f>
        <v>41216.918368055558</v>
      </c>
      <c r="C1327">
        <v>80</v>
      </c>
      <c r="D1327">
        <v>79.490425110000004</v>
      </c>
      <c r="E1327">
        <v>50</v>
      </c>
      <c r="F1327">
        <v>49.645149230999998</v>
      </c>
      <c r="G1327">
        <v>1302.6087646000001</v>
      </c>
      <c r="H1327">
        <v>1290.2485352000001</v>
      </c>
      <c r="I1327">
        <v>1398.6479492000001</v>
      </c>
      <c r="J1327">
        <v>1378.3895264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918.17519200000004</v>
      </c>
      <c r="B1328" s="1">
        <f>DATE(2012,11,4) + TIME(4,12,16)</f>
        <v>41217.175185185188</v>
      </c>
      <c r="C1328">
        <v>80</v>
      </c>
      <c r="D1328">
        <v>79.456283568999993</v>
      </c>
      <c r="E1328">
        <v>50</v>
      </c>
      <c r="F1328">
        <v>49.722709655999999</v>
      </c>
      <c r="G1328">
        <v>1302.5982666</v>
      </c>
      <c r="H1328">
        <v>1290.2365723</v>
      </c>
      <c r="I1328">
        <v>1398.5341797000001</v>
      </c>
      <c r="J1328">
        <v>1378.3078613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918.45008099999995</v>
      </c>
      <c r="B1329" s="1">
        <f>DATE(2012,11,4) + TIME(10,48,6)</f>
        <v>41217.450069444443</v>
      </c>
      <c r="C1329">
        <v>80</v>
      </c>
      <c r="D1329">
        <v>79.420295714999995</v>
      </c>
      <c r="E1329">
        <v>50</v>
      </c>
      <c r="F1329">
        <v>49.784549712999997</v>
      </c>
      <c r="G1329">
        <v>1302.5871582</v>
      </c>
      <c r="H1329">
        <v>1290.223999</v>
      </c>
      <c r="I1329">
        <v>1398.4276123</v>
      </c>
      <c r="J1329">
        <v>1378.2285156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918.74728000000005</v>
      </c>
      <c r="B1330" s="1">
        <f>DATE(2012,11,4) + TIME(17,56,4)</f>
        <v>41217.74726851852</v>
      </c>
      <c r="C1330">
        <v>80</v>
      </c>
      <c r="D1330">
        <v>79.382034301999994</v>
      </c>
      <c r="E1330">
        <v>50</v>
      </c>
      <c r="F1330">
        <v>49.833385468000003</v>
      </c>
      <c r="G1330">
        <v>1302.5753173999999</v>
      </c>
      <c r="H1330">
        <v>1290.2105713000001</v>
      </c>
      <c r="I1330">
        <v>1398.3265381000001</v>
      </c>
      <c r="J1330">
        <v>1378.1508789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919.06831</v>
      </c>
      <c r="B1331" s="1">
        <f>DATE(2012,11,5) + TIME(1,38,21)</f>
        <v>41218.068298611113</v>
      </c>
      <c r="C1331">
        <v>80</v>
      </c>
      <c r="D1331">
        <v>79.341331482000001</v>
      </c>
      <c r="E1331">
        <v>50</v>
      </c>
      <c r="F1331">
        <v>49.871143341</v>
      </c>
      <c r="G1331">
        <v>1302.5626221</v>
      </c>
      <c r="H1331">
        <v>1290.1960449000001</v>
      </c>
      <c r="I1331">
        <v>1398.2292480000001</v>
      </c>
      <c r="J1331">
        <v>1378.0739745999999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919.41548</v>
      </c>
      <c r="B1332" s="1">
        <f>DATE(2012,11,5) + TIME(9,58,17)</f>
        <v>41218.41547453704</v>
      </c>
      <c r="C1332">
        <v>80</v>
      </c>
      <c r="D1332">
        <v>79.297950744999994</v>
      </c>
      <c r="E1332">
        <v>50</v>
      </c>
      <c r="F1332">
        <v>49.899757385000001</v>
      </c>
      <c r="G1332">
        <v>1302.5488281</v>
      </c>
      <c r="H1332">
        <v>1290.1805420000001</v>
      </c>
      <c r="I1332">
        <v>1398.1352539</v>
      </c>
      <c r="J1332">
        <v>1377.9975586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919.79508799999996</v>
      </c>
      <c r="B1333" s="1">
        <f>DATE(2012,11,5) + TIME(19,4,55)</f>
        <v>41218.795081018521</v>
      </c>
      <c r="C1333">
        <v>80</v>
      </c>
      <c r="D1333">
        <v>79.251312256000006</v>
      </c>
      <c r="E1333">
        <v>50</v>
      </c>
      <c r="F1333">
        <v>49.921131133999999</v>
      </c>
      <c r="G1333">
        <v>1302.5340576000001</v>
      </c>
      <c r="H1333">
        <v>1290.1636963000001</v>
      </c>
      <c r="I1333">
        <v>1398.0435791</v>
      </c>
      <c r="J1333">
        <v>1377.9215088000001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920.21500200000003</v>
      </c>
      <c r="B1334" s="1">
        <f>DATE(2012,11,6) + TIME(5,9,36)</f>
        <v>41219.214999999997</v>
      </c>
      <c r="C1334">
        <v>80</v>
      </c>
      <c r="D1334">
        <v>79.200714110999996</v>
      </c>
      <c r="E1334">
        <v>50</v>
      </c>
      <c r="F1334">
        <v>49.936809539999999</v>
      </c>
      <c r="G1334">
        <v>1302.5179443</v>
      </c>
      <c r="H1334">
        <v>1290.1453856999999</v>
      </c>
      <c r="I1334">
        <v>1397.9526367000001</v>
      </c>
      <c r="J1334">
        <v>1377.8449707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920.65148399999998</v>
      </c>
      <c r="B1335" s="1">
        <f>DATE(2012,11,6) + TIME(15,38,8)</f>
        <v>41219.65148148148</v>
      </c>
      <c r="C1335">
        <v>80</v>
      </c>
      <c r="D1335">
        <v>79.147895813000005</v>
      </c>
      <c r="E1335">
        <v>50</v>
      </c>
      <c r="F1335">
        <v>49.947517394999998</v>
      </c>
      <c r="G1335">
        <v>1302.5</v>
      </c>
      <c r="H1335">
        <v>1290.1252440999999</v>
      </c>
      <c r="I1335">
        <v>1397.8614502</v>
      </c>
      <c r="J1335">
        <v>1377.7669678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921.098027</v>
      </c>
      <c r="B1336" s="1">
        <f>DATE(2012,11,7) + TIME(2,21,9)</f>
        <v>41220.098020833335</v>
      </c>
      <c r="C1336">
        <v>80</v>
      </c>
      <c r="D1336">
        <v>79.093589782999999</v>
      </c>
      <c r="E1336">
        <v>50</v>
      </c>
      <c r="F1336">
        <v>49.954696654999999</v>
      </c>
      <c r="G1336">
        <v>1302.4814452999999</v>
      </c>
      <c r="H1336">
        <v>1290.1043701000001</v>
      </c>
      <c r="I1336">
        <v>1397.7745361</v>
      </c>
      <c r="J1336">
        <v>1377.6920166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921.56090200000006</v>
      </c>
      <c r="B1337" s="1">
        <f>DATE(2012,11,7) + TIME(13,27,41)</f>
        <v>41220.560891203706</v>
      </c>
      <c r="C1337">
        <v>80</v>
      </c>
      <c r="D1337">
        <v>79.037567139000004</v>
      </c>
      <c r="E1337">
        <v>50</v>
      </c>
      <c r="F1337">
        <v>49.959541321000003</v>
      </c>
      <c r="G1337">
        <v>1302.4624022999999</v>
      </c>
      <c r="H1337">
        <v>1290.0828856999999</v>
      </c>
      <c r="I1337">
        <v>1397.6923827999999</v>
      </c>
      <c r="J1337">
        <v>1377.6209716999999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922.03895999999997</v>
      </c>
      <c r="B1338" s="1">
        <f>DATE(2012,11,8) + TIME(0,56,6)</f>
        <v>41221.038958333331</v>
      </c>
      <c r="C1338">
        <v>80</v>
      </c>
      <c r="D1338">
        <v>78.980018615999995</v>
      </c>
      <c r="E1338">
        <v>50</v>
      </c>
      <c r="F1338">
        <v>49.962795258</v>
      </c>
      <c r="G1338">
        <v>1302.4428711</v>
      </c>
      <c r="H1338">
        <v>1290.0607910000001</v>
      </c>
      <c r="I1338">
        <v>1397.6134033000001</v>
      </c>
      <c r="J1338">
        <v>1377.5523682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922.53443500000003</v>
      </c>
      <c r="B1339" s="1">
        <f>DATE(2012,11,8) + TIME(12,49,35)</f>
        <v>41221.534432870372</v>
      </c>
      <c r="C1339">
        <v>80</v>
      </c>
      <c r="D1339">
        <v>78.920867920000006</v>
      </c>
      <c r="E1339">
        <v>50</v>
      </c>
      <c r="F1339">
        <v>49.964977263999998</v>
      </c>
      <c r="G1339">
        <v>1302.4226074000001</v>
      </c>
      <c r="H1339">
        <v>1290.0378418</v>
      </c>
      <c r="I1339">
        <v>1397.5372314000001</v>
      </c>
      <c r="J1339">
        <v>1377.4862060999999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923.05275400000005</v>
      </c>
      <c r="B1340" s="1">
        <f>DATE(2012,11,9) + TIME(1,15,57)</f>
        <v>41222.052743055552</v>
      </c>
      <c r="C1340">
        <v>80</v>
      </c>
      <c r="D1340">
        <v>78.859764099000003</v>
      </c>
      <c r="E1340">
        <v>50</v>
      </c>
      <c r="F1340">
        <v>49.966453551999997</v>
      </c>
      <c r="G1340">
        <v>1302.4016113</v>
      </c>
      <c r="H1340">
        <v>1290.0141602000001</v>
      </c>
      <c r="I1340">
        <v>1397.463501</v>
      </c>
      <c r="J1340">
        <v>1377.4221190999999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923.59996599999999</v>
      </c>
      <c r="B1341" s="1">
        <f>DATE(2012,11,9) + TIME(14,23,57)</f>
        <v>41222.599965277775</v>
      </c>
      <c r="C1341">
        <v>80</v>
      </c>
      <c r="D1341">
        <v>78.796226501000007</v>
      </c>
      <c r="E1341">
        <v>50</v>
      </c>
      <c r="F1341">
        <v>49.967460631999998</v>
      </c>
      <c r="G1341">
        <v>1302.3797606999999</v>
      </c>
      <c r="H1341">
        <v>1289.9893798999999</v>
      </c>
      <c r="I1341">
        <v>1397.3909911999999</v>
      </c>
      <c r="J1341">
        <v>1377.3592529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924.18316100000004</v>
      </c>
      <c r="B1342" s="1">
        <f>DATE(2012,11,10) + TIME(4,23,45)</f>
        <v>41223.183159722219</v>
      </c>
      <c r="C1342">
        <v>80</v>
      </c>
      <c r="D1342">
        <v>78.729690551999994</v>
      </c>
      <c r="E1342">
        <v>50</v>
      </c>
      <c r="F1342">
        <v>49.968151093000003</v>
      </c>
      <c r="G1342">
        <v>1302.3568115</v>
      </c>
      <c r="H1342">
        <v>1289.9631348</v>
      </c>
      <c r="I1342">
        <v>1397.3190918</v>
      </c>
      <c r="J1342">
        <v>1377.2969971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924.81134999999995</v>
      </c>
      <c r="B1343" s="1">
        <f>DATE(2012,11,10) + TIME(19,28,20)</f>
        <v>41223.811342592591</v>
      </c>
      <c r="C1343">
        <v>80</v>
      </c>
      <c r="D1343">
        <v>78.659400939999998</v>
      </c>
      <c r="E1343">
        <v>50</v>
      </c>
      <c r="F1343">
        <v>49.968631744</v>
      </c>
      <c r="G1343">
        <v>1302.3321533000001</v>
      </c>
      <c r="H1343">
        <v>1289.9353027</v>
      </c>
      <c r="I1343">
        <v>1397.2470702999999</v>
      </c>
      <c r="J1343">
        <v>1377.2346190999999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925.48886100000004</v>
      </c>
      <c r="B1344" s="1">
        <f>DATE(2012,11,11) + TIME(11,43,57)</f>
        <v>41224.488854166666</v>
      </c>
      <c r="C1344">
        <v>80</v>
      </c>
      <c r="D1344">
        <v>78.584861755000006</v>
      </c>
      <c r="E1344">
        <v>50</v>
      </c>
      <c r="F1344">
        <v>49.968963623</v>
      </c>
      <c r="G1344">
        <v>1302.3057861</v>
      </c>
      <c r="H1344">
        <v>1289.9051514</v>
      </c>
      <c r="I1344">
        <v>1397.1740723</v>
      </c>
      <c r="J1344">
        <v>1377.1716309000001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926.17691600000001</v>
      </c>
      <c r="B1345" s="1">
        <f>DATE(2012,11,12) + TIME(4,14,45)</f>
        <v>41225.17690972222</v>
      </c>
      <c r="C1345">
        <v>80</v>
      </c>
      <c r="D1345">
        <v>78.508193969999994</v>
      </c>
      <c r="E1345">
        <v>50</v>
      </c>
      <c r="F1345">
        <v>49.969188690000003</v>
      </c>
      <c r="G1345">
        <v>1302.2769774999999</v>
      </c>
      <c r="H1345">
        <v>1289.8728027</v>
      </c>
      <c r="I1345">
        <v>1397.1000977000001</v>
      </c>
      <c r="J1345">
        <v>1377.1077881000001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926.88452900000004</v>
      </c>
      <c r="B1346" s="1">
        <f>DATE(2012,11,12) + TIME(21,13,43)</f>
        <v>41225.884525462963</v>
      </c>
      <c r="C1346">
        <v>80</v>
      </c>
      <c r="D1346">
        <v>78.429649353000002</v>
      </c>
      <c r="E1346">
        <v>50</v>
      </c>
      <c r="F1346">
        <v>49.969345093000001</v>
      </c>
      <c r="G1346">
        <v>1302.2478027</v>
      </c>
      <c r="H1346">
        <v>1289.8395995999999</v>
      </c>
      <c r="I1346">
        <v>1397.0292969</v>
      </c>
      <c r="J1346">
        <v>1377.0469971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927.62067300000001</v>
      </c>
      <c r="B1347" s="1">
        <f>DATE(2012,11,13) + TIME(14,53,46)</f>
        <v>41226.620671296296</v>
      </c>
      <c r="C1347">
        <v>80</v>
      </c>
      <c r="D1347">
        <v>78.348937988000003</v>
      </c>
      <c r="E1347">
        <v>50</v>
      </c>
      <c r="F1347">
        <v>49.969455719000003</v>
      </c>
      <c r="G1347">
        <v>1302.2177733999999</v>
      </c>
      <c r="H1347">
        <v>1289.8055420000001</v>
      </c>
      <c r="I1347">
        <v>1396.9608154</v>
      </c>
      <c r="J1347">
        <v>1376.9881591999999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928.38895000000002</v>
      </c>
      <c r="B1348" s="1">
        <f>DATE(2012,11,14) + TIME(9,20,5)</f>
        <v>41227.38894675926</v>
      </c>
      <c r="C1348">
        <v>80</v>
      </c>
      <c r="D1348">
        <v>78.265838622999993</v>
      </c>
      <c r="E1348">
        <v>50</v>
      </c>
      <c r="F1348">
        <v>49.969535827999998</v>
      </c>
      <c r="G1348">
        <v>1302.1864014</v>
      </c>
      <c r="H1348">
        <v>1289.7697754000001</v>
      </c>
      <c r="I1348">
        <v>1396.8934326000001</v>
      </c>
      <c r="J1348">
        <v>1376.9304199000001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929.179261</v>
      </c>
      <c r="B1349" s="1">
        <f>DATE(2012,11,15) + TIME(4,18,8)</f>
        <v>41228.179259259261</v>
      </c>
      <c r="C1349">
        <v>80</v>
      </c>
      <c r="D1349">
        <v>78.180831909000005</v>
      </c>
      <c r="E1349">
        <v>50</v>
      </c>
      <c r="F1349">
        <v>49.969596863</v>
      </c>
      <c r="G1349">
        <v>1302.1535644999999</v>
      </c>
      <c r="H1349">
        <v>1289.7324219</v>
      </c>
      <c r="I1349">
        <v>1396.8267822</v>
      </c>
      <c r="J1349">
        <v>1376.8735352000001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930.00037799999996</v>
      </c>
      <c r="B1350" s="1">
        <f>DATE(2012,11,16) + TIME(0,0,32)</f>
        <v>41229.00037037037</v>
      </c>
      <c r="C1350">
        <v>80</v>
      </c>
      <c r="D1350">
        <v>78.093673706000004</v>
      </c>
      <c r="E1350">
        <v>50</v>
      </c>
      <c r="F1350">
        <v>49.969642639</v>
      </c>
      <c r="G1350">
        <v>1302.119751</v>
      </c>
      <c r="H1350">
        <v>1289.6937256000001</v>
      </c>
      <c r="I1350">
        <v>1396.7619629000001</v>
      </c>
      <c r="J1350">
        <v>1376.8182373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930.86165500000004</v>
      </c>
      <c r="B1351" s="1">
        <f>DATE(2012,11,16) + TIME(20,40,47)</f>
        <v>41229.861655092594</v>
      </c>
      <c r="C1351">
        <v>80</v>
      </c>
      <c r="D1351">
        <v>78.003822326999995</v>
      </c>
      <c r="E1351">
        <v>50</v>
      </c>
      <c r="F1351">
        <v>49.969680785999998</v>
      </c>
      <c r="G1351">
        <v>1302.0844727000001</v>
      </c>
      <c r="H1351">
        <v>1289.6534423999999</v>
      </c>
      <c r="I1351">
        <v>1396.6981201000001</v>
      </c>
      <c r="J1351">
        <v>1376.7639160000001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931.77394800000002</v>
      </c>
      <c r="B1352" s="1">
        <f>DATE(2012,11,17) + TIME(18,34,29)</f>
        <v>41230.773946759262</v>
      </c>
      <c r="C1352">
        <v>80</v>
      </c>
      <c r="D1352">
        <v>77.910514832000004</v>
      </c>
      <c r="E1352">
        <v>50</v>
      </c>
      <c r="F1352">
        <v>49.969711304</v>
      </c>
      <c r="G1352">
        <v>1302.0472411999999</v>
      </c>
      <c r="H1352">
        <v>1289.6107178</v>
      </c>
      <c r="I1352">
        <v>1396.6345214999999</v>
      </c>
      <c r="J1352">
        <v>1376.7098389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932.72570700000006</v>
      </c>
      <c r="B1353" s="1">
        <f>DATE(2012,11,18) + TIME(17,25,1)</f>
        <v>41231.725706018522</v>
      </c>
      <c r="C1353">
        <v>80</v>
      </c>
      <c r="D1353">
        <v>77.813949585000003</v>
      </c>
      <c r="E1353">
        <v>50</v>
      </c>
      <c r="F1353">
        <v>49.969738006999997</v>
      </c>
      <c r="G1353">
        <v>1302.0075684000001</v>
      </c>
      <c r="H1353">
        <v>1289.5653076000001</v>
      </c>
      <c r="I1353">
        <v>1396.5705565999999</v>
      </c>
      <c r="J1353">
        <v>1376.6555175999999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933.71131400000002</v>
      </c>
      <c r="B1354" s="1">
        <f>DATE(2012,11,19) + TIME(17,4,17)</f>
        <v>41232.71130787037</v>
      </c>
      <c r="C1354">
        <v>80</v>
      </c>
      <c r="D1354">
        <v>77.714599609000004</v>
      </c>
      <c r="E1354">
        <v>50</v>
      </c>
      <c r="F1354">
        <v>49.969760895</v>
      </c>
      <c r="G1354">
        <v>1301.9659423999999</v>
      </c>
      <c r="H1354">
        <v>1289.5175781</v>
      </c>
      <c r="I1354">
        <v>1396.5072021000001</v>
      </c>
      <c r="J1354">
        <v>1376.6018065999999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934.74492299999997</v>
      </c>
      <c r="B1355" s="1">
        <f>DATE(2012,11,20) + TIME(17,52,41)</f>
        <v>41233.74491898148</v>
      </c>
      <c r="C1355">
        <v>80</v>
      </c>
      <c r="D1355">
        <v>77.612121582</v>
      </c>
      <c r="E1355">
        <v>50</v>
      </c>
      <c r="F1355">
        <v>49.969783782999997</v>
      </c>
      <c r="G1355">
        <v>1301.9226074000001</v>
      </c>
      <c r="H1355">
        <v>1289.4676514</v>
      </c>
      <c r="I1355">
        <v>1396.4447021000001</v>
      </c>
      <c r="J1355">
        <v>1376.5490723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935.817679</v>
      </c>
      <c r="B1356" s="1">
        <f>DATE(2012,11,21) + TIME(19,37,27)</f>
        <v>41234.817673611113</v>
      </c>
      <c r="C1356">
        <v>80</v>
      </c>
      <c r="D1356">
        <v>77.506706238000007</v>
      </c>
      <c r="E1356">
        <v>50</v>
      </c>
      <c r="F1356">
        <v>49.969806671000001</v>
      </c>
      <c r="G1356">
        <v>1301.8767089999999</v>
      </c>
      <c r="H1356">
        <v>1289.4146728999999</v>
      </c>
      <c r="I1356">
        <v>1396.3824463000001</v>
      </c>
      <c r="J1356">
        <v>1376.4964600000001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936.91274599999997</v>
      </c>
      <c r="B1357" s="1">
        <f>DATE(2012,11,22) + TIME(21,54,21)</f>
        <v>41235.912743055553</v>
      </c>
      <c r="C1357">
        <v>80</v>
      </c>
      <c r="D1357">
        <v>77.399307250999996</v>
      </c>
      <c r="E1357">
        <v>50</v>
      </c>
      <c r="F1357">
        <v>49.969825745000001</v>
      </c>
      <c r="G1357">
        <v>1301.8287353999999</v>
      </c>
      <c r="H1357">
        <v>1289.3592529</v>
      </c>
      <c r="I1357">
        <v>1396.3209228999999</v>
      </c>
      <c r="J1357">
        <v>1376.4444579999999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938.04210799999998</v>
      </c>
      <c r="B1358" s="1">
        <f>DATE(2012,11,24) + TIME(1,0,38)</f>
        <v>41237.04210648148</v>
      </c>
      <c r="C1358">
        <v>80</v>
      </c>
      <c r="D1358">
        <v>77.290077209000003</v>
      </c>
      <c r="E1358">
        <v>50</v>
      </c>
      <c r="F1358">
        <v>49.969848632999998</v>
      </c>
      <c r="G1358">
        <v>1301.7791748</v>
      </c>
      <c r="H1358">
        <v>1289.3018798999999</v>
      </c>
      <c r="I1358">
        <v>1396.2611084</v>
      </c>
      <c r="J1358">
        <v>1376.394043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939.21832900000004</v>
      </c>
      <c r="B1359" s="1">
        <f>DATE(2012,11,25) + TIME(5,14,23)</f>
        <v>41238.218321759261</v>
      </c>
      <c r="C1359">
        <v>80</v>
      </c>
      <c r="D1359">
        <v>77.178482056000007</v>
      </c>
      <c r="E1359">
        <v>50</v>
      </c>
      <c r="F1359">
        <v>49.969867706000002</v>
      </c>
      <c r="G1359">
        <v>1301.7277832</v>
      </c>
      <c r="H1359">
        <v>1289.2418213000001</v>
      </c>
      <c r="I1359">
        <v>1396.2022704999999</v>
      </c>
      <c r="J1359">
        <v>1376.3444824000001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940.455736</v>
      </c>
      <c r="B1360" s="1">
        <f>DATE(2012,11,26) + TIME(10,56,15)</f>
        <v>41239.455729166664</v>
      </c>
      <c r="C1360">
        <v>80</v>
      </c>
      <c r="D1360">
        <v>77.063636779999996</v>
      </c>
      <c r="E1360">
        <v>50</v>
      </c>
      <c r="F1360">
        <v>49.969890593999999</v>
      </c>
      <c r="G1360">
        <v>1301.6735839999999</v>
      </c>
      <c r="H1360">
        <v>1289.1784668</v>
      </c>
      <c r="I1360">
        <v>1396.1437988</v>
      </c>
      <c r="J1360">
        <v>1376.2952881000001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941.73110799999995</v>
      </c>
      <c r="B1361" s="1">
        <f>DATE(2012,11,27) + TIME(17,32,47)</f>
        <v>41240.731099537035</v>
      </c>
      <c r="C1361">
        <v>80</v>
      </c>
      <c r="D1361">
        <v>76.945846558</v>
      </c>
      <c r="E1361">
        <v>50</v>
      </c>
      <c r="F1361">
        <v>49.969917297000002</v>
      </c>
      <c r="G1361">
        <v>1301.6157227000001</v>
      </c>
      <c r="H1361">
        <v>1289.1109618999999</v>
      </c>
      <c r="I1361">
        <v>1396.0849608999999</v>
      </c>
      <c r="J1361">
        <v>1376.2457274999999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943.05510700000002</v>
      </c>
      <c r="B1362" s="1">
        <f>DATE(2012,11,29) + TIME(1,19,21)</f>
        <v>41242.055104166669</v>
      </c>
      <c r="C1362">
        <v>80</v>
      </c>
      <c r="D1362">
        <v>76.825355529999996</v>
      </c>
      <c r="E1362">
        <v>50</v>
      </c>
      <c r="F1362">
        <v>49.969940186000002</v>
      </c>
      <c r="G1362">
        <v>1301.5555420000001</v>
      </c>
      <c r="H1362">
        <v>1289.0400391000001</v>
      </c>
      <c r="I1362">
        <v>1396.0269774999999</v>
      </c>
      <c r="J1362">
        <v>1376.1970214999999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944.44586600000002</v>
      </c>
      <c r="B1363" s="1">
        <f>DATE(2012,11,30) + TIME(10,42,2)</f>
        <v>41243.445856481485</v>
      </c>
      <c r="C1363">
        <v>80</v>
      </c>
      <c r="D1363">
        <v>76.701499939000001</v>
      </c>
      <c r="E1363">
        <v>50</v>
      </c>
      <c r="F1363">
        <v>49.969966888000002</v>
      </c>
      <c r="G1363">
        <v>1301.4920654</v>
      </c>
      <c r="H1363">
        <v>1288.9652100000001</v>
      </c>
      <c r="I1363">
        <v>1395.9694824000001</v>
      </c>
      <c r="J1363">
        <v>1376.1488036999999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945</v>
      </c>
      <c r="B1364" s="1">
        <f>DATE(2012,12,1) + TIME(0,0,0)</f>
        <v>41244</v>
      </c>
      <c r="C1364">
        <v>80</v>
      </c>
      <c r="D1364">
        <v>76.621841431000007</v>
      </c>
      <c r="E1364">
        <v>50</v>
      </c>
      <c r="F1364">
        <v>49.969970703000001</v>
      </c>
      <c r="G1364">
        <v>1301.4224853999999</v>
      </c>
      <c r="H1364">
        <v>1288.8884277</v>
      </c>
      <c r="I1364">
        <v>1395.9108887</v>
      </c>
      <c r="J1364">
        <v>1376.0994873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946.44253800000001</v>
      </c>
      <c r="B1365" s="1">
        <f>DATE(2012,12,2) + TIME(10,37,15)</f>
        <v>41245.44253472222</v>
      </c>
      <c r="C1365">
        <v>80</v>
      </c>
      <c r="D1365">
        <v>76.513275145999998</v>
      </c>
      <c r="E1365">
        <v>50</v>
      </c>
      <c r="F1365">
        <v>49.970005035</v>
      </c>
      <c r="G1365">
        <v>1301.3967285000001</v>
      </c>
      <c r="H1365">
        <v>1288.8504639</v>
      </c>
      <c r="I1365">
        <v>1395.8894043</v>
      </c>
      <c r="J1365">
        <v>1376.081543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947.92576799999995</v>
      </c>
      <c r="B1366" s="1">
        <f>DATE(2012,12,3) + TIME(22,13,6)</f>
        <v>41246.925763888888</v>
      </c>
      <c r="C1366">
        <v>80</v>
      </c>
      <c r="D1366">
        <v>76.390808105000005</v>
      </c>
      <c r="E1366">
        <v>50</v>
      </c>
      <c r="F1366">
        <v>49.970035553000002</v>
      </c>
      <c r="G1366">
        <v>1301.3251952999999</v>
      </c>
      <c r="H1366">
        <v>1288.7663574000001</v>
      </c>
      <c r="I1366">
        <v>1395.8330077999999</v>
      </c>
      <c r="J1366">
        <v>1376.0341797000001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949.455736</v>
      </c>
      <c r="B1367" s="1">
        <f>DATE(2012,12,5) + TIME(10,56,15)</f>
        <v>41248.455729166664</v>
      </c>
      <c r="C1367">
        <v>80</v>
      </c>
      <c r="D1367">
        <v>76.261856078999998</v>
      </c>
      <c r="E1367">
        <v>50</v>
      </c>
      <c r="F1367">
        <v>49.970066070999998</v>
      </c>
      <c r="G1367">
        <v>1301.2502440999999</v>
      </c>
      <c r="H1367">
        <v>1288.6770019999999</v>
      </c>
      <c r="I1367">
        <v>1395.7773437999999</v>
      </c>
      <c r="J1367">
        <v>1375.9875488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951.04018599999995</v>
      </c>
      <c r="B1368" s="1">
        <f>DATE(2012,12,7) + TIME(0,57,52)</f>
        <v>41250.040185185186</v>
      </c>
      <c r="C1368">
        <v>80</v>
      </c>
      <c r="D1368">
        <v>76.128929138000004</v>
      </c>
      <c r="E1368">
        <v>50</v>
      </c>
      <c r="F1368">
        <v>49.970096587999997</v>
      </c>
      <c r="G1368">
        <v>1301.1713867000001</v>
      </c>
      <c r="H1368">
        <v>1288.5822754000001</v>
      </c>
      <c r="I1368">
        <v>1395.7222899999999</v>
      </c>
      <c r="J1368">
        <v>1375.9414062000001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952.69698000000005</v>
      </c>
      <c r="B1369" s="1">
        <f>DATE(2012,12,8) + TIME(16,43,39)</f>
        <v>41251.696979166663</v>
      </c>
      <c r="C1369">
        <v>80</v>
      </c>
      <c r="D1369">
        <v>75.992324828999998</v>
      </c>
      <c r="E1369">
        <v>50</v>
      </c>
      <c r="F1369">
        <v>49.970130920000003</v>
      </c>
      <c r="G1369">
        <v>1301.0882568</v>
      </c>
      <c r="H1369">
        <v>1288.4818115</v>
      </c>
      <c r="I1369">
        <v>1395.6676024999999</v>
      </c>
      <c r="J1369">
        <v>1375.8955077999999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954.43993</v>
      </c>
      <c r="B1370" s="1">
        <f>DATE(2012,12,10) + TIME(10,33,29)</f>
        <v>41253.439918981479</v>
      </c>
      <c r="C1370">
        <v>80</v>
      </c>
      <c r="D1370">
        <v>75.851455688000001</v>
      </c>
      <c r="E1370">
        <v>50</v>
      </c>
      <c r="F1370">
        <v>49.970165252999998</v>
      </c>
      <c r="G1370">
        <v>1300.9996338000001</v>
      </c>
      <c r="H1370">
        <v>1288.3741454999999</v>
      </c>
      <c r="I1370">
        <v>1395.612793</v>
      </c>
      <c r="J1370">
        <v>1375.8494873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956.22623399999998</v>
      </c>
      <c r="B1371" s="1">
        <f>DATE(2012,12,12) + TIME(5,25,46)</f>
        <v>41255.226226851853</v>
      </c>
      <c r="C1371">
        <v>80</v>
      </c>
      <c r="D1371">
        <v>75.706962584999999</v>
      </c>
      <c r="E1371">
        <v>50</v>
      </c>
      <c r="F1371">
        <v>49.970203400000003</v>
      </c>
      <c r="G1371">
        <v>1300.9044189000001</v>
      </c>
      <c r="H1371">
        <v>1288.2581786999999</v>
      </c>
      <c r="I1371">
        <v>1395.557251</v>
      </c>
      <c r="J1371">
        <v>1375.8028564000001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958.040029</v>
      </c>
      <c r="B1372" s="1">
        <f>DATE(2012,12,14) + TIME(0,57,38)</f>
        <v>41257.040023148147</v>
      </c>
      <c r="C1372">
        <v>80</v>
      </c>
      <c r="D1372">
        <v>75.560768127000003</v>
      </c>
      <c r="E1372">
        <v>50</v>
      </c>
      <c r="F1372">
        <v>49.970241547000001</v>
      </c>
      <c r="G1372">
        <v>1300.8046875</v>
      </c>
      <c r="H1372">
        <v>1288.1358643000001</v>
      </c>
      <c r="I1372">
        <v>1395.5026855000001</v>
      </c>
      <c r="J1372">
        <v>1375.7570800999999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959.90085699999997</v>
      </c>
      <c r="B1373" s="1">
        <f>DATE(2012,12,15) + TIME(21,37,14)</f>
        <v>41258.900856481479</v>
      </c>
      <c r="C1373">
        <v>80</v>
      </c>
      <c r="D1373">
        <v>75.413490295000003</v>
      </c>
      <c r="E1373">
        <v>50</v>
      </c>
      <c r="F1373">
        <v>49.970279693999998</v>
      </c>
      <c r="G1373">
        <v>1300.7009277</v>
      </c>
      <c r="H1373">
        <v>1288.0079346</v>
      </c>
      <c r="I1373">
        <v>1395.4494629000001</v>
      </c>
      <c r="J1373">
        <v>1375.7122803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961.82914600000004</v>
      </c>
      <c r="B1374" s="1">
        <f>DATE(2012,12,17) + TIME(19,53,58)</f>
        <v>41260.829143518517</v>
      </c>
      <c r="C1374">
        <v>80</v>
      </c>
      <c r="D1374">
        <v>75.264297485</v>
      </c>
      <c r="E1374">
        <v>50</v>
      </c>
      <c r="F1374">
        <v>49.970321654999999</v>
      </c>
      <c r="G1374">
        <v>1300.5921631000001</v>
      </c>
      <c r="H1374">
        <v>1287.8730469</v>
      </c>
      <c r="I1374">
        <v>1395.3968506000001</v>
      </c>
      <c r="J1374">
        <v>1375.6680908000001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963.79427199999998</v>
      </c>
      <c r="B1375" s="1">
        <f>DATE(2012,12,19) + TIME(19,3,45)</f>
        <v>41262.794270833336</v>
      </c>
      <c r="C1375">
        <v>80</v>
      </c>
      <c r="D1375">
        <v>75.113098144999995</v>
      </c>
      <c r="E1375">
        <v>50</v>
      </c>
      <c r="F1375">
        <v>49.970363616999997</v>
      </c>
      <c r="G1375">
        <v>1300.4766846</v>
      </c>
      <c r="H1375">
        <v>1287.7293701000001</v>
      </c>
      <c r="I1375">
        <v>1395.3443603999999</v>
      </c>
      <c r="J1375">
        <v>1375.6240233999999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965.79481399999997</v>
      </c>
      <c r="B1376" s="1">
        <f>DATE(2012,12,21) + TIME(19,4,31)</f>
        <v>41264.794803240744</v>
      </c>
      <c r="C1376">
        <v>80</v>
      </c>
      <c r="D1376">
        <v>74.960876464999998</v>
      </c>
      <c r="E1376">
        <v>50</v>
      </c>
      <c r="F1376">
        <v>49.970405579000001</v>
      </c>
      <c r="G1376">
        <v>1300.3562012</v>
      </c>
      <c r="H1376">
        <v>1287.5783690999999</v>
      </c>
      <c r="I1376">
        <v>1395.2928466999999</v>
      </c>
      <c r="J1376">
        <v>1375.5806885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967.83462599999996</v>
      </c>
      <c r="B1377" s="1">
        <f>DATE(2012,12,23) + TIME(20,1,51)</f>
        <v>41266.834618055553</v>
      </c>
      <c r="C1377">
        <v>80</v>
      </c>
      <c r="D1377">
        <v>74.807716369999994</v>
      </c>
      <c r="E1377">
        <v>50</v>
      </c>
      <c r="F1377">
        <v>49.970447540000002</v>
      </c>
      <c r="G1377">
        <v>1300.2303466999999</v>
      </c>
      <c r="H1377">
        <v>1287.4199219</v>
      </c>
      <c r="I1377">
        <v>1395.2423096</v>
      </c>
      <c r="J1377">
        <v>1375.5380858999999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969.894184</v>
      </c>
      <c r="B1378" s="1">
        <f>DATE(2012,12,25) + TIME(21,27,37)</f>
        <v>41268.894178240742</v>
      </c>
      <c r="C1378">
        <v>80</v>
      </c>
      <c r="D1378">
        <v>74.654075622999997</v>
      </c>
      <c r="E1378">
        <v>50</v>
      </c>
      <c r="F1378">
        <v>49.970493316999999</v>
      </c>
      <c r="G1378">
        <v>1300.0988769999999</v>
      </c>
      <c r="H1378">
        <v>1287.2536620999999</v>
      </c>
      <c r="I1378">
        <v>1395.1925048999999</v>
      </c>
      <c r="J1378">
        <v>1375.4960937999999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971.97647199999994</v>
      </c>
      <c r="B1379" s="1">
        <f>DATE(2012,12,27) + TIME(23,26,7)</f>
        <v>41270.976469907408</v>
      </c>
      <c r="C1379">
        <v>80</v>
      </c>
      <c r="D1379">
        <v>74.500503539999997</v>
      </c>
      <c r="E1379">
        <v>50</v>
      </c>
      <c r="F1379">
        <v>49.970539092999999</v>
      </c>
      <c r="G1379">
        <v>1299.9627685999999</v>
      </c>
      <c r="H1379">
        <v>1287.0804443</v>
      </c>
      <c r="I1379">
        <v>1395.1439209</v>
      </c>
      <c r="J1379">
        <v>1375.4552002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974.08367899999996</v>
      </c>
      <c r="B1380" s="1">
        <f>DATE(2012,12,30) + TIME(2,0,29)</f>
        <v>41273.083668981482</v>
      </c>
      <c r="C1380">
        <v>80</v>
      </c>
      <c r="D1380">
        <v>74.346977233999993</v>
      </c>
      <c r="E1380">
        <v>50</v>
      </c>
      <c r="F1380">
        <v>49.970581054999997</v>
      </c>
      <c r="G1380">
        <v>1299.8216553</v>
      </c>
      <c r="H1380">
        <v>1286.9001464999999</v>
      </c>
      <c r="I1380">
        <v>1395.0965576000001</v>
      </c>
      <c r="J1380">
        <v>1375.4151611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976</v>
      </c>
      <c r="B1381" s="1">
        <f>DATE(2013,1,1) + TIME(0,0,0)</f>
        <v>41275</v>
      </c>
      <c r="C1381">
        <v>80</v>
      </c>
      <c r="D1381">
        <v>74.198158264</v>
      </c>
      <c r="E1381">
        <v>50</v>
      </c>
      <c r="F1381">
        <v>49.970623015999998</v>
      </c>
      <c r="G1381">
        <v>1299.6755370999999</v>
      </c>
      <c r="H1381">
        <v>1286.7132568</v>
      </c>
      <c r="I1381">
        <v>1395.0499268000001</v>
      </c>
      <c r="J1381">
        <v>1375.3757324000001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978.13656000000003</v>
      </c>
      <c r="B1382" s="1">
        <f>DATE(2013,1,3) + TIME(3,16,38)</f>
        <v>41277.136550925927</v>
      </c>
      <c r="C1382">
        <v>80</v>
      </c>
      <c r="D1382">
        <v>74.052261353000006</v>
      </c>
      <c r="E1382">
        <v>50</v>
      </c>
      <c r="F1382">
        <v>49.970668793000002</v>
      </c>
      <c r="G1382">
        <v>1299.5380858999999</v>
      </c>
      <c r="H1382">
        <v>1286.5343018000001</v>
      </c>
      <c r="I1382">
        <v>1395.0090332</v>
      </c>
      <c r="J1382">
        <v>1375.3411865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980.32128299999999</v>
      </c>
      <c r="B1383" s="1">
        <f>DATE(2013,1,5) + TIME(7,42,38)</f>
        <v>41279.321273148147</v>
      </c>
      <c r="C1383">
        <v>80</v>
      </c>
      <c r="D1383">
        <v>73.900779724000003</v>
      </c>
      <c r="E1383">
        <v>50</v>
      </c>
      <c r="F1383">
        <v>49.970718384000001</v>
      </c>
      <c r="G1383">
        <v>1299.3834228999999</v>
      </c>
      <c r="H1383">
        <v>1286.3342285000001</v>
      </c>
      <c r="I1383">
        <v>1394.9647216999999</v>
      </c>
      <c r="J1383">
        <v>1375.3035889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982.53353800000002</v>
      </c>
      <c r="B1384" s="1">
        <f>DATE(2013,1,7) + TIME(12,48,17)</f>
        <v>41281.533530092594</v>
      </c>
      <c r="C1384">
        <v>80</v>
      </c>
      <c r="D1384">
        <v>73.746536254999995</v>
      </c>
      <c r="E1384">
        <v>50</v>
      </c>
      <c r="F1384">
        <v>49.970764160000002</v>
      </c>
      <c r="G1384">
        <v>1299.2209473</v>
      </c>
      <c r="H1384">
        <v>1286.1230469</v>
      </c>
      <c r="I1384">
        <v>1394.9206543</v>
      </c>
      <c r="J1384">
        <v>1375.2662353999999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984.778097</v>
      </c>
      <c r="B1385" s="1">
        <f>DATE(2013,1,9) + TIME(18,40,27)</f>
        <v>41283.778090277781</v>
      </c>
      <c r="C1385">
        <v>80</v>
      </c>
      <c r="D1385">
        <v>73.590789795000006</v>
      </c>
      <c r="E1385">
        <v>50</v>
      </c>
      <c r="F1385">
        <v>49.970813751000001</v>
      </c>
      <c r="G1385">
        <v>1299.0523682</v>
      </c>
      <c r="H1385">
        <v>1285.9027100000001</v>
      </c>
      <c r="I1385">
        <v>1394.8773193</v>
      </c>
      <c r="J1385">
        <v>1375.2294922000001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987.05951700000003</v>
      </c>
      <c r="B1386" s="1">
        <f>DATE(2013,1,12) + TIME(1,25,42)</f>
        <v>41286.059513888889</v>
      </c>
      <c r="C1386">
        <v>80</v>
      </c>
      <c r="D1386">
        <v>73.433540343999994</v>
      </c>
      <c r="E1386">
        <v>50</v>
      </c>
      <c r="F1386">
        <v>49.970863342000001</v>
      </c>
      <c r="G1386">
        <v>1298.8773193</v>
      </c>
      <c r="H1386">
        <v>1285.6728516000001</v>
      </c>
      <c r="I1386">
        <v>1394.8345947</v>
      </c>
      <c r="J1386">
        <v>1375.1932373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989.37761499999999</v>
      </c>
      <c r="B1387" s="1">
        <f>DATE(2013,1,14) + TIME(9,3,45)</f>
        <v>41288.377604166664</v>
      </c>
      <c r="C1387">
        <v>80</v>
      </c>
      <c r="D1387">
        <v>73.274520874000004</v>
      </c>
      <c r="E1387">
        <v>50</v>
      </c>
      <c r="F1387">
        <v>49.970912933000001</v>
      </c>
      <c r="G1387">
        <v>1298.6950684000001</v>
      </c>
      <c r="H1387">
        <v>1285.4327393000001</v>
      </c>
      <c r="I1387">
        <v>1394.7923584</v>
      </c>
      <c r="J1387">
        <v>1375.1573486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991.72089100000005</v>
      </c>
      <c r="B1388" s="1">
        <f>DATE(2013,1,16) + TIME(17,18,4)</f>
        <v>41290.720879629633</v>
      </c>
      <c r="C1388">
        <v>80</v>
      </c>
      <c r="D1388">
        <v>73.113731384000005</v>
      </c>
      <c r="E1388">
        <v>50</v>
      </c>
      <c r="F1388">
        <v>49.970966339</v>
      </c>
      <c r="G1388">
        <v>1298.5057373</v>
      </c>
      <c r="H1388">
        <v>1285.1821289</v>
      </c>
      <c r="I1388">
        <v>1394.7507324000001</v>
      </c>
      <c r="J1388">
        <v>1375.1218262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994.08860100000004</v>
      </c>
      <c r="B1389" s="1">
        <f>DATE(2013,1,19) + TIME(2,7,35)</f>
        <v>41293.088599537034</v>
      </c>
      <c r="C1389">
        <v>80</v>
      </c>
      <c r="D1389">
        <v>72.951370238999999</v>
      </c>
      <c r="E1389">
        <v>50</v>
      </c>
      <c r="F1389">
        <v>49.97101593</v>
      </c>
      <c r="G1389">
        <v>1298.3099365</v>
      </c>
      <c r="H1389">
        <v>1284.9219971</v>
      </c>
      <c r="I1389">
        <v>1394.7095947</v>
      </c>
      <c r="J1389">
        <v>1375.0867920000001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996.48579400000006</v>
      </c>
      <c r="B1390" s="1">
        <f>DATE(2013,1,21) + TIME(11,39,32)</f>
        <v>41295.48578703704</v>
      </c>
      <c r="C1390">
        <v>80</v>
      </c>
      <c r="D1390">
        <v>72.787239075000002</v>
      </c>
      <c r="E1390">
        <v>50</v>
      </c>
      <c r="F1390">
        <v>49.971069335999999</v>
      </c>
      <c r="G1390">
        <v>1298.1075439000001</v>
      </c>
      <c r="H1390">
        <v>1284.6519774999999</v>
      </c>
      <c r="I1390">
        <v>1394.6691894999999</v>
      </c>
      <c r="J1390">
        <v>1375.0523682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998.91066999999998</v>
      </c>
      <c r="B1391" s="1">
        <f>DATE(2013,1,23) + TIME(21,51,21)</f>
        <v>41297.91065972222</v>
      </c>
      <c r="C1391">
        <v>80</v>
      </c>
      <c r="D1391">
        <v>72.620948791999993</v>
      </c>
      <c r="E1391">
        <v>50</v>
      </c>
      <c r="F1391">
        <v>49.971118926999999</v>
      </c>
      <c r="G1391">
        <v>1297.8983154</v>
      </c>
      <c r="H1391">
        <v>1284.3718262</v>
      </c>
      <c r="I1391">
        <v>1394.6292725000001</v>
      </c>
      <c r="J1391">
        <v>1375.0183105000001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1001.364869</v>
      </c>
      <c r="B1392" s="1">
        <f>DATE(2013,1,26) + TIME(8,45,24)</f>
        <v>41300.364861111113</v>
      </c>
      <c r="C1392">
        <v>80</v>
      </c>
      <c r="D1392">
        <v>72.452201842999997</v>
      </c>
      <c r="E1392">
        <v>50</v>
      </c>
      <c r="F1392">
        <v>49.971172332999998</v>
      </c>
      <c r="G1392">
        <v>1297.6821289</v>
      </c>
      <c r="H1392">
        <v>1284.0812988</v>
      </c>
      <c r="I1392">
        <v>1394.5898437999999</v>
      </c>
      <c r="J1392">
        <v>1374.9846190999999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1003.853326</v>
      </c>
      <c r="B1393" s="1">
        <f>DATE(2013,1,28) + TIME(20,28,47)</f>
        <v>41302.853321759256</v>
      </c>
      <c r="C1393">
        <v>80</v>
      </c>
      <c r="D1393">
        <v>72.280532836999996</v>
      </c>
      <c r="E1393">
        <v>50</v>
      </c>
      <c r="F1393">
        <v>49.971225738999998</v>
      </c>
      <c r="G1393">
        <v>1297.4587402</v>
      </c>
      <c r="H1393">
        <v>1283.7799072</v>
      </c>
      <c r="I1393">
        <v>1394.5510254000001</v>
      </c>
      <c r="J1393">
        <v>1374.9511719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1006.380894</v>
      </c>
      <c r="B1394" s="1">
        <f>DATE(2013,1,31) + TIME(9,8,29)</f>
        <v>41305.380891203706</v>
      </c>
      <c r="C1394">
        <v>80</v>
      </c>
      <c r="D1394">
        <v>72.105300903</v>
      </c>
      <c r="E1394">
        <v>50</v>
      </c>
      <c r="F1394">
        <v>49.971279144</v>
      </c>
      <c r="G1394">
        <v>1297.2276611</v>
      </c>
      <c r="H1394">
        <v>1283.4671631000001</v>
      </c>
      <c r="I1394">
        <v>1394.5124512</v>
      </c>
      <c r="J1394">
        <v>1374.9182129000001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1007</v>
      </c>
      <c r="B1395" s="1">
        <f>DATE(2013,2,1) + TIME(0,0,0)</f>
        <v>41306</v>
      </c>
      <c r="C1395">
        <v>80</v>
      </c>
      <c r="D1395">
        <v>72.003814696999996</v>
      </c>
      <c r="E1395">
        <v>50</v>
      </c>
      <c r="F1395">
        <v>49.971290588000002</v>
      </c>
      <c r="G1395">
        <v>1297.0008545000001</v>
      </c>
      <c r="H1395">
        <v>1283.1770019999999</v>
      </c>
      <c r="I1395">
        <v>1394.4727783000001</v>
      </c>
      <c r="J1395">
        <v>1374.8840332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1009.571642</v>
      </c>
      <c r="B1396" s="1">
        <f>DATE(2013,2,3) + TIME(13,43,9)</f>
        <v>41308.571631944447</v>
      </c>
      <c r="C1396">
        <v>80</v>
      </c>
      <c r="D1396">
        <v>71.867271423000005</v>
      </c>
      <c r="E1396">
        <v>50</v>
      </c>
      <c r="F1396">
        <v>49.971347809000001</v>
      </c>
      <c r="G1396">
        <v>1296.9183350000001</v>
      </c>
      <c r="H1396">
        <v>1283.0413818</v>
      </c>
      <c r="I1396">
        <v>1394.4649658000001</v>
      </c>
      <c r="J1396">
        <v>1374.8774414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1012.185383</v>
      </c>
      <c r="B1397" s="1">
        <f>DATE(2013,2,6) + TIME(4,26,57)</f>
        <v>41311.185381944444</v>
      </c>
      <c r="C1397">
        <v>80</v>
      </c>
      <c r="D1397">
        <v>71.692855835000003</v>
      </c>
      <c r="E1397">
        <v>50</v>
      </c>
      <c r="F1397">
        <v>49.971405029000003</v>
      </c>
      <c r="G1397">
        <v>1296.6770019999999</v>
      </c>
      <c r="H1397">
        <v>1282.7163086</v>
      </c>
      <c r="I1397">
        <v>1394.4270019999999</v>
      </c>
      <c r="J1397">
        <v>1374.8447266000001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1014.825704</v>
      </c>
      <c r="B1398" s="1">
        <f>DATE(2013,2,8) + TIME(19,49,0)</f>
        <v>41313.825694444444</v>
      </c>
      <c r="C1398">
        <v>80</v>
      </c>
      <c r="D1398">
        <v>71.505149841000005</v>
      </c>
      <c r="E1398">
        <v>50</v>
      </c>
      <c r="F1398">
        <v>49.971458435000002</v>
      </c>
      <c r="G1398">
        <v>1296.4208983999999</v>
      </c>
      <c r="H1398">
        <v>1282.3669434000001</v>
      </c>
      <c r="I1398">
        <v>1394.3891602000001</v>
      </c>
      <c r="J1398">
        <v>1374.8121338000001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1017.49428</v>
      </c>
      <c r="B1399" s="1">
        <f>DATE(2013,2,11) + TIME(11,51,45)</f>
        <v>41316.494270833333</v>
      </c>
      <c r="C1399">
        <v>80</v>
      </c>
      <c r="D1399">
        <v>71.310401916999993</v>
      </c>
      <c r="E1399">
        <v>50</v>
      </c>
      <c r="F1399">
        <v>49.971515656000001</v>
      </c>
      <c r="G1399">
        <v>1296.1558838000001</v>
      </c>
      <c r="H1399">
        <v>1282.0032959</v>
      </c>
      <c r="I1399">
        <v>1394.3518065999999</v>
      </c>
      <c r="J1399">
        <v>1374.7799072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1020.196582</v>
      </c>
      <c r="B1400" s="1">
        <f>DATE(2013,2,14) + TIME(4,43,4)</f>
        <v>41319.196574074071</v>
      </c>
      <c r="C1400">
        <v>80</v>
      </c>
      <c r="D1400">
        <v>71.109573363999999</v>
      </c>
      <c r="E1400">
        <v>50</v>
      </c>
      <c r="F1400">
        <v>49.971572876000003</v>
      </c>
      <c r="G1400">
        <v>1295.8830565999999</v>
      </c>
      <c r="H1400">
        <v>1281.6274414</v>
      </c>
      <c r="I1400">
        <v>1394.3146973</v>
      </c>
      <c r="J1400">
        <v>1374.7479248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1022.937924</v>
      </c>
      <c r="B1401" s="1">
        <f>DATE(2013,2,16) + TIME(22,30,36)</f>
        <v>41321.937916666669</v>
      </c>
      <c r="C1401">
        <v>80</v>
      </c>
      <c r="D1401">
        <v>70.902183532999999</v>
      </c>
      <c r="E1401">
        <v>50</v>
      </c>
      <c r="F1401">
        <v>49.971630095999998</v>
      </c>
      <c r="G1401">
        <v>1295.6020507999999</v>
      </c>
      <c r="H1401">
        <v>1281.2391356999999</v>
      </c>
      <c r="I1401">
        <v>1394.277832</v>
      </c>
      <c r="J1401">
        <v>1374.7160644999999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1025.720239</v>
      </c>
      <c r="B1402" s="1">
        <f>DATE(2013,2,19) + TIME(17,17,8)</f>
        <v>41324.720231481479</v>
      </c>
      <c r="C1402">
        <v>80</v>
      </c>
      <c r="D1402">
        <v>70.687408446999996</v>
      </c>
      <c r="E1402">
        <v>50</v>
      </c>
      <c r="F1402">
        <v>49.971687316999997</v>
      </c>
      <c r="G1402">
        <v>1295.3125</v>
      </c>
      <c r="H1402">
        <v>1280.8376464999999</v>
      </c>
      <c r="I1402">
        <v>1394.2412108999999</v>
      </c>
      <c r="J1402">
        <v>1374.6843262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1028.5258839999999</v>
      </c>
      <c r="B1403" s="1">
        <f>DATE(2013,2,22) + TIME(12,37,16)</f>
        <v>41327.525879629633</v>
      </c>
      <c r="C1403">
        <v>80</v>
      </c>
      <c r="D1403">
        <v>70.464797974000007</v>
      </c>
      <c r="E1403">
        <v>50</v>
      </c>
      <c r="F1403">
        <v>49.971744536999999</v>
      </c>
      <c r="G1403">
        <v>1295.0141602000001</v>
      </c>
      <c r="H1403">
        <v>1280.4227295000001</v>
      </c>
      <c r="I1403">
        <v>1394.2045897999999</v>
      </c>
      <c r="J1403">
        <v>1374.6524658000001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1031.3609730000001</v>
      </c>
      <c r="B1404" s="1">
        <f>DATE(2013,2,25) + TIME(8,39,48)</f>
        <v>41330.360972222225</v>
      </c>
      <c r="C1404">
        <v>80</v>
      </c>
      <c r="D1404">
        <v>70.234474182</v>
      </c>
      <c r="E1404">
        <v>50</v>
      </c>
      <c r="F1404">
        <v>49.971805572999997</v>
      </c>
      <c r="G1404">
        <v>1294.7086182</v>
      </c>
      <c r="H1404">
        <v>1279.9964600000001</v>
      </c>
      <c r="I1404">
        <v>1394.1682129000001</v>
      </c>
      <c r="J1404">
        <v>1374.6209716999999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1034.2313320000001</v>
      </c>
      <c r="B1405" s="1">
        <f>DATE(2013,2,28) + TIME(5,33,7)</f>
        <v>41333.23133101852</v>
      </c>
      <c r="C1405">
        <v>80</v>
      </c>
      <c r="D1405">
        <v>69.995796204000001</v>
      </c>
      <c r="E1405">
        <v>50</v>
      </c>
      <c r="F1405">
        <v>49.971862793</v>
      </c>
      <c r="G1405">
        <v>1294.3956298999999</v>
      </c>
      <c r="H1405">
        <v>1279.5583495999999</v>
      </c>
      <c r="I1405">
        <v>1394.1319579999999</v>
      </c>
      <c r="J1405">
        <v>1374.5894774999999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1035</v>
      </c>
      <c r="B1406" s="1">
        <f>DATE(2013,3,1) + TIME(0,0,0)</f>
        <v>41334</v>
      </c>
      <c r="C1406">
        <v>80</v>
      </c>
      <c r="D1406">
        <v>69.839981078999998</v>
      </c>
      <c r="E1406">
        <v>50</v>
      </c>
      <c r="F1406">
        <v>49.971874237000002</v>
      </c>
      <c r="G1406">
        <v>1294.0913086</v>
      </c>
      <c r="H1406">
        <v>1279.1550293</v>
      </c>
      <c r="I1406">
        <v>1394.0946045000001</v>
      </c>
      <c r="J1406">
        <v>1374.5567627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1037.9113930000001</v>
      </c>
      <c r="B1407" s="1">
        <f>DATE(2013,3,3) + TIME(21,52,24)</f>
        <v>41336.91138888889</v>
      </c>
      <c r="C1407">
        <v>80</v>
      </c>
      <c r="D1407">
        <v>69.659599303999997</v>
      </c>
      <c r="E1407">
        <v>50</v>
      </c>
      <c r="F1407">
        <v>49.971939087000003</v>
      </c>
      <c r="G1407">
        <v>1293.9714355000001</v>
      </c>
      <c r="H1407">
        <v>1278.9538574000001</v>
      </c>
      <c r="I1407">
        <v>1394.0864257999999</v>
      </c>
      <c r="J1407">
        <v>1374.5496826000001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1040.883963</v>
      </c>
      <c r="B1408" s="1">
        <f>DATE(2013,3,6) + TIME(21,12,54)</f>
        <v>41339.883958333332</v>
      </c>
      <c r="C1408">
        <v>80</v>
      </c>
      <c r="D1408">
        <v>69.412925720000004</v>
      </c>
      <c r="E1408">
        <v>50</v>
      </c>
      <c r="F1408">
        <v>49.972000121999997</v>
      </c>
      <c r="G1408">
        <v>1293.6536865</v>
      </c>
      <c r="H1408">
        <v>1278.512207</v>
      </c>
      <c r="I1408">
        <v>1394.050293</v>
      </c>
      <c r="J1408">
        <v>1374.5181885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1043.9016320000001</v>
      </c>
      <c r="B1409" s="1">
        <f>DATE(2013,3,9) + TIME(21,38,21)</f>
        <v>41342.901631944442</v>
      </c>
      <c r="C1409">
        <v>80</v>
      </c>
      <c r="D1409">
        <v>69.141273498999993</v>
      </c>
      <c r="E1409">
        <v>50</v>
      </c>
      <c r="F1409">
        <v>49.972061156999999</v>
      </c>
      <c r="G1409">
        <v>1293.3154297000001</v>
      </c>
      <c r="H1409">
        <v>1278.0351562000001</v>
      </c>
      <c r="I1409">
        <v>1394.0139160000001</v>
      </c>
      <c r="J1409">
        <v>1374.4863281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1046.9621050000001</v>
      </c>
      <c r="B1410" s="1">
        <f>DATE(2013,3,12) + TIME(23,5,25)</f>
        <v>41345.962094907409</v>
      </c>
      <c r="C1410">
        <v>80</v>
      </c>
      <c r="D1410">
        <v>68.853988646999994</v>
      </c>
      <c r="E1410">
        <v>50</v>
      </c>
      <c r="F1410">
        <v>49.972122192</v>
      </c>
      <c r="G1410">
        <v>1292.9659423999999</v>
      </c>
      <c r="H1410">
        <v>1277.5396728999999</v>
      </c>
      <c r="I1410">
        <v>1393.9774170000001</v>
      </c>
      <c r="J1410">
        <v>1374.4544678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1050.0717380000001</v>
      </c>
      <c r="B1411" s="1">
        <f>DATE(2013,3,16) + TIME(1,43,18)</f>
        <v>41349.071736111109</v>
      </c>
      <c r="C1411">
        <v>80</v>
      </c>
      <c r="D1411">
        <v>68.552452087000006</v>
      </c>
      <c r="E1411">
        <v>50</v>
      </c>
      <c r="F1411">
        <v>49.972183227999999</v>
      </c>
      <c r="G1411">
        <v>1292.6074219</v>
      </c>
      <c r="H1411">
        <v>1277.0292969</v>
      </c>
      <c r="I1411">
        <v>1393.940918</v>
      </c>
      <c r="J1411">
        <v>1374.4223632999999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1053.2298269999999</v>
      </c>
      <c r="B1412" s="1">
        <f>DATE(2013,3,19) + TIME(5,30,57)</f>
        <v>41352.229826388888</v>
      </c>
      <c r="C1412">
        <v>80</v>
      </c>
      <c r="D1412">
        <v>68.235961914000001</v>
      </c>
      <c r="E1412">
        <v>50</v>
      </c>
      <c r="F1412">
        <v>49.972244263</v>
      </c>
      <c r="G1412">
        <v>1292.2398682</v>
      </c>
      <c r="H1412">
        <v>1276.5041504000001</v>
      </c>
      <c r="I1412">
        <v>1393.9040527</v>
      </c>
      <c r="J1412">
        <v>1374.3898925999999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1056.4341199999999</v>
      </c>
      <c r="B1413" s="1">
        <f>DATE(2013,3,22) + TIME(10,25,7)</f>
        <v>41355.434108796297</v>
      </c>
      <c r="C1413">
        <v>80</v>
      </c>
      <c r="D1413">
        <v>67.903877257999994</v>
      </c>
      <c r="E1413">
        <v>50</v>
      </c>
      <c r="F1413">
        <v>49.972309113000001</v>
      </c>
      <c r="G1413">
        <v>1291.8635254000001</v>
      </c>
      <c r="H1413">
        <v>1275.9648437999999</v>
      </c>
      <c r="I1413">
        <v>1393.8669434000001</v>
      </c>
      <c r="J1413">
        <v>1374.3572998</v>
      </c>
      <c r="K1413">
        <v>0</v>
      </c>
      <c r="L1413">
        <v>2400</v>
      </c>
      <c r="M1413">
        <v>2400</v>
      </c>
      <c r="N1413">
        <v>0</v>
      </c>
    </row>
    <row r="1414" spans="1:14" x14ac:dyDescent="0.25">
      <c r="A1414">
        <v>1059.681411</v>
      </c>
      <c r="B1414" s="1">
        <f>DATE(2013,3,25) + TIME(16,21,13)</f>
        <v>41358.681400462963</v>
      </c>
      <c r="C1414">
        <v>80</v>
      </c>
      <c r="D1414">
        <v>67.555679321</v>
      </c>
      <c r="E1414">
        <v>50</v>
      </c>
      <c r="F1414">
        <v>49.972370148000003</v>
      </c>
      <c r="G1414">
        <v>1291.4790039</v>
      </c>
      <c r="H1414">
        <v>1275.4117432</v>
      </c>
      <c r="I1414">
        <v>1393.8297118999999</v>
      </c>
      <c r="J1414">
        <v>1374.3243408000001</v>
      </c>
      <c r="K1414">
        <v>0</v>
      </c>
      <c r="L1414">
        <v>2400</v>
      </c>
      <c r="M1414">
        <v>2400</v>
      </c>
      <c r="N1414">
        <v>0</v>
      </c>
    </row>
    <row r="1415" spans="1:14" x14ac:dyDescent="0.25">
      <c r="A1415">
        <v>1062.9790889999999</v>
      </c>
      <c r="B1415" s="1">
        <f>DATE(2013,3,28) + TIME(23,29,53)</f>
        <v>41361.979085648149</v>
      </c>
      <c r="C1415">
        <v>80</v>
      </c>
      <c r="D1415">
        <v>67.190849303999997</v>
      </c>
      <c r="E1415">
        <v>50</v>
      </c>
      <c r="F1415">
        <v>49.972434997999997</v>
      </c>
      <c r="G1415">
        <v>1291.0869141000001</v>
      </c>
      <c r="H1415">
        <v>1274.8455810999999</v>
      </c>
      <c r="I1415">
        <v>1393.7921143000001</v>
      </c>
      <c r="J1415">
        <v>1374.2911377</v>
      </c>
      <c r="K1415">
        <v>0</v>
      </c>
      <c r="L1415">
        <v>2400</v>
      </c>
      <c r="M1415">
        <v>2400</v>
      </c>
      <c r="N1415">
        <v>0</v>
      </c>
    </row>
    <row r="1416" spans="1:14" x14ac:dyDescent="0.25">
      <c r="A1416">
        <v>1066</v>
      </c>
      <c r="B1416" s="1">
        <f>DATE(2013,4,1) + TIME(0,0,0)</f>
        <v>41365</v>
      </c>
      <c r="C1416">
        <v>80</v>
      </c>
      <c r="D1416">
        <v>66.81578064</v>
      </c>
      <c r="E1416">
        <v>50</v>
      </c>
      <c r="F1416">
        <v>49.972492217999999</v>
      </c>
      <c r="G1416">
        <v>1290.6878661999999</v>
      </c>
      <c r="H1416">
        <v>1274.2696533000001</v>
      </c>
      <c r="I1416">
        <v>1393.7540283000001</v>
      </c>
      <c r="J1416">
        <v>1374.2573242000001</v>
      </c>
      <c r="K1416">
        <v>0</v>
      </c>
      <c r="L1416">
        <v>2400</v>
      </c>
      <c r="M1416">
        <v>2400</v>
      </c>
      <c r="N1416">
        <v>0</v>
      </c>
    </row>
    <row r="1417" spans="1:14" x14ac:dyDescent="0.25">
      <c r="A1417">
        <v>1069.3557040000001</v>
      </c>
      <c r="B1417" s="1">
        <f>DATE(2013,4,4) + TIME(8,32,12)</f>
        <v>41368.355694444443</v>
      </c>
      <c r="C1417">
        <v>80</v>
      </c>
      <c r="D1417">
        <v>66.441787719999994</v>
      </c>
      <c r="E1417">
        <v>50</v>
      </c>
      <c r="F1417">
        <v>49.972557068</v>
      </c>
      <c r="G1417">
        <v>1290.3148193</v>
      </c>
      <c r="H1417">
        <v>1273.7231445</v>
      </c>
      <c r="I1417">
        <v>1393.7196045000001</v>
      </c>
      <c r="J1417">
        <v>1374.2268065999999</v>
      </c>
      <c r="K1417">
        <v>0</v>
      </c>
      <c r="L1417">
        <v>2400</v>
      </c>
      <c r="M1417">
        <v>2400</v>
      </c>
      <c r="N1417">
        <v>0</v>
      </c>
    </row>
    <row r="1418" spans="1:14" x14ac:dyDescent="0.25">
      <c r="A1418">
        <v>1072.8389850000001</v>
      </c>
      <c r="B1418" s="1">
        <f>DATE(2013,4,7) + TIME(20,8,8)</f>
        <v>41371.83898148148</v>
      </c>
      <c r="C1418">
        <v>80</v>
      </c>
      <c r="D1418">
        <v>66.030761718999997</v>
      </c>
      <c r="E1418">
        <v>50</v>
      </c>
      <c r="F1418">
        <v>49.972625731999997</v>
      </c>
      <c r="G1418">
        <v>1289.9077147999999</v>
      </c>
      <c r="H1418">
        <v>1273.1304932</v>
      </c>
      <c r="I1418">
        <v>1393.6812743999999</v>
      </c>
      <c r="J1418">
        <v>1374.192749</v>
      </c>
      <c r="K1418">
        <v>0</v>
      </c>
      <c r="L1418">
        <v>2400</v>
      </c>
      <c r="M1418">
        <v>2400</v>
      </c>
      <c r="N1418">
        <v>0</v>
      </c>
    </row>
    <row r="1419" spans="1:14" x14ac:dyDescent="0.25">
      <c r="A1419">
        <v>1076.3778119999999</v>
      </c>
      <c r="B1419" s="1">
        <f>DATE(2013,4,11) + TIME(9,4,2)</f>
        <v>41375.377800925926</v>
      </c>
      <c r="C1419">
        <v>80</v>
      </c>
      <c r="D1419">
        <v>65.590690613000007</v>
      </c>
      <c r="E1419">
        <v>50</v>
      </c>
      <c r="F1419">
        <v>49.972690581999998</v>
      </c>
      <c r="G1419">
        <v>1289.4832764</v>
      </c>
      <c r="H1419">
        <v>1272.5098877</v>
      </c>
      <c r="I1419">
        <v>1393.6417236</v>
      </c>
      <c r="J1419">
        <v>1374.1573486</v>
      </c>
      <c r="K1419">
        <v>0</v>
      </c>
      <c r="L1419">
        <v>2400</v>
      </c>
      <c r="M1419">
        <v>2400</v>
      </c>
      <c r="N1419">
        <v>0</v>
      </c>
    </row>
    <row r="1420" spans="1:14" x14ac:dyDescent="0.25">
      <c r="A1420">
        <v>1079.9826399999999</v>
      </c>
      <c r="B1420" s="1">
        <f>DATE(2013,4,14) + TIME(23,35,0)</f>
        <v>41378.982638888891</v>
      </c>
      <c r="C1420">
        <v>80</v>
      </c>
      <c r="D1420">
        <v>65.128295898000005</v>
      </c>
      <c r="E1420">
        <v>50</v>
      </c>
      <c r="F1420">
        <v>49.972759246999999</v>
      </c>
      <c r="G1420">
        <v>1289.0505370999999</v>
      </c>
      <c r="H1420">
        <v>1271.8740233999999</v>
      </c>
      <c r="I1420">
        <v>1393.6015625</v>
      </c>
      <c r="J1420">
        <v>1374.1214600000001</v>
      </c>
      <c r="K1420">
        <v>0</v>
      </c>
      <c r="L1420">
        <v>2400</v>
      </c>
      <c r="M1420">
        <v>2400</v>
      </c>
      <c r="N1420">
        <v>0</v>
      </c>
    </row>
    <row r="1421" spans="1:14" x14ac:dyDescent="0.25">
      <c r="A1421">
        <v>1083.663603</v>
      </c>
      <c r="B1421" s="1">
        <f>DATE(2013,4,18) + TIME(15,55,35)</f>
        <v>41382.663599537038</v>
      </c>
      <c r="C1421">
        <v>80</v>
      </c>
      <c r="D1421">
        <v>64.643928528000004</v>
      </c>
      <c r="E1421">
        <v>50</v>
      </c>
      <c r="F1421">
        <v>49.972827911000003</v>
      </c>
      <c r="G1421">
        <v>1288.6098632999999</v>
      </c>
      <c r="H1421">
        <v>1271.2238769999999</v>
      </c>
      <c r="I1421">
        <v>1393.5607910000001</v>
      </c>
      <c r="J1421">
        <v>1374.0849608999999</v>
      </c>
      <c r="K1421">
        <v>0</v>
      </c>
      <c r="L1421">
        <v>2400</v>
      </c>
      <c r="M1421">
        <v>2400</v>
      </c>
      <c r="N1421">
        <v>0</v>
      </c>
    </row>
    <row r="1422" spans="1:14" x14ac:dyDescent="0.25">
      <c r="A1422">
        <v>1087.4317349999999</v>
      </c>
      <c r="B1422" s="1">
        <f>DATE(2013,4,22) + TIME(10,21,41)</f>
        <v>41386.43172453704</v>
      </c>
      <c r="C1422">
        <v>80</v>
      </c>
      <c r="D1422">
        <v>64.136253357000001</v>
      </c>
      <c r="E1422">
        <v>50</v>
      </c>
      <c r="F1422">
        <v>49.972896575999997</v>
      </c>
      <c r="G1422">
        <v>1288.1611327999999</v>
      </c>
      <c r="H1422">
        <v>1270.559082</v>
      </c>
      <c r="I1422">
        <v>1393.5191649999999</v>
      </c>
      <c r="J1422">
        <v>1374.0476074000001</v>
      </c>
      <c r="K1422">
        <v>0</v>
      </c>
      <c r="L1422">
        <v>2400</v>
      </c>
      <c r="M1422">
        <v>2400</v>
      </c>
      <c r="N1422">
        <v>0</v>
      </c>
    </row>
    <row r="1423" spans="1:14" x14ac:dyDescent="0.25">
      <c r="A1423">
        <v>1091.2776570000001</v>
      </c>
      <c r="B1423" s="1">
        <f>DATE(2013,4,26) + TIME(6,39,49)</f>
        <v>41390.277650462966</v>
      </c>
      <c r="C1423">
        <v>80</v>
      </c>
      <c r="D1423">
        <v>63.604099273999999</v>
      </c>
      <c r="E1423">
        <v>50</v>
      </c>
      <c r="F1423">
        <v>49.972965240000001</v>
      </c>
      <c r="G1423">
        <v>1287.7036132999999</v>
      </c>
      <c r="H1423">
        <v>1269.8787841999999</v>
      </c>
      <c r="I1423">
        <v>1393.4764404</v>
      </c>
      <c r="J1423">
        <v>1374.0091553</v>
      </c>
      <c r="K1423">
        <v>0</v>
      </c>
      <c r="L1423">
        <v>2400</v>
      </c>
      <c r="M1423">
        <v>2400</v>
      </c>
      <c r="N1423">
        <v>0</v>
      </c>
    </row>
    <row r="1424" spans="1:14" x14ac:dyDescent="0.25">
      <c r="A1424">
        <v>1095.2055640000001</v>
      </c>
      <c r="B1424" s="1">
        <f>DATE(2013,4,30) + TIME(4,56,0)</f>
        <v>41394.205555555556</v>
      </c>
      <c r="C1424">
        <v>80</v>
      </c>
      <c r="D1424">
        <v>63.048458099000001</v>
      </c>
      <c r="E1424">
        <v>50</v>
      </c>
      <c r="F1424">
        <v>49.973037720000001</v>
      </c>
      <c r="G1424">
        <v>1287.2392577999999</v>
      </c>
      <c r="H1424">
        <v>1269.1853027</v>
      </c>
      <c r="I1424">
        <v>1393.4329834</v>
      </c>
      <c r="J1424">
        <v>1373.9698486</v>
      </c>
      <c r="K1424">
        <v>0</v>
      </c>
      <c r="L1424">
        <v>2400</v>
      </c>
      <c r="M1424">
        <v>2400</v>
      </c>
      <c r="N1424">
        <v>0</v>
      </c>
    </row>
    <row r="1425" spans="1:14" x14ac:dyDescent="0.25">
      <c r="A1425">
        <v>1096</v>
      </c>
      <c r="B1425" s="1">
        <f>DATE(2013,5,1) + TIME(0,0,0)</f>
        <v>41395</v>
      </c>
      <c r="C1425">
        <v>80</v>
      </c>
      <c r="D1425">
        <v>62.689830780000001</v>
      </c>
      <c r="E1425">
        <v>50</v>
      </c>
      <c r="F1425">
        <v>49.973049164000003</v>
      </c>
      <c r="G1425">
        <v>1286.7869873</v>
      </c>
      <c r="H1425">
        <v>1268.5722656</v>
      </c>
      <c r="I1425">
        <v>1393.3870850000001</v>
      </c>
      <c r="J1425">
        <v>1373.9283447</v>
      </c>
      <c r="K1425">
        <v>0</v>
      </c>
      <c r="L1425">
        <v>2400</v>
      </c>
      <c r="M1425">
        <v>2400</v>
      </c>
      <c r="N1425">
        <v>0</v>
      </c>
    </row>
    <row r="1426" spans="1:14" x14ac:dyDescent="0.25">
      <c r="A1426">
        <v>1096.0000010000001</v>
      </c>
      <c r="B1426" s="1">
        <f>DATE(2013,5,1) + TIME(0,0,0)</f>
        <v>41395</v>
      </c>
      <c r="C1426">
        <v>80</v>
      </c>
      <c r="D1426">
        <v>62.690425873000002</v>
      </c>
      <c r="E1426">
        <v>50</v>
      </c>
      <c r="F1426">
        <v>49.972545623999999</v>
      </c>
      <c r="G1426">
        <v>1310.1389160000001</v>
      </c>
      <c r="H1426">
        <v>1291.7696533000001</v>
      </c>
      <c r="I1426">
        <v>1369.5046387</v>
      </c>
      <c r="J1426">
        <v>1350.619751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1096.000004</v>
      </c>
      <c r="B1427" s="1">
        <f>DATE(2013,5,1) + TIME(0,0,0)</f>
        <v>41395</v>
      </c>
      <c r="C1427">
        <v>80</v>
      </c>
      <c r="D1427">
        <v>62.691478729000004</v>
      </c>
      <c r="E1427">
        <v>50</v>
      </c>
      <c r="F1427">
        <v>49.971618651999997</v>
      </c>
      <c r="G1427">
        <v>1318.2984618999999</v>
      </c>
      <c r="H1427">
        <v>1300.317749</v>
      </c>
      <c r="I1427">
        <v>1361.3176269999999</v>
      </c>
      <c r="J1427">
        <v>1342.4300536999999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1096.0000130000001</v>
      </c>
      <c r="B1428" s="1">
        <f>DATE(2013,5,1) + TIME(0,0,1)</f>
        <v>41395.000011574077</v>
      </c>
      <c r="C1428">
        <v>80</v>
      </c>
      <c r="D1428">
        <v>62.692909241000002</v>
      </c>
      <c r="E1428">
        <v>50</v>
      </c>
      <c r="F1428">
        <v>49.970394134999999</v>
      </c>
      <c r="G1428">
        <v>1328.9045410000001</v>
      </c>
      <c r="H1428">
        <v>1310.9302978999999</v>
      </c>
      <c r="I1428">
        <v>1350.5026855000001</v>
      </c>
      <c r="J1428">
        <v>1331.6191406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1096.0000399999999</v>
      </c>
      <c r="B1429" s="1">
        <f>DATE(2013,5,1) + TIME(0,0,3)</f>
        <v>41395.000034722223</v>
      </c>
      <c r="C1429">
        <v>80</v>
      </c>
      <c r="D1429">
        <v>62.694812775000003</v>
      </c>
      <c r="E1429">
        <v>50</v>
      </c>
      <c r="F1429">
        <v>49.969116210999999</v>
      </c>
      <c r="G1429">
        <v>1339.9956055</v>
      </c>
      <c r="H1429">
        <v>1321.8637695</v>
      </c>
      <c r="I1429">
        <v>1339.2294922000001</v>
      </c>
      <c r="J1429">
        <v>1320.3546143000001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1096.000121</v>
      </c>
      <c r="B1430" s="1">
        <f>DATE(2013,5,1) + TIME(0,0,10)</f>
        <v>41395.000115740739</v>
      </c>
      <c r="C1430">
        <v>80</v>
      </c>
      <c r="D1430">
        <v>62.698036193999997</v>
      </c>
      <c r="E1430">
        <v>50</v>
      </c>
      <c r="F1430">
        <v>49.967849731000001</v>
      </c>
      <c r="G1430">
        <v>1351.1414795000001</v>
      </c>
      <c r="H1430">
        <v>1332.8397216999999</v>
      </c>
      <c r="I1430">
        <v>1328.1358643000001</v>
      </c>
      <c r="J1430">
        <v>1309.2735596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1096.000364</v>
      </c>
      <c r="B1431" s="1">
        <f>DATE(2013,5,1) + TIME(0,0,31)</f>
        <v>41395.000358796293</v>
      </c>
      <c r="C1431">
        <v>80</v>
      </c>
      <c r="D1431">
        <v>62.705303192000002</v>
      </c>
      <c r="E1431">
        <v>50</v>
      </c>
      <c r="F1431">
        <v>49.966564177999999</v>
      </c>
      <c r="G1431">
        <v>1362.7492675999999</v>
      </c>
      <c r="H1431">
        <v>1344.2420654</v>
      </c>
      <c r="I1431">
        <v>1317.0612793</v>
      </c>
      <c r="J1431">
        <v>1298.1987305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1096.0010930000001</v>
      </c>
      <c r="B1432" s="1">
        <f>DATE(2013,5,1) + TIME(0,1,34)</f>
        <v>41395.001087962963</v>
      </c>
      <c r="C1432">
        <v>80</v>
      </c>
      <c r="D1432">
        <v>62.724739075000002</v>
      </c>
      <c r="E1432">
        <v>50</v>
      </c>
      <c r="F1432">
        <v>49.965217590000002</v>
      </c>
      <c r="G1432">
        <v>1374.8336182</v>
      </c>
      <c r="H1432">
        <v>1356.1032714999999</v>
      </c>
      <c r="I1432">
        <v>1305.9472656</v>
      </c>
      <c r="J1432">
        <v>1287.0352783000001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1096.0032799999999</v>
      </c>
      <c r="B1433" s="1">
        <f>DATE(2013,5,1) + TIME(0,4,43)</f>
        <v>41395.003275462965</v>
      </c>
      <c r="C1433">
        <v>80</v>
      </c>
      <c r="D1433">
        <v>62.780529022000003</v>
      </c>
      <c r="E1433">
        <v>50</v>
      </c>
      <c r="F1433">
        <v>49.963825225999997</v>
      </c>
      <c r="G1433">
        <v>1385.6915283000001</v>
      </c>
      <c r="H1433">
        <v>1366.8013916</v>
      </c>
      <c r="I1433">
        <v>1296.0301514</v>
      </c>
      <c r="J1433">
        <v>1277.0526123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1096.0098410000001</v>
      </c>
      <c r="B1434" s="1">
        <f>DATE(2013,5,1) + TIME(0,14,10)</f>
        <v>41395.009837962964</v>
      </c>
      <c r="C1434">
        <v>80</v>
      </c>
      <c r="D1434">
        <v>62.944103241000001</v>
      </c>
      <c r="E1434">
        <v>50</v>
      </c>
      <c r="F1434">
        <v>49.962356567</v>
      </c>
      <c r="G1434">
        <v>1392.6269531</v>
      </c>
      <c r="H1434">
        <v>1373.7054443</v>
      </c>
      <c r="I1434">
        <v>1290.1806641000001</v>
      </c>
      <c r="J1434">
        <v>1271.1679687999999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1096.029524</v>
      </c>
      <c r="B1435" s="1">
        <f>DATE(2013,5,1) + TIME(0,42,30)</f>
        <v>41395.029513888891</v>
      </c>
      <c r="C1435">
        <v>80</v>
      </c>
      <c r="D1435">
        <v>63.419330596999998</v>
      </c>
      <c r="E1435">
        <v>50</v>
      </c>
      <c r="F1435">
        <v>49.959796906000001</v>
      </c>
      <c r="G1435">
        <v>1394.9948730000001</v>
      </c>
      <c r="H1435">
        <v>1376.1939697</v>
      </c>
      <c r="I1435">
        <v>1288.7203368999999</v>
      </c>
      <c r="J1435">
        <v>1269.6982422000001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1096.0561849999999</v>
      </c>
      <c r="B1436" s="1">
        <f>DATE(2013,5,1) + TIME(1,20,54)</f>
        <v>41395.056180555555</v>
      </c>
      <c r="C1436">
        <v>80</v>
      </c>
      <c r="D1436">
        <v>64.038658142000003</v>
      </c>
      <c r="E1436">
        <v>50</v>
      </c>
      <c r="F1436">
        <v>49.956588744999998</v>
      </c>
      <c r="G1436">
        <v>1395.1387939000001</v>
      </c>
      <c r="H1436">
        <v>1376.5056152</v>
      </c>
      <c r="I1436">
        <v>1288.6551514</v>
      </c>
      <c r="J1436">
        <v>1269.6319579999999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1096.083357</v>
      </c>
      <c r="B1437" s="1">
        <f>DATE(2013,5,1) + TIME(2,0,2)</f>
        <v>41395.083356481482</v>
      </c>
      <c r="C1437">
        <v>80</v>
      </c>
      <c r="D1437">
        <v>64.646011353000006</v>
      </c>
      <c r="E1437">
        <v>50</v>
      </c>
      <c r="F1437">
        <v>49.953361510999997</v>
      </c>
      <c r="G1437">
        <v>1394.9416504000001</v>
      </c>
      <c r="H1437">
        <v>1376.4654541</v>
      </c>
      <c r="I1437">
        <v>1288.6707764</v>
      </c>
      <c r="J1437">
        <v>1269.6472168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1096.11106</v>
      </c>
      <c r="B1438" s="1">
        <f>DATE(2013,5,1) + TIME(2,39,55)</f>
        <v>41395.11105324074</v>
      </c>
      <c r="C1438">
        <v>80</v>
      </c>
      <c r="D1438">
        <v>65.241485596000004</v>
      </c>
      <c r="E1438">
        <v>50</v>
      </c>
      <c r="F1438">
        <v>49.950099944999998</v>
      </c>
      <c r="G1438">
        <v>1394.7014160000001</v>
      </c>
      <c r="H1438">
        <v>1376.3765868999999</v>
      </c>
      <c r="I1438">
        <v>1288.6766356999999</v>
      </c>
      <c r="J1438">
        <v>1269.6527100000001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1096.1393210000001</v>
      </c>
      <c r="B1439" s="1">
        <f>DATE(2013,5,1) + TIME(3,20,37)</f>
        <v>41395.139317129629</v>
      </c>
      <c r="C1439">
        <v>80</v>
      </c>
      <c r="D1439">
        <v>65.825202942000004</v>
      </c>
      <c r="E1439">
        <v>50</v>
      </c>
      <c r="F1439">
        <v>49.946807861000003</v>
      </c>
      <c r="G1439">
        <v>1394.4614257999999</v>
      </c>
      <c r="H1439">
        <v>1376.2825928</v>
      </c>
      <c r="I1439">
        <v>1288.6781006000001</v>
      </c>
      <c r="J1439">
        <v>1269.6540527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1096.168169</v>
      </c>
      <c r="B1440" s="1">
        <f>DATE(2013,5,1) + TIME(4,2,9)</f>
        <v>41395.16815972222</v>
      </c>
      <c r="C1440">
        <v>80</v>
      </c>
      <c r="D1440">
        <v>66.397201538000004</v>
      </c>
      <c r="E1440">
        <v>50</v>
      </c>
      <c r="F1440">
        <v>49.943477631</v>
      </c>
      <c r="G1440">
        <v>1394.2283935999999</v>
      </c>
      <c r="H1440">
        <v>1376.1900635</v>
      </c>
      <c r="I1440">
        <v>1288.6785889</v>
      </c>
      <c r="J1440">
        <v>1269.6541748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1096.1976360000001</v>
      </c>
      <c r="B1441" s="1">
        <f>DATE(2013,5,1) + TIME(4,44,35)</f>
        <v>41395.197627314818</v>
      </c>
      <c r="C1441">
        <v>80</v>
      </c>
      <c r="D1441">
        <v>66.957611084000007</v>
      </c>
      <c r="E1441">
        <v>50</v>
      </c>
      <c r="F1441">
        <v>49.940109253000003</v>
      </c>
      <c r="G1441">
        <v>1394.0029297000001</v>
      </c>
      <c r="H1441">
        <v>1376.1000977000001</v>
      </c>
      <c r="I1441">
        <v>1288.6788329999999</v>
      </c>
      <c r="J1441">
        <v>1269.6541748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1096.227748</v>
      </c>
      <c r="B1442" s="1">
        <f>DATE(2013,5,1) + TIME(5,27,57)</f>
        <v>41395.227743055555</v>
      </c>
      <c r="C1442">
        <v>80</v>
      </c>
      <c r="D1442">
        <v>67.506401061999995</v>
      </c>
      <c r="E1442">
        <v>50</v>
      </c>
      <c r="F1442">
        <v>49.936702728</v>
      </c>
      <c r="G1442">
        <v>1393.7851562000001</v>
      </c>
      <c r="H1442">
        <v>1376.0129394999999</v>
      </c>
      <c r="I1442">
        <v>1288.6789550999999</v>
      </c>
      <c r="J1442">
        <v>1269.6539307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1096.25855</v>
      </c>
      <c r="B1443" s="1">
        <f>DATE(2013,5,1) + TIME(6,12,18)</f>
        <v>41395.25854166667</v>
      </c>
      <c r="C1443">
        <v>80</v>
      </c>
      <c r="D1443">
        <v>68.043800353999998</v>
      </c>
      <c r="E1443">
        <v>50</v>
      </c>
      <c r="F1443">
        <v>49.933250426999997</v>
      </c>
      <c r="G1443">
        <v>1393.5744629000001</v>
      </c>
      <c r="H1443">
        <v>1375.9281006000001</v>
      </c>
      <c r="I1443">
        <v>1288.6789550999999</v>
      </c>
      <c r="J1443">
        <v>1269.6536865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1096.2900790000001</v>
      </c>
      <c r="B1444" s="1">
        <f>DATE(2013,5,1) + TIME(6,57,42)</f>
        <v>41395.290069444447</v>
      </c>
      <c r="C1444">
        <v>80</v>
      </c>
      <c r="D1444">
        <v>68.569877625000004</v>
      </c>
      <c r="E1444">
        <v>50</v>
      </c>
      <c r="F1444">
        <v>49.929752350000001</v>
      </c>
      <c r="G1444">
        <v>1393.3706055</v>
      </c>
      <c r="H1444">
        <v>1375.8457031</v>
      </c>
      <c r="I1444">
        <v>1288.6789550999999</v>
      </c>
      <c r="J1444">
        <v>1269.6534423999999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1096.322379</v>
      </c>
      <c r="B1445" s="1">
        <f>DATE(2013,5,1) + TIME(7,44,13)</f>
        <v>41395.322372685187</v>
      </c>
      <c r="C1445">
        <v>80</v>
      </c>
      <c r="D1445">
        <v>69.084709167</v>
      </c>
      <c r="E1445">
        <v>50</v>
      </c>
      <c r="F1445">
        <v>49.926204681000002</v>
      </c>
      <c r="G1445">
        <v>1393.1733397999999</v>
      </c>
      <c r="H1445">
        <v>1375.7655029</v>
      </c>
      <c r="I1445">
        <v>1288.6789550999999</v>
      </c>
      <c r="J1445">
        <v>1269.6530762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1096.355495</v>
      </c>
      <c r="B1446" s="1">
        <f>DATE(2013,5,1) + TIME(8,31,54)</f>
        <v>41395.355486111112</v>
      </c>
      <c r="C1446">
        <v>80</v>
      </c>
      <c r="D1446">
        <v>69.588356017999999</v>
      </c>
      <c r="E1446">
        <v>50</v>
      </c>
      <c r="F1446">
        <v>49.922603606999999</v>
      </c>
      <c r="G1446">
        <v>1392.9821777</v>
      </c>
      <c r="H1446">
        <v>1375.6873779</v>
      </c>
      <c r="I1446">
        <v>1288.6788329999999</v>
      </c>
      <c r="J1446">
        <v>1269.6525879000001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1096.3894760000001</v>
      </c>
      <c r="B1447" s="1">
        <f>DATE(2013,5,1) + TIME(9,20,50)</f>
        <v>41395.389467592591</v>
      </c>
      <c r="C1447">
        <v>80</v>
      </c>
      <c r="D1447">
        <v>70.080802917</v>
      </c>
      <c r="E1447">
        <v>50</v>
      </c>
      <c r="F1447">
        <v>49.918945311999998</v>
      </c>
      <c r="G1447">
        <v>1392.7969971</v>
      </c>
      <c r="H1447">
        <v>1375.6110839999999</v>
      </c>
      <c r="I1447">
        <v>1288.6787108999999</v>
      </c>
      <c r="J1447">
        <v>1269.6520995999999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1096.4243750000001</v>
      </c>
      <c r="B1448" s="1">
        <f>DATE(2013,5,1) + TIME(10,11,5)</f>
        <v>41395.424363425926</v>
      </c>
      <c r="C1448">
        <v>80</v>
      </c>
      <c r="D1448">
        <v>70.561859131000006</v>
      </c>
      <c r="E1448">
        <v>50</v>
      </c>
      <c r="F1448">
        <v>49.915222168</v>
      </c>
      <c r="G1448">
        <v>1392.6174315999999</v>
      </c>
      <c r="H1448">
        <v>1375.5367432</v>
      </c>
      <c r="I1448">
        <v>1288.6784668</v>
      </c>
      <c r="J1448">
        <v>1269.6516113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1096.4602500000001</v>
      </c>
      <c r="B1449" s="1">
        <f>DATE(2013,5,1) + TIME(11,2,45)</f>
        <v>41395.460243055553</v>
      </c>
      <c r="C1449">
        <v>80</v>
      </c>
      <c r="D1449">
        <v>71.031829834000007</v>
      </c>
      <c r="E1449">
        <v>50</v>
      </c>
      <c r="F1449">
        <v>49.911434174</v>
      </c>
      <c r="G1449">
        <v>1392.4432373</v>
      </c>
      <c r="H1449">
        <v>1375.4639893000001</v>
      </c>
      <c r="I1449">
        <v>1288.6782227000001</v>
      </c>
      <c r="J1449">
        <v>1269.651001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1096.497165</v>
      </c>
      <c r="B1450" s="1">
        <f>DATE(2013,5,1) + TIME(11,55,55)</f>
        <v>41395.497164351851</v>
      </c>
      <c r="C1450">
        <v>80</v>
      </c>
      <c r="D1450">
        <v>71.490745544000006</v>
      </c>
      <c r="E1450">
        <v>50</v>
      </c>
      <c r="F1450">
        <v>49.907577515</v>
      </c>
      <c r="G1450">
        <v>1392.2740478999999</v>
      </c>
      <c r="H1450">
        <v>1375.3928223</v>
      </c>
      <c r="I1450">
        <v>1288.6778564000001</v>
      </c>
      <c r="J1450">
        <v>1269.6503906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1096.5351880000001</v>
      </c>
      <c r="B1451" s="1">
        <f>DATE(2013,5,1) + TIME(12,50,40)</f>
        <v>41395.535185185188</v>
      </c>
      <c r="C1451">
        <v>80</v>
      </c>
      <c r="D1451">
        <v>71.938606261999993</v>
      </c>
      <c r="E1451">
        <v>50</v>
      </c>
      <c r="F1451">
        <v>49.903644561999997</v>
      </c>
      <c r="G1451">
        <v>1392.1097411999999</v>
      </c>
      <c r="H1451">
        <v>1375.3231201000001</v>
      </c>
      <c r="I1451">
        <v>1288.6774902</v>
      </c>
      <c r="J1451">
        <v>1269.6496582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1096.5744079999999</v>
      </c>
      <c r="B1452" s="1">
        <f>DATE(2013,5,1) + TIME(13,47,8)</f>
        <v>41395.57439814815</v>
      </c>
      <c r="C1452">
        <v>80</v>
      </c>
      <c r="D1452">
        <v>72.375572204999997</v>
      </c>
      <c r="E1452">
        <v>50</v>
      </c>
      <c r="F1452">
        <v>49.899627686000002</v>
      </c>
      <c r="G1452">
        <v>1391.9500731999999</v>
      </c>
      <c r="H1452">
        <v>1375.2546387</v>
      </c>
      <c r="I1452">
        <v>1288.677124</v>
      </c>
      <c r="J1452">
        <v>1269.6489257999999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1096.6149009999999</v>
      </c>
      <c r="B1453" s="1">
        <f>DATE(2013,5,1) + TIME(14,45,27)</f>
        <v>41395.614895833336</v>
      </c>
      <c r="C1453">
        <v>80</v>
      </c>
      <c r="D1453">
        <v>72.801513671999999</v>
      </c>
      <c r="E1453">
        <v>50</v>
      </c>
      <c r="F1453">
        <v>49.895523071</v>
      </c>
      <c r="G1453">
        <v>1391.7946777</v>
      </c>
      <c r="H1453">
        <v>1375.1875</v>
      </c>
      <c r="I1453">
        <v>1288.6766356999999</v>
      </c>
      <c r="J1453">
        <v>1269.6480713000001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1096.656753</v>
      </c>
      <c r="B1454" s="1">
        <f>DATE(2013,5,1) + TIME(15,45,43)</f>
        <v>41395.656747685185</v>
      </c>
      <c r="C1454">
        <v>80</v>
      </c>
      <c r="D1454">
        <v>73.216369628999999</v>
      </c>
      <c r="E1454">
        <v>50</v>
      </c>
      <c r="F1454">
        <v>49.89132309</v>
      </c>
      <c r="G1454">
        <v>1391.6434326000001</v>
      </c>
      <c r="H1454">
        <v>1375.1213379000001</v>
      </c>
      <c r="I1454">
        <v>1288.6761475000001</v>
      </c>
      <c r="J1454">
        <v>1269.6472168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1096.7000660000001</v>
      </c>
      <c r="B1455" s="1">
        <f>DATE(2013,5,1) + TIME(16,48,5)</f>
        <v>41395.700057870374</v>
      </c>
      <c r="C1455">
        <v>80</v>
      </c>
      <c r="D1455">
        <v>73.620117187999995</v>
      </c>
      <c r="E1455">
        <v>50</v>
      </c>
      <c r="F1455">
        <v>49.887020110999998</v>
      </c>
      <c r="G1455">
        <v>1391.4960937999999</v>
      </c>
      <c r="H1455">
        <v>1375.0561522999999</v>
      </c>
      <c r="I1455">
        <v>1288.6756591999999</v>
      </c>
      <c r="J1455">
        <v>1269.6463623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1096.7449509999999</v>
      </c>
      <c r="B1456" s="1">
        <f>DATE(2013,5,1) + TIME(17,52,43)</f>
        <v>41395.744942129626</v>
      </c>
      <c r="C1456">
        <v>80</v>
      </c>
      <c r="D1456">
        <v>74.012718200999998</v>
      </c>
      <c r="E1456">
        <v>50</v>
      </c>
      <c r="F1456">
        <v>49.882610321000001</v>
      </c>
      <c r="G1456">
        <v>1391.3524170000001</v>
      </c>
      <c r="H1456">
        <v>1374.9918213000001</v>
      </c>
      <c r="I1456">
        <v>1288.6750488</v>
      </c>
      <c r="J1456">
        <v>1269.6453856999999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1096.791532</v>
      </c>
      <c r="B1457" s="1">
        <f>DATE(2013,5,1) + TIME(18,59,48)</f>
        <v>41395.791527777779</v>
      </c>
      <c r="C1457">
        <v>80</v>
      </c>
      <c r="D1457">
        <v>74.394111632999994</v>
      </c>
      <c r="E1457">
        <v>50</v>
      </c>
      <c r="F1457">
        <v>49.878078461000001</v>
      </c>
      <c r="G1457">
        <v>1391.2122803</v>
      </c>
      <c r="H1457">
        <v>1374.9282227000001</v>
      </c>
      <c r="I1457">
        <v>1288.6744385</v>
      </c>
      <c r="J1457">
        <v>1269.6442870999999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1096.83995</v>
      </c>
      <c r="B1458" s="1">
        <f>DATE(2013,5,1) + TIME(20,9,31)</f>
        <v>41395.839942129627</v>
      </c>
      <c r="C1458">
        <v>80</v>
      </c>
      <c r="D1458">
        <v>74.764244079999997</v>
      </c>
      <c r="E1458">
        <v>50</v>
      </c>
      <c r="F1458">
        <v>49.873416900999999</v>
      </c>
      <c r="G1458">
        <v>1391.0754394999999</v>
      </c>
      <c r="H1458">
        <v>1374.8652344</v>
      </c>
      <c r="I1458">
        <v>1288.6738281</v>
      </c>
      <c r="J1458">
        <v>1269.6433105000001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1096.8903600000001</v>
      </c>
      <c r="B1459" s="1">
        <f>DATE(2013,5,1) + TIME(21,22,7)</f>
        <v>41395.8903587963</v>
      </c>
      <c r="C1459">
        <v>80</v>
      </c>
      <c r="D1459">
        <v>75.122955321999996</v>
      </c>
      <c r="E1459">
        <v>50</v>
      </c>
      <c r="F1459">
        <v>49.868614196999999</v>
      </c>
      <c r="G1459">
        <v>1390.9416504000001</v>
      </c>
      <c r="H1459">
        <v>1374.8027344</v>
      </c>
      <c r="I1459">
        <v>1288.6730957</v>
      </c>
      <c r="J1459">
        <v>1269.6420897999999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1096.942939</v>
      </c>
      <c r="B1460" s="1">
        <f>DATE(2013,5,1) + TIME(22,37,49)</f>
        <v>41395.942928240744</v>
      </c>
      <c r="C1460">
        <v>80</v>
      </c>
      <c r="D1460">
        <v>75.470085143999995</v>
      </c>
      <c r="E1460">
        <v>50</v>
      </c>
      <c r="F1460">
        <v>49.863658905000001</v>
      </c>
      <c r="G1460">
        <v>1390.8106689000001</v>
      </c>
      <c r="H1460">
        <v>1374.7406006000001</v>
      </c>
      <c r="I1460">
        <v>1288.6723632999999</v>
      </c>
      <c r="J1460">
        <v>1269.6409911999999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1096.997887</v>
      </c>
      <c r="B1461" s="1">
        <f>DATE(2013,5,1) + TIME(23,56,57)</f>
        <v>41395.997881944444</v>
      </c>
      <c r="C1461">
        <v>80</v>
      </c>
      <c r="D1461">
        <v>75.805717467999997</v>
      </c>
      <c r="E1461">
        <v>50</v>
      </c>
      <c r="F1461">
        <v>49.858539581000002</v>
      </c>
      <c r="G1461">
        <v>1390.6824951000001</v>
      </c>
      <c r="H1461">
        <v>1374.6788329999999</v>
      </c>
      <c r="I1461">
        <v>1288.6716309000001</v>
      </c>
      <c r="J1461">
        <v>1269.6397704999999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1097.055447</v>
      </c>
      <c r="B1462" s="1">
        <f>DATE(2013,5,2) + TIME(1,19,50)</f>
        <v>41396.055439814816</v>
      </c>
      <c r="C1462">
        <v>80</v>
      </c>
      <c r="D1462">
        <v>76.129821777000004</v>
      </c>
      <c r="E1462">
        <v>50</v>
      </c>
      <c r="F1462">
        <v>49.853229523000003</v>
      </c>
      <c r="G1462">
        <v>1390.5566406</v>
      </c>
      <c r="H1462">
        <v>1374.6170654</v>
      </c>
      <c r="I1462">
        <v>1288.6707764</v>
      </c>
      <c r="J1462">
        <v>1269.6384277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1097.1158949999999</v>
      </c>
      <c r="B1463" s="1">
        <f>DATE(2013,5,2) + TIME(2,46,53)</f>
        <v>41396.115891203706</v>
      </c>
      <c r="C1463">
        <v>80</v>
      </c>
      <c r="D1463">
        <v>76.442344665999997</v>
      </c>
      <c r="E1463">
        <v>50</v>
      </c>
      <c r="F1463">
        <v>49.847717285000002</v>
      </c>
      <c r="G1463">
        <v>1390.4329834</v>
      </c>
      <c r="H1463">
        <v>1374.5551757999999</v>
      </c>
      <c r="I1463">
        <v>1288.6697998</v>
      </c>
      <c r="J1463">
        <v>1269.6369629000001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1097.1795090000001</v>
      </c>
      <c r="B1464" s="1">
        <f>DATE(2013,5,2) + TIME(4,18,29)</f>
        <v>41396.179502314815</v>
      </c>
      <c r="C1464">
        <v>80</v>
      </c>
      <c r="D1464">
        <v>76.743026732999994</v>
      </c>
      <c r="E1464">
        <v>50</v>
      </c>
      <c r="F1464">
        <v>49.841983794999997</v>
      </c>
      <c r="G1464">
        <v>1390.3114014</v>
      </c>
      <c r="H1464">
        <v>1374.4932861</v>
      </c>
      <c r="I1464">
        <v>1288.6688231999999</v>
      </c>
      <c r="J1464">
        <v>1269.6356201000001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1097.246641</v>
      </c>
      <c r="B1465" s="1">
        <f>DATE(2013,5,2) + TIME(5,55,9)</f>
        <v>41396.246631944443</v>
      </c>
      <c r="C1465">
        <v>80</v>
      </c>
      <c r="D1465">
        <v>77.031745911000002</v>
      </c>
      <c r="E1465">
        <v>50</v>
      </c>
      <c r="F1465">
        <v>49.835998535000002</v>
      </c>
      <c r="G1465">
        <v>1390.1916504000001</v>
      </c>
      <c r="H1465">
        <v>1374.4309082</v>
      </c>
      <c r="I1465">
        <v>1288.6678466999999</v>
      </c>
      <c r="J1465">
        <v>1269.6340332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1097.3177029999999</v>
      </c>
      <c r="B1466" s="1">
        <f>DATE(2013,5,2) + TIME(7,37,29)</f>
        <v>41396.317696759259</v>
      </c>
      <c r="C1466">
        <v>80</v>
      </c>
      <c r="D1466">
        <v>77.308349609000004</v>
      </c>
      <c r="E1466">
        <v>50</v>
      </c>
      <c r="F1466">
        <v>49.829734801999997</v>
      </c>
      <c r="G1466">
        <v>1390.0734863</v>
      </c>
      <c r="H1466">
        <v>1374.3681641000001</v>
      </c>
      <c r="I1466">
        <v>1288.6667480000001</v>
      </c>
      <c r="J1466">
        <v>1269.6324463000001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1097.3931769999999</v>
      </c>
      <c r="B1467" s="1">
        <f>DATE(2013,5,2) + TIME(9,26,10)</f>
        <v>41396.393171296295</v>
      </c>
      <c r="C1467">
        <v>80</v>
      </c>
      <c r="D1467">
        <v>77.572669982999997</v>
      </c>
      <c r="E1467">
        <v>50</v>
      </c>
      <c r="F1467">
        <v>49.823165893999999</v>
      </c>
      <c r="G1467">
        <v>1389.9566649999999</v>
      </c>
      <c r="H1467">
        <v>1374.3048096</v>
      </c>
      <c r="I1467">
        <v>1288.6656493999999</v>
      </c>
      <c r="J1467">
        <v>1269.6307373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1097.4736270000001</v>
      </c>
      <c r="B1468" s="1">
        <f>DATE(2013,5,2) + TIME(11,22,1)</f>
        <v>41396.473622685182</v>
      </c>
      <c r="C1468">
        <v>80</v>
      </c>
      <c r="D1468">
        <v>77.824501037999994</v>
      </c>
      <c r="E1468">
        <v>50</v>
      </c>
      <c r="F1468">
        <v>49.816242217999999</v>
      </c>
      <c r="G1468">
        <v>1389.8408202999999</v>
      </c>
      <c r="H1468">
        <v>1374.2404785000001</v>
      </c>
      <c r="I1468">
        <v>1288.6644286999999</v>
      </c>
      <c r="J1468">
        <v>1269.6289062000001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1097.5597640000001</v>
      </c>
      <c r="B1469" s="1">
        <f>DATE(2013,5,2) + TIME(13,26,3)</f>
        <v>41396.559756944444</v>
      </c>
      <c r="C1469">
        <v>80</v>
      </c>
      <c r="D1469">
        <v>78.063697814999998</v>
      </c>
      <c r="E1469">
        <v>50</v>
      </c>
      <c r="F1469">
        <v>49.808925629000001</v>
      </c>
      <c r="G1469">
        <v>1389.7258300999999</v>
      </c>
      <c r="H1469">
        <v>1374.1750488</v>
      </c>
      <c r="I1469">
        <v>1288.6630858999999</v>
      </c>
      <c r="J1469">
        <v>1269.6269531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1097.652439</v>
      </c>
      <c r="B1470" s="1">
        <f>DATE(2013,5,2) + TIME(15,39,30)</f>
        <v>41396.652430555558</v>
      </c>
      <c r="C1470">
        <v>80</v>
      </c>
      <c r="D1470">
        <v>78.290069579999994</v>
      </c>
      <c r="E1470">
        <v>50</v>
      </c>
      <c r="F1470">
        <v>49.801155090000002</v>
      </c>
      <c r="G1470">
        <v>1389.6113281</v>
      </c>
      <c r="H1470">
        <v>1374.1083983999999</v>
      </c>
      <c r="I1470">
        <v>1288.6616211</v>
      </c>
      <c r="J1470">
        <v>1269.6248779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1097.7526969999999</v>
      </c>
      <c r="B1471" s="1">
        <f>DATE(2013,5,2) + TIME(18,3,53)</f>
        <v>41396.752696759257</v>
      </c>
      <c r="C1471">
        <v>80</v>
      </c>
      <c r="D1471">
        <v>78.503379821999999</v>
      </c>
      <c r="E1471">
        <v>50</v>
      </c>
      <c r="F1471">
        <v>49.792861938000001</v>
      </c>
      <c r="G1471">
        <v>1389.4969481999999</v>
      </c>
      <c r="H1471">
        <v>1374.0400391000001</v>
      </c>
      <c r="I1471">
        <v>1288.6601562000001</v>
      </c>
      <c r="J1471">
        <v>1269.6226807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1097.8618550000001</v>
      </c>
      <c r="B1472" s="1">
        <f>DATE(2013,5,2) + TIME(20,41,4)</f>
        <v>41396.861851851849</v>
      </c>
      <c r="C1472">
        <v>80</v>
      </c>
      <c r="D1472">
        <v>78.703399657999995</v>
      </c>
      <c r="E1472">
        <v>50</v>
      </c>
      <c r="F1472">
        <v>49.783962250000002</v>
      </c>
      <c r="G1472">
        <v>1389.3820800999999</v>
      </c>
      <c r="H1472">
        <v>1373.9697266000001</v>
      </c>
      <c r="I1472">
        <v>1288.6584473</v>
      </c>
      <c r="J1472">
        <v>1269.6202393000001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1097.974952</v>
      </c>
      <c r="B1473" s="1">
        <f>DATE(2013,5,2) + TIME(23,23,55)</f>
        <v>41396.974942129629</v>
      </c>
      <c r="C1473">
        <v>80</v>
      </c>
      <c r="D1473">
        <v>78.881004333000007</v>
      </c>
      <c r="E1473">
        <v>50</v>
      </c>
      <c r="F1473">
        <v>49.774810791</v>
      </c>
      <c r="G1473">
        <v>1389.2713623</v>
      </c>
      <c r="H1473">
        <v>1373.8994141000001</v>
      </c>
      <c r="I1473">
        <v>1288.6566161999999</v>
      </c>
      <c r="J1473">
        <v>1269.6176757999999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1098.0885430000001</v>
      </c>
      <c r="B1474" s="1">
        <f>DATE(2013,5,3) + TIME(2,7,30)</f>
        <v>41397.088541666664</v>
      </c>
      <c r="C1474">
        <v>80</v>
      </c>
      <c r="D1474">
        <v>79.033798218000001</v>
      </c>
      <c r="E1474">
        <v>50</v>
      </c>
      <c r="F1474">
        <v>49.765663146999998</v>
      </c>
      <c r="G1474">
        <v>1389.1672363</v>
      </c>
      <c r="H1474">
        <v>1373.8314209</v>
      </c>
      <c r="I1474">
        <v>1288.6546631000001</v>
      </c>
      <c r="J1474">
        <v>1269.6149902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1098.202824</v>
      </c>
      <c r="B1475" s="1">
        <f>DATE(2013,5,3) + TIME(4,52,4)</f>
        <v>41397.202824074076</v>
      </c>
      <c r="C1475">
        <v>80</v>
      </c>
      <c r="D1475">
        <v>79.165382385000001</v>
      </c>
      <c r="E1475">
        <v>50</v>
      </c>
      <c r="F1475">
        <v>49.756496429000002</v>
      </c>
      <c r="G1475">
        <v>1389.0692139</v>
      </c>
      <c r="H1475">
        <v>1373.7658690999999</v>
      </c>
      <c r="I1475">
        <v>1288.6525879000001</v>
      </c>
      <c r="J1475">
        <v>1269.6123047000001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1098.3181010000001</v>
      </c>
      <c r="B1476" s="1">
        <f>DATE(2013,5,3) + TIME(7,38,3)</f>
        <v>41397.318090277775</v>
      </c>
      <c r="C1476">
        <v>80</v>
      </c>
      <c r="D1476">
        <v>79.278854370000005</v>
      </c>
      <c r="E1476">
        <v>50</v>
      </c>
      <c r="F1476">
        <v>49.747291564999998</v>
      </c>
      <c r="G1476">
        <v>1388.9764404</v>
      </c>
      <c r="H1476">
        <v>1373.7027588000001</v>
      </c>
      <c r="I1476">
        <v>1288.6506348</v>
      </c>
      <c r="J1476">
        <v>1269.6096190999999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1098.4346579999999</v>
      </c>
      <c r="B1477" s="1">
        <f>DATE(2013,5,3) + TIME(10,25,54)</f>
        <v>41397.434652777774</v>
      </c>
      <c r="C1477">
        <v>80</v>
      </c>
      <c r="D1477">
        <v>79.376800536999994</v>
      </c>
      <c r="E1477">
        <v>50</v>
      </c>
      <c r="F1477">
        <v>49.738025665000002</v>
      </c>
      <c r="G1477">
        <v>1388.8883057</v>
      </c>
      <c r="H1477">
        <v>1373.6416016000001</v>
      </c>
      <c r="I1477">
        <v>1288.6486815999999</v>
      </c>
      <c r="J1477">
        <v>1269.6068115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1098.552778</v>
      </c>
      <c r="B1478" s="1">
        <f>DATE(2013,5,3) + TIME(13,16,0)</f>
        <v>41397.552777777775</v>
      </c>
      <c r="C1478">
        <v>80</v>
      </c>
      <c r="D1478">
        <v>79.461395264000004</v>
      </c>
      <c r="E1478">
        <v>50</v>
      </c>
      <c r="F1478">
        <v>49.728687286000003</v>
      </c>
      <c r="G1478">
        <v>1388.8041992000001</v>
      </c>
      <c r="H1478">
        <v>1373.5821533000001</v>
      </c>
      <c r="I1478">
        <v>1288.6466064000001</v>
      </c>
      <c r="J1478">
        <v>1269.604126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1098.672761</v>
      </c>
      <c r="B1479" s="1">
        <f>DATE(2013,5,3) + TIME(16,8,46)</f>
        <v>41397.672754629632</v>
      </c>
      <c r="C1479">
        <v>80</v>
      </c>
      <c r="D1479">
        <v>79.534469603999995</v>
      </c>
      <c r="E1479">
        <v>50</v>
      </c>
      <c r="F1479">
        <v>49.719245911000002</v>
      </c>
      <c r="G1479">
        <v>1388.7233887</v>
      </c>
      <c r="H1479">
        <v>1373.5241699000001</v>
      </c>
      <c r="I1479">
        <v>1288.6445312000001</v>
      </c>
      <c r="J1479">
        <v>1269.6013184000001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1098.794901</v>
      </c>
      <c r="B1480" s="1">
        <f>DATE(2013,5,3) + TIME(19,4,39)</f>
        <v>41397.794895833336</v>
      </c>
      <c r="C1480">
        <v>80</v>
      </c>
      <c r="D1480">
        <v>79.597572326999995</v>
      </c>
      <c r="E1480">
        <v>50</v>
      </c>
      <c r="F1480">
        <v>49.709686279000003</v>
      </c>
      <c r="G1480">
        <v>1388.6456298999999</v>
      </c>
      <c r="H1480">
        <v>1373.4676514</v>
      </c>
      <c r="I1480">
        <v>1288.6423339999999</v>
      </c>
      <c r="J1480">
        <v>1269.5983887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1098.919461</v>
      </c>
      <c r="B1481" s="1">
        <f>DATE(2013,5,3) + TIME(22,4,1)</f>
        <v>41397.919456018521</v>
      </c>
      <c r="C1481">
        <v>80</v>
      </c>
      <c r="D1481">
        <v>79.652023314999994</v>
      </c>
      <c r="E1481">
        <v>50</v>
      </c>
      <c r="F1481">
        <v>49.699989318999997</v>
      </c>
      <c r="G1481">
        <v>1388.5703125</v>
      </c>
      <c r="H1481">
        <v>1373.4121094</v>
      </c>
      <c r="I1481">
        <v>1288.6402588000001</v>
      </c>
      <c r="J1481">
        <v>1269.5954589999999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1099.046748</v>
      </c>
      <c r="B1482" s="1">
        <f>DATE(2013,5,4) + TIME(1,7,19)</f>
        <v>41398.046747685185</v>
      </c>
      <c r="C1482">
        <v>80</v>
      </c>
      <c r="D1482">
        <v>79.698944092000005</v>
      </c>
      <c r="E1482">
        <v>50</v>
      </c>
      <c r="F1482">
        <v>49.690135955999999</v>
      </c>
      <c r="G1482">
        <v>1388.4973144999999</v>
      </c>
      <c r="H1482">
        <v>1373.3575439000001</v>
      </c>
      <c r="I1482">
        <v>1288.6380615</v>
      </c>
      <c r="J1482">
        <v>1269.5925293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1099.1770859999999</v>
      </c>
      <c r="B1483" s="1">
        <f>DATE(2013,5,4) + TIME(4,15,0)</f>
        <v>41398.177083333336</v>
      </c>
      <c r="C1483">
        <v>80</v>
      </c>
      <c r="D1483">
        <v>79.739334106000001</v>
      </c>
      <c r="E1483">
        <v>50</v>
      </c>
      <c r="F1483">
        <v>49.680099487</v>
      </c>
      <c r="G1483">
        <v>1388.4261475000001</v>
      </c>
      <c r="H1483">
        <v>1373.3039550999999</v>
      </c>
      <c r="I1483">
        <v>1288.6357422000001</v>
      </c>
      <c r="J1483">
        <v>1269.5894774999999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1099.3108219999999</v>
      </c>
      <c r="B1484" s="1">
        <f>DATE(2013,5,4) + TIME(7,27,35)</f>
        <v>41398.31082175926</v>
      </c>
      <c r="C1484">
        <v>80</v>
      </c>
      <c r="D1484">
        <v>79.774040221999996</v>
      </c>
      <c r="E1484">
        <v>50</v>
      </c>
      <c r="F1484">
        <v>49.669860839999998</v>
      </c>
      <c r="G1484">
        <v>1388.3565673999999</v>
      </c>
      <c r="H1484">
        <v>1373.2508545000001</v>
      </c>
      <c r="I1484">
        <v>1288.6334228999999</v>
      </c>
      <c r="J1484">
        <v>1269.5863036999999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1099.448333</v>
      </c>
      <c r="B1485" s="1">
        <f>DATE(2013,5,4) + TIME(10,45,35)</f>
        <v>41398.448321759257</v>
      </c>
      <c r="C1485">
        <v>80</v>
      </c>
      <c r="D1485">
        <v>79.803802489999995</v>
      </c>
      <c r="E1485">
        <v>50</v>
      </c>
      <c r="F1485">
        <v>49.659393311000002</v>
      </c>
      <c r="G1485">
        <v>1388.2883300999999</v>
      </c>
      <c r="H1485">
        <v>1373.1984863</v>
      </c>
      <c r="I1485">
        <v>1288.6311035000001</v>
      </c>
      <c r="J1485">
        <v>1269.5831298999999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1099.5900300000001</v>
      </c>
      <c r="B1486" s="1">
        <f>DATE(2013,5,4) + TIME(14,9,38)</f>
        <v>41398.59002314815</v>
      </c>
      <c r="C1486">
        <v>80</v>
      </c>
      <c r="D1486">
        <v>79.829261779999996</v>
      </c>
      <c r="E1486">
        <v>50</v>
      </c>
      <c r="F1486">
        <v>49.648670197000001</v>
      </c>
      <c r="G1486">
        <v>1388.2211914</v>
      </c>
      <c r="H1486">
        <v>1373.1463623</v>
      </c>
      <c r="I1486">
        <v>1288.6286620999999</v>
      </c>
      <c r="J1486">
        <v>1269.5798339999999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1099.7363640000001</v>
      </c>
      <c r="B1487" s="1">
        <f>DATE(2013,5,4) + TIME(17,40,21)</f>
        <v>41398.736354166664</v>
      </c>
      <c r="C1487">
        <v>80</v>
      </c>
      <c r="D1487">
        <v>79.850982665999993</v>
      </c>
      <c r="E1487">
        <v>50</v>
      </c>
      <c r="F1487">
        <v>49.637664794999999</v>
      </c>
      <c r="G1487">
        <v>1388.1549072</v>
      </c>
      <c r="H1487">
        <v>1373.0946045000001</v>
      </c>
      <c r="I1487">
        <v>1288.6260986</v>
      </c>
      <c r="J1487">
        <v>1269.5764160000001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1099.887841</v>
      </c>
      <c r="B1488" s="1">
        <f>DATE(2013,5,4) + TIME(21,18,29)</f>
        <v>41398.887835648151</v>
      </c>
      <c r="C1488">
        <v>80</v>
      </c>
      <c r="D1488">
        <v>79.869453429999993</v>
      </c>
      <c r="E1488">
        <v>50</v>
      </c>
      <c r="F1488">
        <v>49.626342772999998</v>
      </c>
      <c r="G1488">
        <v>1388.0892334</v>
      </c>
      <c r="H1488">
        <v>1373.0430908000001</v>
      </c>
      <c r="I1488">
        <v>1288.6234131000001</v>
      </c>
      <c r="J1488">
        <v>1269.572876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1100.045038</v>
      </c>
      <c r="B1489" s="1">
        <f>DATE(2013,5,5) + TIME(1,4,51)</f>
        <v>41399.045034722221</v>
      </c>
      <c r="C1489">
        <v>80</v>
      </c>
      <c r="D1489">
        <v>79.885108947999996</v>
      </c>
      <c r="E1489">
        <v>50</v>
      </c>
      <c r="F1489">
        <v>49.614665985000002</v>
      </c>
      <c r="G1489">
        <v>1388.0239257999999</v>
      </c>
      <c r="H1489">
        <v>1372.9915771000001</v>
      </c>
      <c r="I1489">
        <v>1288.6207274999999</v>
      </c>
      <c r="J1489">
        <v>1269.5692139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1100.208678</v>
      </c>
      <c r="B1490" s="1">
        <f>DATE(2013,5,5) + TIME(5,0,29)</f>
        <v>41399.208668981482</v>
      </c>
      <c r="C1490">
        <v>80</v>
      </c>
      <c r="D1490">
        <v>79.898338318</v>
      </c>
      <c r="E1490">
        <v>50</v>
      </c>
      <c r="F1490">
        <v>49.602592467999997</v>
      </c>
      <c r="G1490">
        <v>1387.9588623</v>
      </c>
      <c r="H1490">
        <v>1372.9399414</v>
      </c>
      <c r="I1490">
        <v>1288.6179199000001</v>
      </c>
      <c r="J1490">
        <v>1269.5654297000001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1100.3794</v>
      </c>
      <c r="B1491" s="1">
        <f>DATE(2013,5,5) + TIME(9,6,20)</f>
        <v>41399.37939814815</v>
      </c>
      <c r="C1491">
        <v>80</v>
      </c>
      <c r="D1491">
        <v>79.909454346000004</v>
      </c>
      <c r="E1491">
        <v>50</v>
      </c>
      <c r="F1491">
        <v>49.590080260999997</v>
      </c>
      <c r="G1491">
        <v>1387.8937988</v>
      </c>
      <c r="H1491">
        <v>1372.8879394999999</v>
      </c>
      <c r="I1491">
        <v>1288.6148682</v>
      </c>
      <c r="J1491">
        <v>1269.5614014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1100.557687</v>
      </c>
      <c r="B1492" s="1">
        <f>DATE(2013,5,5) + TIME(13,23,4)</f>
        <v>41399.557685185187</v>
      </c>
      <c r="C1492">
        <v>80</v>
      </c>
      <c r="D1492">
        <v>79.918746948000006</v>
      </c>
      <c r="E1492">
        <v>50</v>
      </c>
      <c r="F1492">
        <v>49.577102660999998</v>
      </c>
      <c r="G1492">
        <v>1387.8283690999999</v>
      </c>
      <c r="H1492">
        <v>1372.8356934000001</v>
      </c>
      <c r="I1492">
        <v>1288.6118164</v>
      </c>
      <c r="J1492">
        <v>1269.5573730000001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1100.7422449999999</v>
      </c>
      <c r="B1493" s="1">
        <f>DATE(2013,5,5) + TIME(17,48,49)</f>
        <v>41399.7422337963</v>
      </c>
      <c r="C1493">
        <v>80</v>
      </c>
      <c r="D1493">
        <v>79.926399231000005</v>
      </c>
      <c r="E1493">
        <v>50</v>
      </c>
      <c r="F1493">
        <v>49.563732147000003</v>
      </c>
      <c r="G1493">
        <v>1387.7628173999999</v>
      </c>
      <c r="H1493">
        <v>1372.7830810999999</v>
      </c>
      <c r="I1493">
        <v>1288.6085204999999</v>
      </c>
      <c r="J1493">
        <v>1269.5529785000001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1100.9338029999999</v>
      </c>
      <c r="B1494" s="1">
        <f>DATE(2013,5,5) + TIME(22,24,40)</f>
        <v>41399.933796296296</v>
      </c>
      <c r="C1494">
        <v>80</v>
      </c>
      <c r="D1494">
        <v>79.932678222999996</v>
      </c>
      <c r="E1494">
        <v>50</v>
      </c>
      <c r="F1494">
        <v>49.549926757999998</v>
      </c>
      <c r="G1494">
        <v>1387.6972656</v>
      </c>
      <c r="H1494">
        <v>1372.7304687999999</v>
      </c>
      <c r="I1494">
        <v>1288.6052245999999</v>
      </c>
      <c r="J1494">
        <v>1269.5485839999999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1101.133165</v>
      </c>
      <c r="B1495" s="1">
        <f>DATE(2013,5,6) + TIME(3,11,45)</f>
        <v>41400.133159722223</v>
      </c>
      <c r="C1495">
        <v>80</v>
      </c>
      <c r="D1495">
        <v>79.937812804999993</v>
      </c>
      <c r="E1495">
        <v>50</v>
      </c>
      <c r="F1495">
        <v>49.535640717</v>
      </c>
      <c r="G1495">
        <v>1387.6317139</v>
      </c>
      <c r="H1495">
        <v>1372.6777344</v>
      </c>
      <c r="I1495">
        <v>1288.6016846</v>
      </c>
      <c r="J1495">
        <v>1269.5439452999999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1101.3411619999999</v>
      </c>
      <c r="B1496" s="1">
        <f>DATE(2013,5,6) + TIME(8,11,16)</f>
        <v>41400.341157407405</v>
      </c>
      <c r="C1496">
        <v>80</v>
      </c>
      <c r="D1496">
        <v>79.942001343000001</v>
      </c>
      <c r="E1496">
        <v>50</v>
      </c>
      <c r="F1496">
        <v>49.520824431999998</v>
      </c>
      <c r="G1496">
        <v>1387.565918</v>
      </c>
      <c r="H1496">
        <v>1372.6246338000001</v>
      </c>
      <c r="I1496">
        <v>1288.5980225000001</v>
      </c>
      <c r="J1496">
        <v>1269.5390625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1101.5586920000001</v>
      </c>
      <c r="B1497" s="1">
        <f>DATE(2013,5,6) + TIME(13,24,30)</f>
        <v>41400.558680555558</v>
      </c>
      <c r="C1497">
        <v>80</v>
      </c>
      <c r="D1497">
        <v>79.945396423000005</v>
      </c>
      <c r="E1497">
        <v>50</v>
      </c>
      <c r="F1497">
        <v>49.505424499999997</v>
      </c>
      <c r="G1497">
        <v>1387.4996338000001</v>
      </c>
      <c r="H1497">
        <v>1372.5711670000001</v>
      </c>
      <c r="I1497">
        <v>1288.5942382999999</v>
      </c>
      <c r="J1497">
        <v>1269.5339355000001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1101.7868599999999</v>
      </c>
      <c r="B1498" s="1">
        <f>DATE(2013,5,6) + TIME(18,53,4)</f>
        <v>41400.786851851852</v>
      </c>
      <c r="C1498">
        <v>80</v>
      </c>
      <c r="D1498">
        <v>79.948135375999996</v>
      </c>
      <c r="E1498">
        <v>50</v>
      </c>
      <c r="F1498">
        <v>49.489383697999997</v>
      </c>
      <c r="G1498">
        <v>1387.4327393000001</v>
      </c>
      <c r="H1498">
        <v>1372.5172118999999</v>
      </c>
      <c r="I1498">
        <v>1288.5902100000001</v>
      </c>
      <c r="J1498">
        <v>1269.5286865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1102.0195880000001</v>
      </c>
      <c r="B1499" s="1">
        <f>DATE(2013,5,7) + TIME(0,28,12)</f>
        <v>41401.019583333335</v>
      </c>
      <c r="C1499">
        <v>80</v>
      </c>
      <c r="D1499">
        <v>79.950286864999995</v>
      </c>
      <c r="E1499">
        <v>50</v>
      </c>
      <c r="F1499">
        <v>49.473026275999999</v>
      </c>
      <c r="G1499">
        <v>1387.3649902</v>
      </c>
      <c r="H1499">
        <v>1372.4624022999999</v>
      </c>
      <c r="I1499">
        <v>1288.5859375</v>
      </c>
      <c r="J1499">
        <v>1269.5231934000001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1102.2536729999999</v>
      </c>
      <c r="B1500" s="1">
        <f>DATE(2013,5,7) + TIME(6,5,17)</f>
        <v>41401.253668981481</v>
      </c>
      <c r="C1500">
        <v>80</v>
      </c>
      <c r="D1500">
        <v>79.951957703000005</v>
      </c>
      <c r="E1500">
        <v>50</v>
      </c>
      <c r="F1500">
        <v>49.456539153999998</v>
      </c>
      <c r="G1500">
        <v>1387.2982178</v>
      </c>
      <c r="H1500">
        <v>1372.4085693</v>
      </c>
      <c r="I1500">
        <v>1288.581543</v>
      </c>
      <c r="J1500">
        <v>1269.5174560999999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1102.489724</v>
      </c>
      <c r="B1501" s="1">
        <f>DATE(2013,5,7) + TIME(11,45,12)</f>
        <v>41401.489722222221</v>
      </c>
      <c r="C1501">
        <v>80</v>
      </c>
      <c r="D1501">
        <v>79.953262328999998</v>
      </c>
      <c r="E1501">
        <v>50</v>
      </c>
      <c r="F1501">
        <v>49.439918517999999</v>
      </c>
      <c r="G1501">
        <v>1387.2331543</v>
      </c>
      <c r="H1501">
        <v>1372.3560791</v>
      </c>
      <c r="I1501">
        <v>1288.5772704999999</v>
      </c>
      <c r="J1501">
        <v>1269.5118408000001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1102.7283789999999</v>
      </c>
      <c r="B1502" s="1">
        <f>DATE(2013,5,7) + TIME(17,28,51)</f>
        <v>41401.728368055556</v>
      </c>
      <c r="C1502">
        <v>80</v>
      </c>
      <c r="D1502">
        <v>79.954284668</v>
      </c>
      <c r="E1502">
        <v>50</v>
      </c>
      <c r="F1502">
        <v>49.423137664999999</v>
      </c>
      <c r="G1502">
        <v>1387.1696777</v>
      </c>
      <c r="H1502">
        <v>1372.3048096</v>
      </c>
      <c r="I1502">
        <v>1288.5727539</v>
      </c>
      <c r="J1502">
        <v>1269.5061035000001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1102.9702870000001</v>
      </c>
      <c r="B1503" s="1">
        <f>DATE(2013,5,7) + TIME(23,17,12)</f>
        <v>41401.970277777778</v>
      </c>
      <c r="C1503">
        <v>80</v>
      </c>
      <c r="D1503">
        <v>79.955093383999994</v>
      </c>
      <c r="E1503">
        <v>50</v>
      </c>
      <c r="F1503">
        <v>49.406169890999998</v>
      </c>
      <c r="G1503">
        <v>1387.1072998</v>
      </c>
      <c r="H1503">
        <v>1372.2546387</v>
      </c>
      <c r="I1503">
        <v>1288.5683594</v>
      </c>
      <c r="J1503">
        <v>1269.5002440999999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1103.2161040000001</v>
      </c>
      <c r="B1504" s="1">
        <f>DATE(2013,5,8) + TIME(5,11,11)</f>
        <v>41402.216099537036</v>
      </c>
      <c r="C1504">
        <v>80</v>
      </c>
      <c r="D1504">
        <v>79.955734253000003</v>
      </c>
      <c r="E1504">
        <v>50</v>
      </c>
      <c r="F1504">
        <v>49.388992309999999</v>
      </c>
      <c r="G1504">
        <v>1387.0460204999999</v>
      </c>
      <c r="H1504">
        <v>1372.2053223</v>
      </c>
      <c r="I1504">
        <v>1288.5638428</v>
      </c>
      <c r="J1504">
        <v>1269.4942627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1103.466504</v>
      </c>
      <c r="B1505" s="1">
        <f>DATE(2013,5,8) + TIME(11,11,45)</f>
        <v>41402.466493055559</v>
      </c>
      <c r="C1505">
        <v>80</v>
      </c>
      <c r="D1505">
        <v>79.956245421999995</v>
      </c>
      <c r="E1505">
        <v>50</v>
      </c>
      <c r="F1505">
        <v>49.371566772000001</v>
      </c>
      <c r="G1505">
        <v>1386.9854736</v>
      </c>
      <c r="H1505">
        <v>1372.1566161999999</v>
      </c>
      <c r="I1505">
        <v>1288.5592041</v>
      </c>
      <c r="J1505">
        <v>1269.4882812000001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1103.7221959999999</v>
      </c>
      <c r="B1506" s="1">
        <f>DATE(2013,5,8) + TIME(17,19,57)</f>
        <v>41402.722187500003</v>
      </c>
      <c r="C1506">
        <v>80</v>
      </c>
      <c r="D1506">
        <v>79.956657410000005</v>
      </c>
      <c r="E1506">
        <v>50</v>
      </c>
      <c r="F1506">
        <v>49.353858948000003</v>
      </c>
      <c r="G1506">
        <v>1386.9255370999999</v>
      </c>
      <c r="H1506">
        <v>1372.1083983999999</v>
      </c>
      <c r="I1506">
        <v>1288.5545654</v>
      </c>
      <c r="J1506">
        <v>1269.4821777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1103.983937</v>
      </c>
      <c r="B1507" s="1">
        <f>DATE(2013,5,8) + TIME(23,36,52)</f>
        <v>41402.983935185184</v>
      </c>
      <c r="C1507">
        <v>80</v>
      </c>
      <c r="D1507">
        <v>79.956993103000002</v>
      </c>
      <c r="E1507">
        <v>50</v>
      </c>
      <c r="F1507">
        <v>49.335826873999999</v>
      </c>
      <c r="G1507">
        <v>1386.8659668</v>
      </c>
      <c r="H1507">
        <v>1372.0605469</v>
      </c>
      <c r="I1507">
        <v>1288.5496826000001</v>
      </c>
      <c r="J1507">
        <v>1269.4758300999999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1104.2525439999999</v>
      </c>
      <c r="B1508" s="1">
        <f>DATE(2013,5,9) + TIME(6,3,39)</f>
        <v>41403.252534722225</v>
      </c>
      <c r="C1508">
        <v>80</v>
      </c>
      <c r="D1508">
        <v>79.957260132000002</v>
      </c>
      <c r="E1508">
        <v>50</v>
      </c>
      <c r="F1508">
        <v>49.317424774000003</v>
      </c>
      <c r="G1508">
        <v>1386.8065185999999</v>
      </c>
      <c r="H1508">
        <v>1372.0129394999999</v>
      </c>
      <c r="I1508">
        <v>1288.5447998</v>
      </c>
      <c r="J1508">
        <v>1269.4694824000001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1104.5289130000001</v>
      </c>
      <c r="B1509" s="1">
        <f>DATE(2013,5,9) + TIME(12,41,38)</f>
        <v>41403.528912037036</v>
      </c>
      <c r="C1509">
        <v>80</v>
      </c>
      <c r="D1509">
        <v>79.957473754999995</v>
      </c>
      <c r="E1509">
        <v>50</v>
      </c>
      <c r="F1509">
        <v>49.298606872999997</v>
      </c>
      <c r="G1509">
        <v>1386.7473144999999</v>
      </c>
      <c r="H1509">
        <v>1371.9654541</v>
      </c>
      <c r="I1509">
        <v>1288.5397949000001</v>
      </c>
      <c r="J1509">
        <v>1269.4627685999999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1104.8141760000001</v>
      </c>
      <c r="B1510" s="1">
        <f>DATE(2013,5,9) + TIME(19,32,24)</f>
        <v>41403.814166666663</v>
      </c>
      <c r="C1510">
        <v>80</v>
      </c>
      <c r="D1510">
        <v>79.95765686</v>
      </c>
      <c r="E1510">
        <v>50</v>
      </c>
      <c r="F1510">
        <v>49.279304504000002</v>
      </c>
      <c r="G1510">
        <v>1386.6878661999999</v>
      </c>
      <c r="H1510">
        <v>1371.9179687999999</v>
      </c>
      <c r="I1510">
        <v>1288.5345459</v>
      </c>
      <c r="J1510">
        <v>1269.4560547000001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1105.108393</v>
      </c>
      <c r="B1511" s="1">
        <f>DATE(2013,5,10) + TIME(2,36,5)</f>
        <v>41404.108391203707</v>
      </c>
      <c r="C1511">
        <v>80</v>
      </c>
      <c r="D1511">
        <v>79.957801818999997</v>
      </c>
      <c r="E1511">
        <v>50</v>
      </c>
      <c r="F1511">
        <v>49.259510040000002</v>
      </c>
      <c r="G1511">
        <v>1386.6281738</v>
      </c>
      <c r="H1511">
        <v>1371.8701172000001</v>
      </c>
      <c r="I1511">
        <v>1288.5291748</v>
      </c>
      <c r="J1511">
        <v>1269.4489745999999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1105.40885</v>
      </c>
      <c r="B1512" s="1">
        <f>DATE(2013,5,10) + TIME(9,48,44)</f>
        <v>41404.408842592595</v>
      </c>
      <c r="C1512">
        <v>80</v>
      </c>
      <c r="D1512">
        <v>79.957916260000005</v>
      </c>
      <c r="E1512">
        <v>50</v>
      </c>
      <c r="F1512">
        <v>49.239353180000002</v>
      </c>
      <c r="G1512">
        <v>1386.5681152</v>
      </c>
      <c r="H1512">
        <v>1371.8222656</v>
      </c>
      <c r="I1512">
        <v>1288.5236815999999</v>
      </c>
      <c r="J1512">
        <v>1269.4417725000001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1105.7163849999999</v>
      </c>
      <c r="B1513" s="1">
        <f>DATE(2013,5,10) + TIME(17,11,35)</f>
        <v>41404.716377314813</v>
      </c>
      <c r="C1513">
        <v>80</v>
      </c>
      <c r="D1513">
        <v>79.958007812000005</v>
      </c>
      <c r="E1513">
        <v>50</v>
      </c>
      <c r="F1513">
        <v>49.218803405999999</v>
      </c>
      <c r="G1513">
        <v>1386.5084228999999</v>
      </c>
      <c r="H1513">
        <v>1371.7746582</v>
      </c>
      <c r="I1513">
        <v>1288.5179443</v>
      </c>
      <c r="J1513">
        <v>1269.4343262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1106.0318339999999</v>
      </c>
      <c r="B1514" s="1">
        <f>DATE(2013,5,11) + TIME(0,45,50)</f>
        <v>41405.031828703701</v>
      </c>
      <c r="C1514">
        <v>80</v>
      </c>
      <c r="D1514">
        <v>79.958084106000001</v>
      </c>
      <c r="E1514">
        <v>50</v>
      </c>
      <c r="F1514">
        <v>49.197818755999997</v>
      </c>
      <c r="G1514">
        <v>1386.4488524999999</v>
      </c>
      <c r="H1514">
        <v>1371.7271728999999</v>
      </c>
      <c r="I1514">
        <v>1288.5120850000001</v>
      </c>
      <c r="J1514">
        <v>1269.4267577999999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1106.3561159999999</v>
      </c>
      <c r="B1515" s="1">
        <f>DATE(2013,5,11) + TIME(8,32,48)</f>
        <v>41405.356111111112</v>
      </c>
      <c r="C1515">
        <v>80</v>
      </c>
      <c r="D1515">
        <v>79.958145142000006</v>
      </c>
      <c r="E1515">
        <v>50</v>
      </c>
      <c r="F1515">
        <v>49.176353454999997</v>
      </c>
      <c r="G1515">
        <v>1386.3894043</v>
      </c>
      <c r="H1515">
        <v>1371.6796875</v>
      </c>
      <c r="I1515">
        <v>1288.5061035000001</v>
      </c>
      <c r="J1515">
        <v>1269.4189452999999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1106.6902480000001</v>
      </c>
      <c r="B1516" s="1">
        <f>DATE(2013,5,11) + TIME(16,33,57)</f>
        <v>41405.690243055556</v>
      </c>
      <c r="C1516">
        <v>80</v>
      </c>
      <c r="D1516">
        <v>79.958190918</v>
      </c>
      <c r="E1516">
        <v>50</v>
      </c>
      <c r="F1516">
        <v>49.154365540000001</v>
      </c>
      <c r="G1516">
        <v>1386.3297118999999</v>
      </c>
      <c r="H1516">
        <v>1371.6322021000001</v>
      </c>
      <c r="I1516">
        <v>1288.5</v>
      </c>
      <c r="J1516">
        <v>1269.4108887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1107.035404</v>
      </c>
      <c r="B1517" s="1">
        <f>DATE(2013,5,12) + TIME(0,50,58)</f>
        <v>41406.035393518519</v>
      </c>
      <c r="C1517">
        <v>80</v>
      </c>
      <c r="D1517">
        <v>79.958229064999998</v>
      </c>
      <c r="E1517">
        <v>50</v>
      </c>
      <c r="F1517">
        <v>49.131786345999998</v>
      </c>
      <c r="G1517">
        <v>1386.2697754000001</v>
      </c>
      <c r="H1517">
        <v>1371.5845947</v>
      </c>
      <c r="I1517">
        <v>1288.4936522999999</v>
      </c>
      <c r="J1517">
        <v>1269.4025879000001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1107.3930399999999</v>
      </c>
      <c r="B1518" s="1">
        <f>DATE(2013,5,12) + TIME(9,25,58)</f>
        <v>41406.39303240741</v>
      </c>
      <c r="C1518">
        <v>80</v>
      </c>
      <c r="D1518">
        <v>79.958259583</v>
      </c>
      <c r="E1518">
        <v>50</v>
      </c>
      <c r="F1518">
        <v>49.108543396000002</v>
      </c>
      <c r="G1518">
        <v>1386.2093506000001</v>
      </c>
      <c r="H1518">
        <v>1371.536499</v>
      </c>
      <c r="I1518">
        <v>1288.4870605000001</v>
      </c>
      <c r="J1518">
        <v>1269.394043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1107.762037</v>
      </c>
      <c r="B1519" s="1">
        <f>DATE(2013,5,12) + TIME(18,17,19)</f>
        <v>41406.762025462966</v>
      </c>
      <c r="C1519">
        <v>80</v>
      </c>
      <c r="D1519">
        <v>79.958282471000004</v>
      </c>
      <c r="E1519">
        <v>50</v>
      </c>
      <c r="F1519">
        <v>49.084678650000001</v>
      </c>
      <c r="G1519">
        <v>1386.1483154</v>
      </c>
      <c r="H1519">
        <v>1371.4880370999999</v>
      </c>
      <c r="I1519">
        <v>1288.4802245999999</v>
      </c>
      <c r="J1519">
        <v>1269.3851318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1108.13499</v>
      </c>
      <c r="B1520" s="1">
        <f>DATE(2013,5,13) + TIME(3,14,23)</f>
        <v>41407.134988425925</v>
      </c>
      <c r="C1520">
        <v>80</v>
      </c>
      <c r="D1520">
        <v>79.958297728999995</v>
      </c>
      <c r="E1520">
        <v>50</v>
      </c>
      <c r="F1520">
        <v>49.060520171999997</v>
      </c>
      <c r="G1520">
        <v>1386.0869141000001</v>
      </c>
      <c r="H1520">
        <v>1371.4393310999999</v>
      </c>
      <c r="I1520">
        <v>1288.4731445</v>
      </c>
      <c r="J1520">
        <v>1269.3759766000001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1108.511317</v>
      </c>
      <c r="B1521" s="1">
        <f>DATE(2013,5,13) + TIME(12,16,17)</f>
        <v>41407.511307870373</v>
      </c>
      <c r="C1521">
        <v>80</v>
      </c>
      <c r="D1521">
        <v>79.958305358999993</v>
      </c>
      <c r="E1521">
        <v>50</v>
      </c>
      <c r="F1521">
        <v>49.036136626999998</v>
      </c>
      <c r="G1521">
        <v>1386.0263672000001</v>
      </c>
      <c r="H1521">
        <v>1371.3913574000001</v>
      </c>
      <c r="I1521">
        <v>1288.4658202999999</v>
      </c>
      <c r="J1521">
        <v>1269.3666992000001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1108.8915890000001</v>
      </c>
      <c r="B1522" s="1">
        <f>DATE(2013,5,13) + TIME(21,23,53)</f>
        <v>41407.891585648147</v>
      </c>
      <c r="C1522">
        <v>80</v>
      </c>
      <c r="D1522">
        <v>79.958305358999993</v>
      </c>
      <c r="E1522">
        <v>50</v>
      </c>
      <c r="F1522">
        <v>49.011535645000002</v>
      </c>
      <c r="G1522">
        <v>1385.9666748</v>
      </c>
      <c r="H1522">
        <v>1371.3441161999999</v>
      </c>
      <c r="I1522">
        <v>1288.4586182</v>
      </c>
      <c r="J1522">
        <v>1269.3572998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1109.2768169999999</v>
      </c>
      <c r="B1523" s="1">
        <f>DATE(2013,5,14) + TIME(6,38,36)</f>
        <v>41408.276805555557</v>
      </c>
      <c r="C1523">
        <v>80</v>
      </c>
      <c r="D1523">
        <v>79.958305358999993</v>
      </c>
      <c r="E1523">
        <v>50</v>
      </c>
      <c r="F1523">
        <v>48.986698150999999</v>
      </c>
      <c r="G1523">
        <v>1385.9079589999999</v>
      </c>
      <c r="H1523">
        <v>1371.2974853999999</v>
      </c>
      <c r="I1523">
        <v>1288.4512939000001</v>
      </c>
      <c r="J1523">
        <v>1269.3477783000001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1109.6680309999999</v>
      </c>
      <c r="B1524" s="1">
        <f>DATE(2013,5,14) + TIME(16,1,57)</f>
        <v>41408.668020833335</v>
      </c>
      <c r="C1524">
        <v>80</v>
      </c>
      <c r="D1524">
        <v>79.958297728999995</v>
      </c>
      <c r="E1524">
        <v>50</v>
      </c>
      <c r="F1524">
        <v>48.961585999</v>
      </c>
      <c r="G1524">
        <v>1385.8497314000001</v>
      </c>
      <c r="H1524">
        <v>1371.2514647999999</v>
      </c>
      <c r="I1524">
        <v>1288.4438477000001</v>
      </c>
      <c r="J1524">
        <v>1269.3381348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1110.0663059999999</v>
      </c>
      <c r="B1525" s="1">
        <f>DATE(2013,5,15) + TIME(1,35,28)</f>
        <v>41409.066296296296</v>
      </c>
      <c r="C1525">
        <v>80</v>
      </c>
      <c r="D1525">
        <v>79.958290099999999</v>
      </c>
      <c r="E1525">
        <v>50</v>
      </c>
      <c r="F1525">
        <v>48.936153412000003</v>
      </c>
      <c r="G1525">
        <v>1385.7919922000001</v>
      </c>
      <c r="H1525">
        <v>1371.2058105000001</v>
      </c>
      <c r="I1525">
        <v>1288.4362793</v>
      </c>
      <c r="J1525">
        <v>1269.3282471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1110.4727720000001</v>
      </c>
      <c r="B1526" s="1">
        <f>DATE(2013,5,15) + TIME(11,20,47)</f>
        <v>41409.472766203704</v>
      </c>
      <c r="C1526">
        <v>80</v>
      </c>
      <c r="D1526">
        <v>79.958282471000004</v>
      </c>
      <c r="E1526">
        <v>50</v>
      </c>
      <c r="F1526">
        <v>48.910346984999997</v>
      </c>
      <c r="G1526">
        <v>1385.7344971</v>
      </c>
      <c r="H1526">
        <v>1371.1602783000001</v>
      </c>
      <c r="I1526">
        <v>1288.4284668</v>
      </c>
      <c r="J1526">
        <v>1269.3182373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1110.8886359999999</v>
      </c>
      <c r="B1527" s="1">
        <f>DATE(2013,5,15) + TIME(21,19,38)</f>
        <v>41409.88863425926</v>
      </c>
      <c r="C1527">
        <v>80</v>
      </c>
      <c r="D1527">
        <v>79.958274841000005</v>
      </c>
      <c r="E1527">
        <v>50</v>
      </c>
      <c r="F1527">
        <v>48.884109496999997</v>
      </c>
      <c r="G1527">
        <v>1385.677124</v>
      </c>
      <c r="H1527">
        <v>1371.1149902</v>
      </c>
      <c r="I1527">
        <v>1288.4205322</v>
      </c>
      <c r="J1527">
        <v>1269.3078613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1111.315208</v>
      </c>
      <c r="B1528" s="1">
        <f>DATE(2013,5,16) + TIME(7,33,53)</f>
        <v>41410.315196759257</v>
      </c>
      <c r="C1528">
        <v>80</v>
      </c>
      <c r="D1528">
        <v>79.958259583</v>
      </c>
      <c r="E1528">
        <v>50</v>
      </c>
      <c r="F1528">
        <v>48.857368469000001</v>
      </c>
      <c r="G1528">
        <v>1385.6196289</v>
      </c>
      <c r="H1528">
        <v>1371.0695800999999</v>
      </c>
      <c r="I1528">
        <v>1288.4124756000001</v>
      </c>
      <c r="J1528">
        <v>1269.2973632999999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1111.753931</v>
      </c>
      <c r="B1529" s="1">
        <f>DATE(2013,5,16) + TIME(18,5,39)</f>
        <v>41410.753923611112</v>
      </c>
      <c r="C1529">
        <v>80</v>
      </c>
      <c r="D1529">
        <v>79.958251953000001</v>
      </c>
      <c r="E1529">
        <v>50</v>
      </c>
      <c r="F1529">
        <v>48.830055237000003</v>
      </c>
      <c r="G1529">
        <v>1385.5620117000001</v>
      </c>
      <c r="H1529">
        <v>1371.0240478999999</v>
      </c>
      <c r="I1529">
        <v>1288.4040527</v>
      </c>
      <c r="J1529">
        <v>1269.286499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1112.206641</v>
      </c>
      <c r="B1530" s="1">
        <f>DATE(2013,5,17) + TIME(4,57,33)</f>
        <v>41411.206631944442</v>
      </c>
      <c r="C1530">
        <v>80</v>
      </c>
      <c r="D1530">
        <v>79.958236693999993</v>
      </c>
      <c r="E1530">
        <v>50</v>
      </c>
      <c r="F1530">
        <v>48.802078246999997</v>
      </c>
      <c r="G1530">
        <v>1385.5040283000001</v>
      </c>
      <c r="H1530">
        <v>1370.9782714999999</v>
      </c>
      <c r="I1530">
        <v>1288.3955077999999</v>
      </c>
      <c r="J1530">
        <v>1269.2752685999999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1112.6706610000001</v>
      </c>
      <c r="B1531" s="1">
        <f>DATE(2013,5,17) + TIME(16,5,45)</f>
        <v>41411.670659722222</v>
      </c>
      <c r="C1531">
        <v>80</v>
      </c>
      <c r="D1531">
        <v>79.958221436000002</v>
      </c>
      <c r="E1531">
        <v>50</v>
      </c>
      <c r="F1531">
        <v>48.773521422999998</v>
      </c>
      <c r="G1531">
        <v>1385.4455565999999</v>
      </c>
      <c r="H1531">
        <v>1370.9321289</v>
      </c>
      <c r="I1531">
        <v>1288.3865966999999</v>
      </c>
      <c r="J1531">
        <v>1269.2637939000001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1113.144043</v>
      </c>
      <c r="B1532" s="1">
        <f>DATE(2013,5,18) + TIME(3,27,25)</f>
        <v>41412.14403935185</v>
      </c>
      <c r="C1532">
        <v>80</v>
      </c>
      <c r="D1532">
        <v>79.958206176999994</v>
      </c>
      <c r="E1532">
        <v>50</v>
      </c>
      <c r="F1532">
        <v>48.744464874000002</v>
      </c>
      <c r="G1532">
        <v>1385.3868408000001</v>
      </c>
      <c r="H1532">
        <v>1370.8857422000001</v>
      </c>
      <c r="I1532">
        <v>1288.3774414</v>
      </c>
      <c r="J1532">
        <v>1269.2519531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1113.6252790000001</v>
      </c>
      <c r="B1533" s="1">
        <f>DATE(2013,5,18) + TIME(15,0,24)</f>
        <v>41412.625277777777</v>
      </c>
      <c r="C1533">
        <v>80</v>
      </c>
      <c r="D1533">
        <v>79.958183289000004</v>
      </c>
      <c r="E1533">
        <v>50</v>
      </c>
      <c r="F1533">
        <v>48.714988708</v>
      </c>
      <c r="G1533">
        <v>1385.3282471</v>
      </c>
      <c r="H1533">
        <v>1370.8395995999999</v>
      </c>
      <c r="I1533">
        <v>1288.3680420000001</v>
      </c>
      <c r="J1533">
        <v>1269.2397461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1114.1155839999999</v>
      </c>
      <c r="B1534" s="1">
        <f>DATE(2013,5,19) + TIME(2,46,26)</f>
        <v>41413.115578703706</v>
      </c>
      <c r="C1534">
        <v>80</v>
      </c>
      <c r="D1534">
        <v>79.958168029999996</v>
      </c>
      <c r="E1534">
        <v>50</v>
      </c>
      <c r="F1534">
        <v>48.685073852999999</v>
      </c>
      <c r="G1534">
        <v>1385.2700195</v>
      </c>
      <c r="H1534">
        <v>1370.7935791</v>
      </c>
      <c r="I1534">
        <v>1288.3583983999999</v>
      </c>
      <c r="J1534">
        <v>1269.2272949000001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1114.614773</v>
      </c>
      <c r="B1535" s="1">
        <f>DATE(2013,5,19) + TIME(14,45,16)</f>
        <v>41413.614768518521</v>
      </c>
      <c r="C1535">
        <v>80</v>
      </c>
      <c r="D1535">
        <v>79.958152771000002</v>
      </c>
      <c r="E1535">
        <v>50</v>
      </c>
      <c r="F1535">
        <v>48.654735565000003</v>
      </c>
      <c r="G1535">
        <v>1385.2119141000001</v>
      </c>
      <c r="H1535">
        <v>1370.7476807</v>
      </c>
      <c r="I1535">
        <v>1288.3486327999999</v>
      </c>
      <c r="J1535">
        <v>1269.2145995999999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1115.121226</v>
      </c>
      <c r="B1536" s="1">
        <f>DATE(2013,5,20) + TIME(2,54,33)</f>
        <v>41414.121215277781</v>
      </c>
      <c r="C1536">
        <v>80</v>
      </c>
      <c r="D1536">
        <v>79.958137511999993</v>
      </c>
      <c r="E1536">
        <v>50</v>
      </c>
      <c r="F1536">
        <v>48.624050140000001</v>
      </c>
      <c r="G1536">
        <v>1385.1539307</v>
      </c>
      <c r="H1536">
        <v>1370.7020264</v>
      </c>
      <c r="I1536">
        <v>1288.3386230000001</v>
      </c>
      <c r="J1536">
        <v>1269.2016602000001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1115.6335079999999</v>
      </c>
      <c r="B1537" s="1">
        <f>DATE(2013,5,20) + TIME(15,12,15)</f>
        <v>41414.633506944447</v>
      </c>
      <c r="C1537">
        <v>80</v>
      </c>
      <c r="D1537">
        <v>79.958114624000004</v>
      </c>
      <c r="E1537">
        <v>50</v>
      </c>
      <c r="F1537">
        <v>48.593086243000002</v>
      </c>
      <c r="G1537">
        <v>1385.0963135</v>
      </c>
      <c r="H1537">
        <v>1370.6566161999999</v>
      </c>
      <c r="I1537">
        <v>1288.3283690999999</v>
      </c>
      <c r="J1537">
        <v>1269.1884766000001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1116.15147</v>
      </c>
      <c r="B1538" s="1">
        <f>DATE(2013,5,21) + TIME(3,38,7)</f>
        <v>41415.151469907411</v>
      </c>
      <c r="C1538">
        <v>80</v>
      </c>
      <c r="D1538">
        <v>79.958099364999995</v>
      </c>
      <c r="E1538">
        <v>50</v>
      </c>
      <c r="F1538">
        <v>48.561878204000003</v>
      </c>
      <c r="G1538">
        <v>1385.0393065999999</v>
      </c>
      <c r="H1538">
        <v>1370.6115723</v>
      </c>
      <c r="I1538">
        <v>1288.3179932</v>
      </c>
      <c r="J1538">
        <v>1269.1750488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1116.6765499999999</v>
      </c>
      <c r="B1539" s="1">
        <f>DATE(2013,5,21) + TIME(16,14,13)</f>
        <v>41415.676539351851</v>
      </c>
      <c r="C1539">
        <v>80</v>
      </c>
      <c r="D1539">
        <v>79.958084106000001</v>
      </c>
      <c r="E1539">
        <v>50</v>
      </c>
      <c r="F1539">
        <v>48.530395507999998</v>
      </c>
      <c r="G1539">
        <v>1384.9827881000001</v>
      </c>
      <c r="H1539">
        <v>1370.5670166</v>
      </c>
      <c r="I1539">
        <v>1288.3076172000001</v>
      </c>
      <c r="J1539">
        <v>1269.161499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1117.2102179999999</v>
      </c>
      <c r="B1540" s="1">
        <f>DATE(2013,5,22) + TIME(5,2,42)</f>
        <v>41416.21020833333</v>
      </c>
      <c r="C1540">
        <v>80</v>
      </c>
      <c r="D1540">
        <v>79.958068847999996</v>
      </c>
      <c r="E1540">
        <v>50</v>
      </c>
      <c r="F1540">
        <v>48.498577118</v>
      </c>
      <c r="G1540">
        <v>1384.9265137</v>
      </c>
      <c r="H1540">
        <v>1370.5227050999999</v>
      </c>
      <c r="I1540">
        <v>1288.296875</v>
      </c>
      <c r="J1540">
        <v>1269.1475829999999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1117.7540389999999</v>
      </c>
      <c r="B1541" s="1">
        <f>DATE(2013,5,22) + TIME(18,5,48)</f>
        <v>41416.754027777781</v>
      </c>
      <c r="C1541">
        <v>80</v>
      </c>
      <c r="D1541">
        <v>79.958053589000002</v>
      </c>
      <c r="E1541">
        <v>50</v>
      </c>
      <c r="F1541">
        <v>48.466358184999997</v>
      </c>
      <c r="G1541">
        <v>1384.8706055</v>
      </c>
      <c r="H1541">
        <v>1370.4785156</v>
      </c>
      <c r="I1541">
        <v>1288.2860106999999</v>
      </c>
      <c r="J1541">
        <v>1269.1334228999999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1118.3096909999999</v>
      </c>
      <c r="B1542" s="1">
        <f>DATE(2013,5,23) + TIME(7,25,57)</f>
        <v>41417.309687499997</v>
      </c>
      <c r="C1542">
        <v>80</v>
      </c>
      <c r="D1542">
        <v>79.958038329999994</v>
      </c>
      <c r="E1542">
        <v>50</v>
      </c>
      <c r="F1542">
        <v>48.433662415000001</v>
      </c>
      <c r="G1542">
        <v>1384.8145752</v>
      </c>
      <c r="H1542">
        <v>1370.4343262</v>
      </c>
      <c r="I1542">
        <v>1288.2749022999999</v>
      </c>
      <c r="J1542">
        <v>1269.1190185999999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1118.8789879999999</v>
      </c>
      <c r="B1543" s="1">
        <f>DATE(2013,5,23) + TIME(21,5,44)</f>
        <v>41417.878981481481</v>
      </c>
      <c r="C1543">
        <v>80</v>
      </c>
      <c r="D1543">
        <v>79.958023071</v>
      </c>
      <c r="E1543">
        <v>50</v>
      </c>
      <c r="F1543">
        <v>48.400405884000001</v>
      </c>
      <c r="G1543">
        <v>1384.7585449000001</v>
      </c>
      <c r="H1543">
        <v>1370.3900146000001</v>
      </c>
      <c r="I1543">
        <v>1288.2634277</v>
      </c>
      <c r="J1543">
        <v>1269.104126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1119.464078</v>
      </c>
      <c r="B1544" s="1">
        <f>DATE(2013,5,24) + TIME(11,8,16)</f>
        <v>41418.464074074072</v>
      </c>
      <c r="C1544">
        <v>80</v>
      </c>
      <c r="D1544">
        <v>79.958007812000005</v>
      </c>
      <c r="E1544">
        <v>50</v>
      </c>
      <c r="F1544">
        <v>48.366477965999998</v>
      </c>
      <c r="G1544">
        <v>1384.7021483999999</v>
      </c>
      <c r="H1544">
        <v>1370.3455810999999</v>
      </c>
      <c r="I1544">
        <v>1288.2517089999999</v>
      </c>
      <c r="J1544">
        <v>1269.0887451000001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1120.067378</v>
      </c>
      <c r="B1545" s="1">
        <f>DATE(2013,5,25) + TIME(1,37,1)</f>
        <v>41419.067372685182</v>
      </c>
      <c r="C1545">
        <v>80</v>
      </c>
      <c r="D1545">
        <v>79.957992554</v>
      </c>
      <c r="E1545">
        <v>50</v>
      </c>
      <c r="F1545">
        <v>48.331771850999999</v>
      </c>
      <c r="G1545">
        <v>1384.6453856999999</v>
      </c>
      <c r="H1545">
        <v>1370.3006591999999</v>
      </c>
      <c r="I1545">
        <v>1288.2395019999999</v>
      </c>
      <c r="J1545">
        <v>1269.0729980000001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1120.687735</v>
      </c>
      <c r="B1546" s="1">
        <f>DATE(2013,5,25) + TIME(16,30,20)</f>
        <v>41419.687731481485</v>
      </c>
      <c r="C1546">
        <v>80</v>
      </c>
      <c r="D1546">
        <v>79.957977295000006</v>
      </c>
      <c r="E1546">
        <v>50</v>
      </c>
      <c r="F1546">
        <v>48.296279906999999</v>
      </c>
      <c r="G1546">
        <v>1384.5878906</v>
      </c>
      <c r="H1546">
        <v>1370.2553711</v>
      </c>
      <c r="I1546">
        <v>1288.2269286999999</v>
      </c>
      <c r="J1546">
        <v>1269.0565185999999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1121.3172099999999</v>
      </c>
      <c r="B1547" s="1">
        <f>DATE(2013,5,26) + TIME(7,36,46)</f>
        <v>41420.317199074074</v>
      </c>
      <c r="C1547">
        <v>80</v>
      </c>
      <c r="D1547">
        <v>79.957962035999998</v>
      </c>
      <c r="E1547">
        <v>50</v>
      </c>
      <c r="F1547">
        <v>48.260253906000003</v>
      </c>
      <c r="G1547">
        <v>1384.5299072</v>
      </c>
      <c r="H1547">
        <v>1370.2094727000001</v>
      </c>
      <c r="I1547">
        <v>1288.2138672000001</v>
      </c>
      <c r="J1547">
        <v>1269.0395507999999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1121.954835</v>
      </c>
      <c r="B1548" s="1">
        <f>DATE(2013,5,26) + TIME(22,54,57)</f>
        <v>41420.954826388886</v>
      </c>
      <c r="C1548">
        <v>80</v>
      </c>
      <c r="D1548">
        <v>79.957946777000004</v>
      </c>
      <c r="E1548">
        <v>50</v>
      </c>
      <c r="F1548">
        <v>48.223808288999997</v>
      </c>
      <c r="G1548">
        <v>1384.472168</v>
      </c>
      <c r="H1548">
        <v>1370.1639404</v>
      </c>
      <c r="I1548">
        <v>1288.2005615</v>
      </c>
      <c r="J1548">
        <v>1269.0222168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1122.600359</v>
      </c>
      <c r="B1549" s="1">
        <f>DATE(2013,5,27) + TIME(14,24,31)</f>
        <v>41421.600358796299</v>
      </c>
      <c r="C1549">
        <v>80</v>
      </c>
      <c r="D1549">
        <v>79.957931518999999</v>
      </c>
      <c r="E1549">
        <v>50</v>
      </c>
      <c r="F1549">
        <v>48.187000275000003</v>
      </c>
      <c r="G1549">
        <v>1384.4149170000001</v>
      </c>
      <c r="H1549">
        <v>1370.1185303</v>
      </c>
      <c r="I1549">
        <v>1288.1870117000001</v>
      </c>
      <c r="J1549">
        <v>1269.0045166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1123.255858</v>
      </c>
      <c r="B1550" s="1">
        <f>DATE(2013,5,28) + TIME(6,8,26)</f>
        <v>41422.255856481483</v>
      </c>
      <c r="C1550">
        <v>80</v>
      </c>
      <c r="D1550">
        <v>79.957916260000005</v>
      </c>
      <c r="E1550">
        <v>50</v>
      </c>
      <c r="F1550">
        <v>48.149803161999998</v>
      </c>
      <c r="G1550">
        <v>1384.3579102000001</v>
      </c>
      <c r="H1550">
        <v>1370.0734863</v>
      </c>
      <c r="I1550">
        <v>1288.1730957</v>
      </c>
      <c r="J1550">
        <v>1268.9865723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1123.9213259999999</v>
      </c>
      <c r="B1551" s="1">
        <f>DATE(2013,5,28) + TIME(22,6,42)</f>
        <v>41422.921319444446</v>
      </c>
      <c r="C1551">
        <v>80</v>
      </c>
      <c r="D1551">
        <v>79.957901000999996</v>
      </c>
      <c r="E1551">
        <v>50</v>
      </c>
      <c r="F1551">
        <v>48.112216949</v>
      </c>
      <c r="G1551">
        <v>1384.3010254000001</v>
      </c>
      <c r="H1551">
        <v>1370.0284423999999</v>
      </c>
      <c r="I1551">
        <v>1288.1590576000001</v>
      </c>
      <c r="J1551">
        <v>1268.9680175999999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1124.596761</v>
      </c>
      <c r="B1552" s="1">
        <f>DATE(2013,5,29) + TIME(14,19,20)</f>
        <v>41423.596759259257</v>
      </c>
      <c r="C1552">
        <v>80</v>
      </c>
      <c r="D1552">
        <v>79.957893372000001</v>
      </c>
      <c r="E1552">
        <v>50</v>
      </c>
      <c r="F1552">
        <v>48.074245453000003</v>
      </c>
      <c r="G1552">
        <v>1384.2445068</v>
      </c>
      <c r="H1552">
        <v>1369.9836425999999</v>
      </c>
      <c r="I1552">
        <v>1288.1446533000001</v>
      </c>
      <c r="J1552">
        <v>1268.9492187999999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1125.2818830000001</v>
      </c>
      <c r="B1553" s="1">
        <f>DATE(2013,5,30) + TIME(6,45,54)</f>
        <v>41424.281875000001</v>
      </c>
      <c r="C1553">
        <v>80</v>
      </c>
      <c r="D1553">
        <v>79.957878113000007</v>
      </c>
      <c r="E1553">
        <v>50</v>
      </c>
      <c r="F1553">
        <v>48.035900116000001</v>
      </c>
      <c r="G1553">
        <v>1384.1879882999999</v>
      </c>
      <c r="H1553">
        <v>1369.9389647999999</v>
      </c>
      <c r="I1553">
        <v>1288.1298827999999</v>
      </c>
      <c r="J1553">
        <v>1268.9298096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1125.97777</v>
      </c>
      <c r="B1554" s="1">
        <f>DATE(2013,5,30) + TIME(23,27,59)</f>
        <v>41424.977766203701</v>
      </c>
      <c r="C1554">
        <v>80</v>
      </c>
      <c r="D1554">
        <v>79.957870482999994</v>
      </c>
      <c r="E1554">
        <v>50</v>
      </c>
      <c r="F1554">
        <v>47.997154236</v>
      </c>
      <c r="G1554">
        <v>1384.1317139</v>
      </c>
      <c r="H1554">
        <v>1369.8944091999999</v>
      </c>
      <c r="I1554">
        <v>1288.1147461</v>
      </c>
      <c r="J1554">
        <v>1268.9100341999999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1126.686565</v>
      </c>
      <c r="B1555" s="1">
        <f>DATE(2013,5,31) + TIME(16,28,39)</f>
        <v>41425.686562499999</v>
      </c>
      <c r="C1555">
        <v>80</v>
      </c>
      <c r="D1555">
        <v>79.957855225000003</v>
      </c>
      <c r="E1555">
        <v>50</v>
      </c>
      <c r="F1555">
        <v>47.957931518999999</v>
      </c>
      <c r="G1555">
        <v>1384.0756836</v>
      </c>
      <c r="H1555">
        <v>1369.8498535000001</v>
      </c>
      <c r="I1555">
        <v>1288.0993652</v>
      </c>
      <c r="J1555">
        <v>1268.8897704999999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1127</v>
      </c>
      <c r="B1556" s="1">
        <f>DATE(2013,6,1) + TIME(0,0,0)</f>
        <v>41426</v>
      </c>
      <c r="C1556">
        <v>80</v>
      </c>
      <c r="D1556">
        <v>79.957839965999995</v>
      </c>
      <c r="E1556">
        <v>50</v>
      </c>
      <c r="F1556">
        <v>47.934700012</v>
      </c>
      <c r="G1556">
        <v>1384.0191649999999</v>
      </c>
      <c r="H1556">
        <v>1369.8049315999999</v>
      </c>
      <c r="I1556">
        <v>1288.0816649999999</v>
      </c>
      <c r="J1556">
        <v>1268.8704834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1127.723992</v>
      </c>
      <c r="B1557" s="1">
        <f>DATE(2013,6,1) + TIME(17,22,32)</f>
        <v>41426.723981481482</v>
      </c>
      <c r="C1557">
        <v>80</v>
      </c>
      <c r="D1557">
        <v>79.957839965999995</v>
      </c>
      <c r="E1557">
        <v>50</v>
      </c>
      <c r="F1557">
        <v>47.897571564000003</v>
      </c>
      <c r="G1557">
        <v>1383.9949951000001</v>
      </c>
      <c r="H1557">
        <v>1369.7857666</v>
      </c>
      <c r="I1557">
        <v>1288.0767822</v>
      </c>
      <c r="J1557">
        <v>1268.8592529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1128.4712790000001</v>
      </c>
      <c r="B1558" s="1">
        <f>DATE(2013,6,2) + TIME(11,18,38)</f>
        <v>41427.471273148149</v>
      </c>
      <c r="C1558">
        <v>80</v>
      </c>
      <c r="D1558">
        <v>79.957832335999996</v>
      </c>
      <c r="E1558">
        <v>50</v>
      </c>
      <c r="F1558">
        <v>47.858440399000003</v>
      </c>
      <c r="G1558">
        <v>1383.9390868999999</v>
      </c>
      <c r="H1558">
        <v>1369.7414550999999</v>
      </c>
      <c r="I1558">
        <v>1288.0603027</v>
      </c>
      <c r="J1558">
        <v>1268.8378906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1129.234363</v>
      </c>
      <c r="B1559" s="1">
        <f>DATE(2013,6,3) + TIME(5,37,28)</f>
        <v>41428.234351851854</v>
      </c>
      <c r="C1559">
        <v>80</v>
      </c>
      <c r="D1559">
        <v>79.957817078000005</v>
      </c>
      <c r="E1559">
        <v>50</v>
      </c>
      <c r="F1559">
        <v>47.817924499999997</v>
      </c>
      <c r="G1559">
        <v>1383.8823242000001</v>
      </c>
      <c r="H1559">
        <v>1369.6962891000001</v>
      </c>
      <c r="I1559">
        <v>1288.0432129000001</v>
      </c>
      <c r="J1559">
        <v>1268.8155518000001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1130.009726</v>
      </c>
      <c r="B1560" s="1">
        <f>DATE(2013,6,4) + TIME(0,14,0)</f>
        <v>41429.009722222225</v>
      </c>
      <c r="C1560">
        <v>80</v>
      </c>
      <c r="D1560">
        <v>79.957809448000006</v>
      </c>
      <c r="E1560">
        <v>50</v>
      </c>
      <c r="F1560">
        <v>47.776435851999999</v>
      </c>
      <c r="G1560">
        <v>1383.8254394999999</v>
      </c>
      <c r="H1560">
        <v>1369.651001</v>
      </c>
      <c r="I1560">
        <v>1288.0256348</v>
      </c>
      <c r="J1560">
        <v>1268.7923584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1130.7887700000001</v>
      </c>
      <c r="B1561" s="1">
        <f>DATE(2013,6,4) + TIME(18,55,49)</f>
        <v>41429.788761574076</v>
      </c>
      <c r="C1561">
        <v>80</v>
      </c>
      <c r="D1561">
        <v>79.957801818999997</v>
      </c>
      <c r="E1561">
        <v>50</v>
      </c>
      <c r="F1561">
        <v>47.734451294000003</v>
      </c>
      <c r="G1561">
        <v>1383.7685547000001</v>
      </c>
      <c r="H1561">
        <v>1369.6057129000001</v>
      </c>
      <c r="I1561">
        <v>1288.0075684000001</v>
      </c>
      <c r="J1561">
        <v>1268.7685547000001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1131.5737819999999</v>
      </c>
      <c r="B1562" s="1">
        <f>DATE(2013,6,5) + TIME(13,46,14)</f>
        <v>41430.573773148149</v>
      </c>
      <c r="C1562">
        <v>80</v>
      </c>
      <c r="D1562">
        <v>79.957794188999998</v>
      </c>
      <c r="E1562">
        <v>50</v>
      </c>
      <c r="F1562">
        <v>47.692131042</v>
      </c>
      <c r="G1562">
        <v>1383.7122803</v>
      </c>
      <c r="H1562">
        <v>1369.5609131000001</v>
      </c>
      <c r="I1562">
        <v>1287.9892577999999</v>
      </c>
      <c r="J1562">
        <v>1268.7443848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1132.3670440000001</v>
      </c>
      <c r="B1563" s="1">
        <f>DATE(2013,6,6) + TIME(8,48,32)</f>
        <v>41431.367037037038</v>
      </c>
      <c r="C1563">
        <v>80</v>
      </c>
      <c r="D1563">
        <v>79.957786560000002</v>
      </c>
      <c r="E1563">
        <v>50</v>
      </c>
      <c r="F1563">
        <v>47.649501801</v>
      </c>
      <c r="G1563">
        <v>1383.6566161999999</v>
      </c>
      <c r="H1563">
        <v>1369.5166016000001</v>
      </c>
      <c r="I1563">
        <v>1287.9707031</v>
      </c>
      <c r="J1563">
        <v>1268.7196045000001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1133.1708739999999</v>
      </c>
      <c r="B1564" s="1">
        <f>DATE(2013,6,7) + TIME(4,6,3)</f>
        <v>41432.170868055553</v>
      </c>
      <c r="C1564">
        <v>80</v>
      </c>
      <c r="D1564">
        <v>79.957778931000007</v>
      </c>
      <c r="E1564">
        <v>50</v>
      </c>
      <c r="F1564">
        <v>47.606517791999998</v>
      </c>
      <c r="G1564">
        <v>1383.6013184000001</v>
      </c>
      <c r="H1564">
        <v>1369.4724120999999</v>
      </c>
      <c r="I1564">
        <v>1287.9517822</v>
      </c>
      <c r="J1564">
        <v>1268.6943358999999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1133.9876790000001</v>
      </c>
      <c r="B1565" s="1">
        <f>DATE(2013,6,7) + TIME(23,42,15)</f>
        <v>41432.987673611111</v>
      </c>
      <c r="C1565">
        <v>80</v>
      </c>
      <c r="D1565">
        <v>79.957771300999994</v>
      </c>
      <c r="E1565">
        <v>50</v>
      </c>
      <c r="F1565">
        <v>47.563098906999997</v>
      </c>
      <c r="G1565">
        <v>1383.5461425999999</v>
      </c>
      <c r="H1565">
        <v>1369.4283447</v>
      </c>
      <c r="I1565">
        <v>1287.9323730000001</v>
      </c>
      <c r="J1565">
        <v>1268.6683350000001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1134.8199930000001</v>
      </c>
      <c r="B1566" s="1">
        <f>DATE(2013,6,8) + TIME(19,40,47)</f>
        <v>41433.819988425923</v>
      </c>
      <c r="C1566">
        <v>80</v>
      </c>
      <c r="D1566">
        <v>79.957763671999999</v>
      </c>
      <c r="E1566">
        <v>50</v>
      </c>
      <c r="F1566">
        <v>47.519130707000002</v>
      </c>
      <c r="G1566">
        <v>1383.4909668</v>
      </c>
      <c r="H1566">
        <v>1369.3842772999999</v>
      </c>
      <c r="I1566">
        <v>1287.9123535000001</v>
      </c>
      <c r="J1566">
        <v>1268.6416016000001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1135.670556</v>
      </c>
      <c r="B1567" s="1">
        <f>DATE(2013,6,9) + TIME(16,5,36)</f>
        <v>41434.670555555553</v>
      </c>
      <c r="C1567">
        <v>80</v>
      </c>
      <c r="D1567">
        <v>79.957756042</v>
      </c>
      <c r="E1567">
        <v>50</v>
      </c>
      <c r="F1567">
        <v>47.474498748999999</v>
      </c>
      <c r="G1567">
        <v>1383.4356689000001</v>
      </c>
      <c r="H1567">
        <v>1369.3399658000001</v>
      </c>
      <c r="I1567">
        <v>1287.8918457</v>
      </c>
      <c r="J1567">
        <v>1268.6140137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1136.542835</v>
      </c>
      <c r="B1568" s="1">
        <f>DATE(2013,6,10) + TIME(13,1,40)</f>
        <v>41435.542824074073</v>
      </c>
      <c r="C1568">
        <v>80</v>
      </c>
      <c r="D1568">
        <v>79.957756042</v>
      </c>
      <c r="E1568">
        <v>50</v>
      </c>
      <c r="F1568">
        <v>47.429046630999999</v>
      </c>
      <c r="G1568">
        <v>1383.3800048999999</v>
      </c>
      <c r="H1568">
        <v>1369.2954102000001</v>
      </c>
      <c r="I1568">
        <v>1287.8706055</v>
      </c>
      <c r="J1568">
        <v>1268.5854492000001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1137.430791</v>
      </c>
      <c r="B1569" s="1">
        <f>DATE(2013,6,11) + TIME(10,20,20)</f>
        <v>41436.430787037039</v>
      </c>
      <c r="C1569">
        <v>80</v>
      </c>
      <c r="D1569">
        <v>79.957748413000004</v>
      </c>
      <c r="E1569">
        <v>50</v>
      </c>
      <c r="F1569">
        <v>47.382858276</v>
      </c>
      <c r="G1569">
        <v>1383.3238524999999</v>
      </c>
      <c r="H1569">
        <v>1369.2504882999999</v>
      </c>
      <c r="I1569">
        <v>1287.8486327999999</v>
      </c>
      <c r="J1569">
        <v>1268.5556641000001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1138.333271</v>
      </c>
      <c r="B1570" s="1">
        <f>DATE(2013,6,12) + TIME(7,59,54)</f>
        <v>41437.33326388889</v>
      </c>
      <c r="C1570">
        <v>80</v>
      </c>
      <c r="D1570">
        <v>79.957748413000004</v>
      </c>
      <c r="E1570">
        <v>50</v>
      </c>
      <c r="F1570">
        <v>47.335998535000002</v>
      </c>
      <c r="G1570">
        <v>1383.2675781</v>
      </c>
      <c r="H1570">
        <v>1369.2053223</v>
      </c>
      <c r="I1570">
        <v>1287.8259277</v>
      </c>
      <c r="J1570">
        <v>1268.5250243999999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1139.25305</v>
      </c>
      <c r="B1571" s="1">
        <f>DATE(2013,6,13) + TIME(6,4,23)</f>
        <v>41438.25304398148</v>
      </c>
      <c r="C1571">
        <v>80</v>
      </c>
      <c r="D1571">
        <v>79.957740783999995</v>
      </c>
      <c r="E1571">
        <v>50</v>
      </c>
      <c r="F1571">
        <v>47.288440704000003</v>
      </c>
      <c r="G1571">
        <v>1383.2113036999999</v>
      </c>
      <c r="H1571">
        <v>1369.1601562000001</v>
      </c>
      <c r="I1571">
        <v>1287.8024902</v>
      </c>
      <c r="J1571">
        <v>1268.4932861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1140.1781579999999</v>
      </c>
      <c r="B1572" s="1">
        <f>DATE(2013,6,14) + TIME(4,16,32)</f>
        <v>41439.178148148145</v>
      </c>
      <c r="C1572">
        <v>80</v>
      </c>
      <c r="D1572">
        <v>79.957740783999995</v>
      </c>
      <c r="E1572">
        <v>50</v>
      </c>
      <c r="F1572">
        <v>47.240463257000002</v>
      </c>
      <c r="G1572">
        <v>1383.1549072</v>
      </c>
      <c r="H1572">
        <v>1369.1147461</v>
      </c>
      <c r="I1572">
        <v>1287.7783202999999</v>
      </c>
      <c r="J1572">
        <v>1268.4604492000001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1141.108872</v>
      </c>
      <c r="B1573" s="1">
        <f>DATE(2013,6,15) + TIME(2,36,46)</f>
        <v>41440.108865740738</v>
      </c>
      <c r="C1573">
        <v>80</v>
      </c>
      <c r="D1573">
        <v>79.957733153999996</v>
      </c>
      <c r="E1573">
        <v>50</v>
      </c>
      <c r="F1573">
        <v>47.192207336000003</v>
      </c>
      <c r="G1573">
        <v>1383.098999</v>
      </c>
      <c r="H1573">
        <v>1369.0697021000001</v>
      </c>
      <c r="I1573">
        <v>1287.7537841999999</v>
      </c>
      <c r="J1573">
        <v>1268.4268798999999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1142.047941</v>
      </c>
      <c r="B1574" s="1">
        <f>DATE(2013,6,16) + TIME(1,9,2)</f>
        <v>41441.047939814816</v>
      </c>
      <c r="C1574">
        <v>80</v>
      </c>
      <c r="D1574">
        <v>79.957733153999996</v>
      </c>
      <c r="E1574">
        <v>50</v>
      </c>
      <c r="F1574">
        <v>47.143676757999998</v>
      </c>
      <c r="G1574">
        <v>1383.0435791</v>
      </c>
      <c r="H1574">
        <v>1369.0251464999999</v>
      </c>
      <c r="I1574">
        <v>1287.7286377</v>
      </c>
      <c r="J1574">
        <v>1268.3925781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1142.9981319999999</v>
      </c>
      <c r="B1575" s="1">
        <f>DATE(2013,6,16) + TIME(23,57,18)</f>
        <v>41441.998124999998</v>
      </c>
      <c r="C1575">
        <v>80</v>
      </c>
      <c r="D1575">
        <v>79.957733153999996</v>
      </c>
      <c r="E1575">
        <v>50</v>
      </c>
      <c r="F1575">
        <v>47.094795226999999</v>
      </c>
      <c r="G1575">
        <v>1382.9885254000001</v>
      </c>
      <c r="H1575">
        <v>1368.9807129000001</v>
      </c>
      <c r="I1575">
        <v>1287.7030029</v>
      </c>
      <c r="J1575">
        <v>1268.3574219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1143.9623039999999</v>
      </c>
      <c r="B1576" s="1">
        <f>DATE(2013,6,17) + TIME(23,5,43)</f>
        <v>41442.96230324074</v>
      </c>
      <c r="C1576">
        <v>80</v>
      </c>
      <c r="D1576">
        <v>79.957733153999996</v>
      </c>
      <c r="E1576">
        <v>50</v>
      </c>
      <c r="F1576">
        <v>47.045448303000001</v>
      </c>
      <c r="G1576">
        <v>1382.9337158000001</v>
      </c>
      <c r="H1576">
        <v>1368.9365233999999</v>
      </c>
      <c r="I1576">
        <v>1287.6766356999999</v>
      </c>
      <c r="J1576">
        <v>1268.3211670000001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1144.9434639999999</v>
      </c>
      <c r="B1577" s="1">
        <f>DATE(2013,6,18) + TIME(22,38,35)</f>
        <v>41443.943460648145</v>
      </c>
      <c r="C1577">
        <v>80</v>
      </c>
      <c r="D1577">
        <v>79.957733153999996</v>
      </c>
      <c r="E1577">
        <v>50</v>
      </c>
      <c r="F1577">
        <v>46.995498656999999</v>
      </c>
      <c r="G1577">
        <v>1382.8789062000001</v>
      </c>
      <c r="H1577">
        <v>1368.8920897999999</v>
      </c>
      <c r="I1577">
        <v>1287.6495361</v>
      </c>
      <c r="J1577">
        <v>1268.2836914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1145.9448150000001</v>
      </c>
      <c r="B1578" s="1">
        <f>DATE(2013,6,19) + TIME(22,40,32)</f>
        <v>41444.944814814815</v>
      </c>
      <c r="C1578">
        <v>80</v>
      </c>
      <c r="D1578">
        <v>79.957733153999996</v>
      </c>
      <c r="E1578">
        <v>50</v>
      </c>
      <c r="F1578">
        <v>46.944793701000002</v>
      </c>
      <c r="G1578">
        <v>1382.8238524999999</v>
      </c>
      <c r="H1578">
        <v>1368.8476562000001</v>
      </c>
      <c r="I1578">
        <v>1287.621582</v>
      </c>
      <c r="J1578">
        <v>1268.2449951000001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1146.966011</v>
      </c>
      <c r="B1579" s="1">
        <f>DATE(2013,6,20) + TIME(23,11,3)</f>
        <v>41445.966006944444</v>
      </c>
      <c r="C1579">
        <v>80</v>
      </c>
      <c r="D1579">
        <v>79.957733153999996</v>
      </c>
      <c r="E1579">
        <v>50</v>
      </c>
      <c r="F1579">
        <v>46.893257140999999</v>
      </c>
      <c r="G1579">
        <v>1382.7685547000001</v>
      </c>
      <c r="H1579">
        <v>1368.8028564000001</v>
      </c>
      <c r="I1579">
        <v>1287.5926514</v>
      </c>
      <c r="J1579">
        <v>1268.2047118999999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1148.0053479999999</v>
      </c>
      <c r="B1580" s="1">
        <f>DATE(2013,6,22) + TIME(0,7,42)</f>
        <v>41447.005347222221</v>
      </c>
      <c r="C1580">
        <v>80</v>
      </c>
      <c r="D1580">
        <v>79.957733153999996</v>
      </c>
      <c r="E1580">
        <v>50</v>
      </c>
      <c r="F1580">
        <v>46.840896606000001</v>
      </c>
      <c r="G1580">
        <v>1382.7128906</v>
      </c>
      <c r="H1580">
        <v>1368.7578125</v>
      </c>
      <c r="I1580">
        <v>1287.5627440999999</v>
      </c>
      <c r="J1580">
        <v>1268.1629639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1149.06611</v>
      </c>
      <c r="B1581" s="1">
        <f>DATE(2013,6,23) + TIME(1,35,11)</f>
        <v>41448.066099537034</v>
      </c>
      <c r="C1581">
        <v>80</v>
      </c>
      <c r="D1581">
        <v>79.957733153999996</v>
      </c>
      <c r="E1581">
        <v>50</v>
      </c>
      <c r="F1581">
        <v>46.787631988999998</v>
      </c>
      <c r="G1581">
        <v>1382.6572266000001</v>
      </c>
      <c r="H1581">
        <v>1368.7125243999999</v>
      </c>
      <c r="I1581">
        <v>1287.5317382999999</v>
      </c>
      <c r="J1581">
        <v>1268.1196289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1150.151801</v>
      </c>
      <c r="B1582" s="1">
        <f>DATE(2013,6,24) + TIME(3,38,35)</f>
        <v>41449.15179398148</v>
      </c>
      <c r="C1582">
        <v>80</v>
      </c>
      <c r="D1582">
        <v>79.957733153999996</v>
      </c>
      <c r="E1582">
        <v>50</v>
      </c>
      <c r="F1582">
        <v>46.733345032000003</v>
      </c>
      <c r="G1582">
        <v>1382.6010742000001</v>
      </c>
      <c r="H1582">
        <v>1368.6669922000001</v>
      </c>
      <c r="I1582">
        <v>1287.4997559000001</v>
      </c>
      <c r="J1582">
        <v>1268.0745850000001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1151.2423839999999</v>
      </c>
      <c r="B1583" s="1">
        <f>DATE(2013,6,25) + TIME(5,49,1)</f>
        <v>41450.242372685185</v>
      </c>
      <c r="C1583">
        <v>80</v>
      </c>
      <c r="D1583">
        <v>79.957740783999995</v>
      </c>
      <c r="E1583">
        <v>50</v>
      </c>
      <c r="F1583">
        <v>46.678398131999998</v>
      </c>
      <c r="G1583">
        <v>1382.5445557</v>
      </c>
      <c r="H1583">
        <v>1368.6208495999999</v>
      </c>
      <c r="I1583">
        <v>1287.4663086</v>
      </c>
      <c r="J1583">
        <v>1268.0277100000001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1152.3394330000001</v>
      </c>
      <c r="B1584" s="1">
        <f>DATE(2013,6,26) + TIME(8,8,46)</f>
        <v>41451.339421296296</v>
      </c>
      <c r="C1584">
        <v>80</v>
      </c>
      <c r="D1584">
        <v>79.957740783999995</v>
      </c>
      <c r="E1584">
        <v>50</v>
      </c>
      <c r="F1584">
        <v>46.623023987000003</v>
      </c>
      <c r="G1584">
        <v>1382.4885254000001</v>
      </c>
      <c r="H1584">
        <v>1368.5751952999999</v>
      </c>
      <c r="I1584">
        <v>1287.432251</v>
      </c>
      <c r="J1584">
        <v>1267.9796143000001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1153.4462309999999</v>
      </c>
      <c r="B1585" s="1">
        <f>DATE(2013,6,27) + TIME(10,42,34)</f>
        <v>41452.446226851855</v>
      </c>
      <c r="C1585">
        <v>80</v>
      </c>
      <c r="D1585">
        <v>79.957748413000004</v>
      </c>
      <c r="E1585">
        <v>50</v>
      </c>
      <c r="F1585">
        <v>46.567249298</v>
      </c>
      <c r="G1585">
        <v>1382.4329834</v>
      </c>
      <c r="H1585">
        <v>1368.5299072</v>
      </c>
      <c r="I1585">
        <v>1287.3974608999999</v>
      </c>
      <c r="J1585">
        <v>1267.9301757999999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1154.5661150000001</v>
      </c>
      <c r="B1586" s="1">
        <f>DATE(2013,6,28) + TIME(13,35,12)</f>
        <v>41453.566111111111</v>
      </c>
      <c r="C1586">
        <v>80</v>
      </c>
      <c r="D1586">
        <v>79.957748413000004</v>
      </c>
      <c r="E1586">
        <v>50</v>
      </c>
      <c r="F1586">
        <v>46.510978698999999</v>
      </c>
      <c r="G1586">
        <v>1382.3776855000001</v>
      </c>
      <c r="H1586">
        <v>1368.4847411999999</v>
      </c>
      <c r="I1586">
        <v>1287.3618164</v>
      </c>
      <c r="J1586">
        <v>1267.8793945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1155.696817</v>
      </c>
      <c r="B1587" s="1">
        <f>DATE(2013,6,29) + TIME(16,43,24)</f>
        <v>41454.696805555555</v>
      </c>
      <c r="C1587">
        <v>80</v>
      </c>
      <c r="D1587">
        <v>79.957756042</v>
      </c>
      <c r="E1587">
        <v>50</v>
      </c>
      <c r="F1587">
        <v>46.454204558999997</v>
      </c>
      <c r="G1587">
        <v>1382.3225098</v>
      </c>
      <c r="H1587">
        <v>1368.4396973</v>
      </c>
      <c r="I1587">
        <v>1287.3250731999999</v>
      </c>
      <c r="J1587">
        <v>1267.8270264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1156.839952</v>
      </c>
      <c r="B1588" s="1">
        <f>DATE(2013,6,30) + TIME(20,9,31)</f>
        <v>41455.839942129627</v>
      </c>
      <c r="C1588">
        <v>80</v>
      </c>
      <c r="D1588">
        <v>79.957763671999999</v>
      </c>
      <c r="E1588">
        <v>50</v>
      </c>
      <c r="F1588">
        <v>46.396884917999998</v>
      </c>
      <c r="G1588">
        <v>1382.2675781</v>
      </c>
      <c r="H1588">
        <v>1368.3946533000001</v>
      </c>
      <c r="I1588">
        <v>1287.2874756000001</v>
      </c>
      <c r="J1588">
        <v>1267.7730713000001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1157</v>
      </c>
      <c r="B1589" s="1">
        <f>DATE(2013,7,1) + TIME(0,0,0)</f>
        <v>41456</v>
      </c>
      <c r="C1589">
        <v>80</v>
      </c>
      <c r="D1589">
        <v>79.957756042</v>
      </c>
      <c r="E1589">
        <v>50</v>
      </c>
      <c r="F1589">
        <v>46.381160735999998</v>
      </c>
      <c r="G1589">
        <v>1382.2125243999999</v>
      </c>
      <c r="H1589">
        <v>1368.3494873</v>
      </c>
      <c r="I1589">
        <v>1287.2475586</v>
      </c>
      <c r="J1589">
        <v>1267.7277832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1158.158813</v>
      </c>
      <c r="B1590" s="1">
        <f>DATE(2013,7,2) + TIME(3,48,41)</f>
        <v>41457.158807870372</v>
      </c>
      <c r="C1590">
        <v>80</v>
      </c>
      <c r="D1590">
        <v>79.957763671999999</v>
      </c>
      <c r="E1590">
        <v>50</v>
      </c>
      <c r="F1590">
        <v>46.327541351000001</v>
      </c>
      <c r="G1590">
        <v>1382.2052002</v>
      </c>
      <c r="H1590">
        <v>1368.3435059000001</v>
      </c>
      <c r="I1590">
        <v>1287.2431641000001</v>
      </c>
      <c r="J1590">
        <v>1267.7082519999999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1159.3397660000001</v>
      </c>
      <c r="B1591" s="1">
        <f>DATE(2013,7,3) + TIME(8,9,15)</f>
        <v>41458.339756944442</v>
      </c>
      <c r="C1591">
        <v>80</v>
      </c>
      <c r="D1591">
        <v>79.957771300999994</v>
      </c>
      <c r="E1591">
        <v>50</v>
      </c>
      <c r="F1591">
        <v>46.270614623999997</v>
      </c>
      <c r="G1591">
        <v>1382.1505127</v>
      </c>
      <c r="H1591">
        <v>1368.2987060999999</v>
      </c>
      <c r="I1591">
        <v>1287.2033690999999</v>
      </c>
      <c r="J1591">
        <v>1267.6513672000001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1160.543874</v>
      </c>
      <c r="B1592" s="1">
        <f>DATE(2013,7,4) + TIME(13,3,10)</f>
        <v>41459.543865740743</v>
      </c>
      <c r="C1592">
        <v>80</v>
      </c>
      <c r="D1592">
        <v>79.957778931000007</v>
      </c>
      <c r="E1592">
        <v>50</v>
      </c>
      <c r="F1592">
        <v>46.211605071999998</v>
      </c>
      <c r="G1592">
        <v>1382.0955810999999</v>
      </c>
      <c r="H1592">
        <v>1368.253418</v>
      </c>
      <c r="I1592">
        <v>1287.1621094</v>
      </c>
      <c r="J1592">
        <v>1267.5917969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1161.7750900000001</v>
      </c>
      <c r="B1593" s="1">
        <f>DATE(2013,7,5) + TIME(18,36,7)</f>
        <v>41460.775081018517</v>
      </c>
      <c r="C1593">
        <v>80</v>
      </c>
      <c r="D1593">
        <v>79.957794188999998</v>
      </c>
      <c r="E1593">
        <v>50</v>
      </c>
      <c r="F1593">
        <v>46.150959014999998</v>
      </c>
      <c r="G1593">
        <v>1382.0402832</v>
      </c>
      <c r="H1593">
        <v>1368.2078856999999</v>
      </c>
      <c r="I1593">
        <v>1287.1193848</v>
      </c>
      <c r="J1593">
        <v>1267.5296631000001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1163.037986</v>
      </c>
      <c r="B1594" s="1">
        <f>DATE(2013,7,7) + TIME(0,54,41)</f>
        <v>41462.037974537037</v>
      </c>
      <c r="C1594">
        <v>80</v>
      </c>
      <c r="D1594">
        <v>79.957801818999997</v>
      </c>
      <c r="E1594">
        <v>50</v>
      </c>
      <c r="F1594">
        <v>46.088733673</v>
      </c>
      <c r="G1594">
        <v>1381.9844971</v>
      </c>
      <c r="H1594">
        <v>1368.1618652</v>
      </c>
      <c r="I1594">
        <v>1287.0749512</v>
      </c>
      <c r="J1594">
        <v>1267.4647216999999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1164.3101180000001</v>
      </c>
      <c r="B1595" s="1">
        <f>DATE(2013,7,8) + TIME(7,26,34)</f>
        <v>41463.310115740744</v>
      </c>
      <c r="C1595">
        <v>80</v>
      </c>
      <c r="D1595">
        <v>79.957809448000006</v>
      </c>
      <c r="E1595">
        <v>50</v>
      </c>
      <c r="F1595">
        <v>46.025375365999999</v>
      </c>
      <c r="G1595">
        <v>1381.9279785000001</v>
      </c>
      <c r="H1595">
        <v>1368.1152344</v>
      </c>
      <c r="I1595">
        <v>1287.0286865</v>
      </c>
      <c r="J1595">
        <v>1267.3969727000001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1165.5851560000001</v>
      </c>
      <c r="B1596" s="1">
        <f>DATE(2013,7,9) + TIME(14,2,37)</f>
        <v>41464.585150462961</v>
      </c>
      <c r="C1596">
        <v>80</v>
      </c>
      <c r="D1596">
        <v>79.957817078000005</v>
      </c>
      <c r="E1596">
        <v>50</v>
      </c>
      <c r="F1596">
        <v>45.961391448999997</v>
      </c>
      <c r="G1596">
        <v>1381.8718262</v>
      </c>
      <c r="H1596">
        <v>1368.0688477000001</v>
      </c>
      <c r="I1596">
        <v>1286.9813231999999</v>
      </c>
      <c r="J1596">
        <v>1267.3272704999999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1166.866655</v>
      </c>
      <c r="B1597" s="1">
        <f>DATE(2013,7,10) + TIME(20,47,58)</f>
        <v>41465.866643518515</v>
      </c>
      <c r="C1597">
        <v>80</v>
      </c>
      <c r="D1597">
        <v>79.957832335999996</v>
      </c>
      <c r="E1597">
        <v>50</v>
      </c>
      <c r="F1597">
        <v>45.896984099999997</v>
      </c>
      <c r="G1597">
        <v>1381.8162841999999</v>
      </c>
      <c r="H1597">
        <v>1368.0228271000001</v>
      </c>
      <c r="I1597">
        <v>1286.9329834</v>
      </c>
      <c r="J1597">
        <v>1267.2559814000001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1168.158173</v>
      </c>
      <c r="B1598" s="1">
        <f>DATE(2013,7,12) + TIME(3,47,46)</f>
        <v>41467.158171296294</v>
      </c>
      <c r="C1598">
        <v>80</v>
      </c>
      <c r="D1598">
        <v>79.957839965999995</v>
      </c>
      <c r="E1598">
        <v>50</v>
      </c>
      <c r="F1598">
        <v>45.832118987999998</v>
      </c>
      <c r="G1598">
        <v>1381.7611084</v>
      </c>
      <c r="H1598">
        <v>1367.9771728999999</v>
      </c>
      <c r="I1598">
        <v>1286.8836670000001</v>
      </c>
      <c r="J1598">
        <v>1267.1828613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1169.463305</v>
      </c>
      <c r="B1599" s="1">
        <f>DATE(2013,7,13) + TIME(11,7,9)</f>
        <v>41468.46329861111</v>
      </c>
      <c r="C1599">
        <v>80</v>
      </c>
      <c r="D1599">
        <v>79.957855225000003</v>
      </c>
      <c r="E1599">
        <v>50</v>
      </c>
      <c r="F1599">
        <v>45.766681671000001</v>
      </c>
      <c r="G1599">
        <v>1381.7062988</v>
      </c>
      <c r="H1599">
        <v>1367.9316406</v>
      </c>
      <c r="I1599">
        <v>1286.8332519999999</v>
      </c>
      <c r="J1599">
        <v>1267.1076660000001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1170.7857650000001</v>
      </c>
      <c r="B1600" s="1">
        <f>DATE(2013,7,14) + TIME(18,51,30)</f>
        <v>41469.785763888889</v>
      </c>
      <c r="C1600">
        <v>80</v>
      </c>
      <c r="D1600">
        <v>79.957862853999998</v>
      </c>
      <c r="E1600">
        <v>50</v>
      </c>
      <c r="F1600">
        <v>45.700511931999998</v>
      </c>
      <c r="G1600">
        <v>1381.6516113</v>
      </c>
      <c r="H1600">
        <v>1367.8861084</v>
      </c>
      <c r="I1600">
        <v>1286.7814940999999</v>
      </c>
      <c r="J1600">
        <v>1267.0302733999999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1172.129469</v>
      </c>
      <c r="B1601" s="1">
        <f>DATE(2013,7,16) + TIME(3,6,26)</f>
        <v>41471.129467592589</v>
      </c>
      <c r="C1601">
        <v>80</v>
      </c>
      <c r="D1601">
        <v>79.957878113000007</v>
      </c>
      <c r="E1601">
        <v>50</v>
      </c>
      <c r="F1601">
        <v>45.633430480999998</v>
      </c>
      <c r="G1601">
        <v>1381.5968018000001</v>
      </c>
      <c r="H1601">
        <v>1367.8405762</v>
      </c>
      <c r="I1601">
        <v>1286.7282714999999</v>
      </c>
      <c r="J1601">
        <v>1266.9505615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1173.4985830000001</v>
      </c>
      <c r="B1602" s="1">
        <f>DATE(2013,7,17) + TIME(11,57,57)</f>
        <v>41472.498576388891</v>
      </c>
      <c r="C1602">
        <v>80</v>
      </c>
      <c r="D1602">
        <v>79.957893372000001</v>
      </c>
      <c r="E1602">
        <v>50</v>
      </c>
      <c r="F1602">
        <v>45.565235137999998</v>
      </c>
      <c r="G1602">
        <v>1381.5418701000001</v>
      </c>
      <c r="H1602">
        <v>1367.7947998</v>
      </c>
      <c r="I1602">
        <v>1286.6733397999999</v>
      </c>
      <c r="J1602">
        <v>1266.8679199000001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1174.897596</v>
      </c>
      <c r="B1603" s="1">
        <f>DATE(2013,7,18) + TIME(21,32,32)</f>
        <v>41473.897592592592</v>
      </c>
      <c r="C1603">
        <v>80</v>
      </c>
      <c r="D1603">
        <v>79.957901000999996</v>
      </c>
      <c r="E1603">
        <v>50</v>
      </c>
      <c r="F1603">
        <v>45.495723724000001</v>
      </c>
      <c r="G1603">
        <v>1381.4865723</v>
      </c>
      <c r="H1603">
        <v>1367.7485352000001</v>
      </c>
      <c r="I1603">
        <v>1286.6166992000001</v>
      </c>
      <c r="J1603">
        <v>1266.7822266000001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1176.331398</v>
      </c>
      <c r="B1604" s="1">
        <f>DATE(2013,7,20) + TIME(7,57,12)</f>
        <v>41475.331388888888</v>
      </c>
      <c r="C1604">
        <v>80</v>
      </c>
      <c r="D1604">
        <v>79.957916260000005</v>
      </c>
      <c r="E1604">
        <v>50</v>
      </c>
      <c r="F1604">
        <v>45.424671173</v>
      </c>
      <c r="G1604">
        <v>1381.4306641000001</v>
      </c>
      <c r="H1604">
        <v>1367.7019043</v>
      </c>
      <c r="I1604">
        <v>1286.5579834</v>
      </c>
      <c r="J1604">
        <v>1266.6932373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1177.7831630000001</v>
      </c>
      <c r="B1605" s="1">
        <f>DATE(2013,7,21) + TIME(18,47,45)</f>
        <v>41476.783159722225</v>
      </c>
      <c r="C1605">
        <v>80</v>
      </c>
      <c r="D1605">
        <v>79.957931518999999</v>
      </c>
      <c r="E1605">
        <v>50</v>
      </c>
      <c r="F1605">
        <v>45.352249145999998</v>
      </c>
      <c r="G1605">
        <v>1381.3741454999999</v>
      </c>
      <c r="H1605">
        <v>1367.6545410000001</v>
      </c>
      <c r="I1605">
        <v>1286.4969481999999</v>
      </c>
      <c r="J1605">
        <v>1266.6004639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1179.238171</v>
      </c>
      <c r="B1606" s="1">
        <f>DATE(2013,7,23) + TIME(5,42,57)</f>
        <v>41478.238159722219</v>
      </c>
      <c r="C1606">
        <v>80</v>
      </c>
      <c r="D1606">
        <v>79.957946777000004</v>
      </c>
      <c r="E1606">
        <v>50</v>
      </c>
      <c r="F1606">
        <v>45.279010773000003</v>
      </c>
      <c r="G1606">
        <v>1381.3176269999999</v>
      </c>
      <c r="H1606">
        <v>1367.6071777</v>
      </c>
      <c r="I1606">
        <v>1286.4343262</v>
      </c>
      <c r="J1606">
        <v>1266.5048827999999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1180.7003540000001</v>
      </c>
      <c r="B1607" s="1">
        <f>DATE(2013,7,24) + TIME(16,48,30)</f>
        <v>41479.70034722222</v>
      </c>
      <c r="C1607">
        <v>80</v>
      </c>
      <c r="D1607">
        <v>79.957969665999997</v>
      </c>
      <c r="E1607">
        <v>50</v>
      </c>
      <c r="F1607">
        <v>45.205291748</v>
      </c>
      <c r="G1607">
        <v>1381.2617187999999</v>
      </c>
      <c r="H1607">
        <v>1367.5601807</v>
      </c>
      <c r="I1607">
        <v>1286.3707274999999</v>
      </c>
      <c r="J1607">
        <v>1266.4073486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1182.1738150000001</v>
      </c>
      <c r="B1608" s="1">
        <f>DATE(2013,7,26) + TIME(4,10,17)</f>
        <v>41481.173807870371</v>
      </c>
      <c r="C1608">
        <v>80</v>
      </c>
      <c r="D1608">
        <v>79.957984924000002</v>
      </c>
      <c r="E1608">
        <v>50</v>
      </c>
      <c r="F1608">
        <v>45.131099700999997</v>
      </c>
      <c r="G1608">
        <v>1381.2060547000001</v>
      </c>
      <c r="H1608">
        <v>1367.5134277</v>
      </c>
      <c r="I1608">
        <v>1286.3059082</v>
      </c>
      <c r="J1608">
        <v>1266.3074951000001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1183.6627229999999</v>
      </c>
      <c r="B1609" s="1">
        <f>DATE(2013,7,27) + TIME(15,54,19)</f>
        <v>41482.662719907406</v>
      </c>
      <c r="C1609">
        <v>80</v>
      </c>
      <c r="D1609">
        <v>79.958000182999996</v>
      </c>
      <c r="E1609">
        <v>50</v>
      </c>
      <c r="F1609">
        <v>45.056324005</v>
      </c>
      <c r="G1609">
        <v>1381.1507568</v>
      </c>
      <c r="H1609">
        <v>1367.4667969</v>
      </c>
      <c r="I1609">
        <v>1286.2398682</v>
      </c>
      <c r="J1609">
        <v>1266.2054443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1185.171372</v>
      </c>
      <c r="B1610" s="1">
        <f>DATE(2013,7,29) + TIME(4,6,46)</f>
        <v>41484.171365740738</v>
      </c>
      <c r="C1610">
        <v>80</v>
      </c>
      <c r="D1610">
        <v>79.958015442000004</v>
      </c>
      <c r="E1610">
        <v>50</v>
      </c>
      <c r="F1610">
        <v>44.980800629000001</v>
      </c>
      <c r="G1610">
        <v>1381.0954589999999</v>
      </c>
      <c r="H1610">
        <v>1367.4201660000001</v>
      </c>
      <c r="I1610">
        <v>1286.1722411999999</v>
      </c>
      <c r="J1610">
        <v>1266.1005858999999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1186.704295</v>
      </c>
      <c r="B1611" s="1">
        <f>DATE(2013,7,30) + TIME(16,54,11)</f>
        <v>41485.704293981478</v>
      </c>
      <c r="C1611">
        <v>80</v>
      </c>
      <c r="D1611">
        <v>79.958038329999994</v>
      </c>
      <c r="E1611">
        <v>50</v>
      </c>
      <c r="F1611">
        <v>44.904354095000002</v>
      </c>
      <c r="G1611">
        <v>1381.0400391000001</v>
      </c>
      <c r="H1611">
        <v>1367.3732910000001</v>
      </c>
      <c r="I1611">
        <v>1286.1030272999999</v>
      </c>
      <c r="J1611">
        <v>1265.9927978999999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1188</v>
      </c>
      <c r="B1612" s="1">
        <f>DATE(2013,8,1) + TIME(0,0,0)</f>
        <v>41487</v>
      </c>
      <c r="C1612">
        <v>80</v>
      </c>
      <c r="D1612">
        <v>79.958053589000002</v>
      </c>
      <c r="E1612">
        <v>50</v>
      </c>
      <c r="F1612">
        <v>44.832118987999998</v>
      </c>
      <c r="G1612">
        <v>1380.9842529</v>
      </c>
      <c r="H1612">
        <v>1367.3261719</v>
      </c>
      <c r="I1612">
        <v>1286.0323486</v>
      </c>
      <c r="J1612">
        <v>1265.8841553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1189.562032</v>
      </c>
      <c r="B1613" s="1">
        <f>DATE(2013,8,2) + TIME(13,29,19)</f>
        <v>41488.562025462961</v>
      </c>
      <c r="C1613">
        <v>80</v>
      </c>
      <c r="D1613">
        <v>79.958068847999996</v>
      </c>
      <c r="E1613">
        <v>50</v>
      </c>
      <c r="F1613">
        <v>44.758995056000003</v>
      </c>
      <c r="G1613">
        <v>1380.9378661999999</v>
      </c>
      <c r="H1613">
        <v>1367.2867432</v>
      </c>
      <c r="I1613">
        <v>1285.9707031</v>
      </c>
      <c r="J1613">
        <v>1265.7847899999999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1191.1685729999999</v>
      </c>
      <c r="B1614" s="1">
        <f>DATE(2013,8,4) + TIME(4,2,44)</f>
        <v>41490.168564814812</v>
      </c>
      <c r="C1614">
        <v>80</v>
      </c>
      <c r="D1614">
        <v>79.958091736</v>
      </c>
      <c r="E1614">
        <v>50</v>
      </c>
      <c r="F1614">
        <v>44.681648254000002</v>
      </c>
      <c r="G1614">
        <v>1380.8823242000001</v>
      </c>
      <c r="H1614">
        <v>1367.2397461</v>
      </c>
      <c r="I1614">
        <v>1285.8974608999999</v>
      </c>
      <c r="J1614">
        <v>1265.6699219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1192.803351</v>
      </c>
      <c r="B1615" s="1">
        <f>DATE(2013,8,5) + TIME(19,16,49)</f>
        <v>41491.803344907406</v>
      </c>
      <c r="C1615">
        <v>80</v>
      </c>
      <c r="D1615">
        <v>79.958114624000004</v>
      </c>
      <c r="E1615">
        <v>50</v>
      </c>
      <c r="F1615">
        <v>44.601783752000003</v>
      </c>
      <c r="G1615">
        <v>1380.8258057</v>
      </c>
      <c r="H1615">
        <v>1367.1916504000001</v>
      </c>
      <c r="I1615">
        <v>1285.8211670000001</v>
      </c>
      <c r="J1615">
        <v>1265.5498047000001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1194.4599599999999</v>
      </c>
      <c r="B1616" s="1">
        <f>DATE(2013,8,7) + TIME(11,2,20)</f>
        <v>41493.459953703707</v>
      </c>
      <c r="C1616">
        <v>80</v>
      </c>
      <c r="D1616">
        <v>79.958137511999993</v>
      </c>
      <c r="E1616">
        <v>50</v>
      </c>
      <c r="F1616">
        <v>44.520435333000002</v>
      </c>
      <c r="G1616">
        <v>1380.7689209</v>
      </c>
      <c r="H1616">
        <v>1367.1433105000001</v>
      </c>
      <c r="I1616">
        <v>1285.7427978999999</v>
      </c>
      <c r="J1616">
        <v>1265.4256591999999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1196.125029</v>
      </c>
      <c r="B1617" s="1">
        <f>DATE(2013,8,9) + TIME(3,0,2)</f>
        <v>41495.125023148146</v>
      </c>
      <c r="C1617">
        <v>80</v>
      </c>
      <c r="D1617">
        <v>79.958160399999997</v>
      </c>
      <c r="E1617">
        <v>50</v>
      </c>
      <c r="F1617">
        <v>44.438346863</v>
      </c>
      <c r="G1617">
        <v>1380.7119141000001</v>
      </c>
      <c r="H1617">
        <v>1367.0947266000001</v>
      </c>
      <c r="I1617">
        <v>1285.6627197</v>
      </c>
      <c r="J1617">
        <v>1265.2984618999999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1197.8033800000001</v>
      </c>
      <c r="B1618" s="1">
        <f>DATE(2013,8,10) + TIME(19,16,52)</f>
        <v>41496.803379629629</v>
      </c>
      <c r="C1618">
        <v>80</v>
      </c>
      <c r="D1618">
        <v>79.958183289000004</v>
      </c>
      <c r="E1618">
        <v>50</v>
      </c>
      <c r="F1618">
        <v>44.355949402</v>
      </c>
      <c r="G1618">
        <v>1380.6552733999999</v>
      </c>
      <c r="H1618">
        <v>1367.0463867000001</v>
      </c>
      <c r="I1618">
        <v>1285.581543</v>
      </c>
      <c r="J1618">
        <v>1265.1688231999999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1199.4998370000001</v>
      </c>
      <c r="B1619" s="1">
        <f>DATE(2013,8,12) + TIME(11,59,45)</f>
        <v>41498.499826388892</v>
      </c>
      <c r="C1619">
        <v>80</v>
      </c>
      <c r="D1619">
        <v>79.958206176999994</v>
      </c>
      <c r="E1619">
        <v>50</v>
      </c>
      <c r="F1619">
        <v>44.273296356000003</v>
      </c>
      <c r="G1619">
        <v>1380.5987548999999</v>
      </c>
      <c r="H1619">
        <v>1366.9980469</v>
      </c>
      <c r="I1619">
        <v>1285.4992675999999</v>
      </c>
      <c r="J1619">
        <v>1265.0369873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1201.219419</v>
      </c>
      <c r="B1620" s="1">
        <f>DATE(2013,8,14) + TIME(5,15,57)</f>
        <v>41500.219409722224</v>
      </c>
      <c r="C1620">
        <v>80</v>
      </c>
      <c r="D1620">
        <v>79.958229064999998</v>
      </c>
      <c r="E1620">
        <v>50</v>
      </c>
      <c r="F1620">
        <v>44.190322876000003</v>
      </c>
      <c r="G1620">
        <v>1380.5422363</v>
      </c>
      <c r="H1620">
        <v>1366.9495850000001</v>
      </c>
      <c r="I1620">
        <v>1285.4157714999999</v>
      </c>
      <c r="J1620">
        <v>1264.9023437999999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1202.961742</v>
      </c>
      <c r="B1621" s="1">
        <f>DATE(2013,8,15) + TIME(23,4,54)</f>
        <v>41501.961736111109</v>
      </c>
      <c r="C1621">
        <v>80</v>
      </c>
      <c r="D1621">
        <v>79.958251953000001</v>
      </c>
      <c r="E1621">
        <v>50</v>
      </c>
      <c r="F1621">
        <v>44.107006073000001</v>
      </c>
      <c r="G1621">
        <v>1380.4855957</v>
      </c>
      <c r="H1621">
        <v>1366.901001</v>
      </c>
      <c r="I1621">
        <v>1285.3306885</v>
      </c>
      <c r="J1621">
        <v>1264.7650146000001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1204.723078</v>
      </c>
      <c r="B1622" s="1">
        <f>DATE(2013,8,17) + TIME(17,21,13)</f>
        <v>41503.723067129627</v>
      </c>
      <c r="C1622">
        <v>80</v>
      </c>
      <c r="D1622">
        <v>79.958282471000004</v>
      </c>
      <c r="E1622">
        <v>50</v>
      </c>
      <c r="F1622">
        <v>44.023487091</v>
      </c>
      <c r="G1622">
        <v>1380.4287108999999</v>
      </c>
      <c r="H1622">
        <v>1366.8521728999999</v>
      </c>
      <c r="I1622">
        <v>1285.2442627</v>
      </c>
      <c r="J1622">
        <v>1264.6247559000001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1206.5084870000001</v>
      </c>
      <c r="B1623" s="1">
        <f>DATE(2013,8,19) + TIME(12,12,13)</f>
        <v>41505.508483796293</v>
      </c>
      <c r="C1623">
        <v>80</v>
      </c>
      <c r="D1623">
        <v>79.958305358999993</v>
      </c>
      <c r="E1623">
        <v>50</v>
      </c>
      <c r="F1623">
        <v>43.939895630000002</v>
      </c>
      <c r="G1623">
        <v>1380.3718262</v>
      </c>
      <c r="H1623">
        <v>1366.8032227000001</v>
      </c>
      <c r="I1623">
        <v>1285.1566161999999</v>
      </c>
      <c r="J1623">
        <v>1264.4820557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1208.3232009999999</v>
      </c>
      <c r="B1624" s="1">
        <f>DATE(2013,8,21) + TIME(7,45,24)</f>
        <v>41507.323194444441</v>
      </c>
      <c r="C1624">
        <v>80</v>
      </c>
      <c r="D1624">
        <v>79.958335876000007</v>
      </c>
      <c r="E1624">
        <v>50</v>
      </c>
      <c r="F1624">
        <v>43.856243134000003</v>
      </c>
      <c r="G1624">
        <v>1380.3146973</v>
      </c>
      <c r="H1624">
        <v>1366.7540283000001</v>
      </c>
      <c r="I1624">
        <v>1285.0676269999999</v>
      </c>
      <c r="J1624">
        <v>1264.3366699000001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1210.1728290000001</v>
      </c>
      <c r="B1625" s="1">
        <f>DATE(2013,8,23) + TIME(4,8,52)</f>
        <v>41509.172824074078</v>
      </c>
      <c r="C1625">
        <v>80</v>
      </c>
      <c r="D1625">
        <v>79.958358765</v>
      </c>
      <c r="E1625">
        <v>50</v>
      </c>
      <c r="F1625">
        <v>43.772487640000001</v>
      </c>
      <c r="G1625">
        <v>1380.2573242000001</v>
      </c>
      <c r="H1625">
        <v>1366.7043457</v>
      </c>
      <c r="I1625">
        <v>1284.9772949000001</v>
      </c>
      <c r="J1625">
        <v>1264.1882324000001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1212.057264</v>
      </c>
      <c r="B1626" s="1">
        <f>DATE(2013,8,25) + TIME(1,22,27)</f>
        <v>41511.057256944441</v>
      </c>
      <c r="C1626">
        <v>80</v>
      </c>
      <c r="D1626">
        <v>79.958389281999999</v>
      </c>
      <c r="E1626">
        <v>50</v>
      </c>
      <c r="F1626">
        <v>43.688690186000002</v>
      </c>
      <c r="G1626">
        <v>1380.1993408000001</v>
      </c>
      <c r="H1626">
        <v>1366.6542969</v>
      </c>
      <c r="I1626">
        <v>1284.8852539</v>
      </c>
      <c r="J1626">
        <v>1264.0366211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1213.956013</v>
      </c>
      <c r="B1627" s="1">
        <f>DATE(2013,8,26) + TIME(22,56,39)</f>
        <v>41512.956006944441</v>
      </c>
      <c r="C1627">
        <v>80</v>
      </c>
      <c r="D1627">
        <v>79.958419800000001</v>
      </c>
      <c r="E1627">
        <v>50</v>
      </c>
      <c r="F1627">
        <v>43.605331421000002</v>
      </c>
      <c r="G1627">
        <v>1380.1407471</v>
      </c>
      <c r="H1627">
        <v>1366.6035156</v>
      </c>
      <c r="I1627">
        <v>1284.7917480000001</v>
      </c>
      <c r="J1627">
        <v>1263.8820800999999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1215.8731889999999</v>
      </c>
      <c r="B1628" s="1">
        <f>DATE(2013,8,28) + TIME(20,57,23)</f>
        <v>41514.873182870368</v>
      </c>
      <c r="C1628">
        <v>80</v>
      </c>
      <c r="D1628">
        <v>79.958442688000005</v>
      </c>
      <c r="E1628">
        <v>50</v>
      </c>
      <c r="F1628">
        <v>43.523002624999997</v>
      </c>
      <c r="G1628">
        <v>1380.0823975000001</v>
      </c>
      <c r="H1628">
        <v>1366.5528564000001</v>
      </c>
      <c r="I1628">
        <v>1284.697876</v>
      </c>
      <c r="J1628">
        <v>1263.7260742000001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1217.811792</v>
      </c>
      <c r="B1629" s="1">
        <f>DATE(2013,8,30) + TIME(19,28,58)</f>
        <v>41516.811782407407</v>
      </c>
      <c r="C1629">
        <v>80</v>
      </c>
      <c r="D1629">
        <v>79.958473205999994</v>
      </c>
      <c r="E1629">
        <v>50</v>
      </c>
      <c r="F1629">
        <v>43.441959380999997</v>
      </c>
      <c r="G1629">
        <v>1380.0240478999999</v>
      </c>
      <c r="H1629">
        <v>1366.5021973</v>
      </c>
      <c r="I1629">
        <v>1284.6033935999999</v>
      </c>
      <c r="J1629">
        <v>1263.5686035000001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1219</v>
      </c>
      <c r="B1630" s="1">
        <f>DATE(2013,9,1) + TIME(0,0,0)</f>
        <v>41518</v>
      </c>
      <c r="C1630">
        <v>80</v>
      </c>
      <c r="D1630">
        <v>79.958488463999998</v>
      </c>
      <c r="E1630">
        <v>50</v>
      </c>
      <c r="F1630">
        <v>43.375579834</v>
      </c>
      <c r="G1630">
        <v>1379.9652100000001</v>
      </c>
      <c r="H1630">
        <v>1366.4509277</v>
      </c>
      <c r="I1630">
        <v>1284.5113524999999</v>
      </c>
      <c r="J1630">
        <v>1263.4194336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1220.9511620000001</v>
      </c>
      <c r="B1631" s="1">
        <f>DATE(2013,9,2) + TIME(22,49,40)</f>
        <v>41519.951157407406</v>
      </c>
      <c r="C1631">
        <v>80</v>
      </c>
      <c r="D1631">
        <v>79.958518982000001</v>
      </c>
      <c r="E1631">
        <v>50</v>
      </c>
      <c r="F1631">
        <v>43.309993744000003</v>
      </c>
      <c r="G1631">
        <v>1379.9299315999999</v>
      </c>
      <c r="H1631">
        <v>1366.4201660000001</v>
      </c>
      <c r="I1631">
        <v>1284.4481201000001</v>
      </c>
      <c r="J1631">
        <v>1263.3063964999999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1222.9370039999999</v>
      </c>
      <c r="B1632" s="1">
        <f>DATE(2013,9,4) + TIME(22,29,17)</f>
        <v>41521.937002314815</v>
      </c>
      <c r="C1632">
        <v>80</v>
      </c>
      <c r="D1632">
        <v>79.958557128999999</v>
      </c>
      <c r="E1632">
        <v>50</v>
      </c>
      <c r="F1632">
        <v>43.237915039000001</v>
      </c>
      <c r="G1632">
        <v>1379.8719481999999</v>
      </c>
      <c r="H1632">
        <v>1366.3695068</v>
      </c>
      <c r="I1632">
        <v>1284.355957</v>
      </c>
      <c r="J1632">
        <v>1263.1523437999999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1224.951321</v>
      </c>
      <c r="B1633" s="1">
        <f>DATE(2013,9,6) + TIME(22,49,54)</f>
        <v>41523.951319444444</v>
      </c>
      <c r="C1633">
        <v>80</v>
      </c>
      <c r="D1633">
        <v>79.958587645999998</v>
      </c>
      <c r="E1633">
        <v>50</v>
      </c>
      <c r="F1633">
        <v>43.165290833</v>
      </c>
      <c r="G1633">
        <v>1379.8133545000001</v>
      </c>
      <c r="H1633">
        <v>1366.3183594</v>
      </c>
      <c r="I1633">
        <v>1284.2618408000001</v>
      </c>
      <c r="J1633">
        <v>1262.9936522999999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1227.0004879999999</v>
      </c>
      <c r="B1634" s="1">
        <f>DATE(2013,9,9) + TIME(0,0,42)</f>
        <v>41526.000486111108</v>
      </c>
      <c r="C1634">
        <v>80</v>
      </c>
      <c r="D1634">
        <v>79.958618164000001</v>
      </c>
      <c r="E1634">
        <v>50</v>
      </c>
      <c r="F1634">
        <v>43.094295502000001</v>
      </c>
      <c r="G1634">
        <v>1379.7545166</v>
      </c>
      <c r="H1634">
        <v>1366.2668457</v>
      </c>
      <c r="I1634">
        <v>1284.1672363</v>
      </c>
      <c r="J1634">
        <v>1262.8331298999999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1229.073572</v>
      </c>
      <c r="B1635" s="1">
        <f>DATE(2013,9,11) + TIME(1,45,56)</f>
        <v>41528.073564814818</v>
      </c>
      <c r="C1635">
        <v>80</v>
      </c>
      <c r="D1635">
        <v>79.958656310999999</v>
      </c>
      <c r="E1635">
        <v>50</v>
      </c>
      <c r="F1635">
        <v>43.025966644</v>
      </c>
      <c r="G1635">
        <v>1379.6951904</v>
      </c>
      <c r="H1635">
        <v>1366.2148437999999</v>
      </c>
      <c r="I1635">
        <v>1284.0723877</v>
      </c>
      <c r="J1635">
        <v>1262.6715088000001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1231.152611</v>
      </c>
      <c r="B1636" s="1">
        <f>DATE(2013,9,13) + TIME(3,39,45)</f>
        <v>41530.152604166666</v>
      </c>
      <c r="C1636">
        <v>80</v>
      </c>
      <c r="D1636">
        <v>79.958686829000001</v>
      </c>
      <c r="E1636">
        <v>50</v>
      </c>
      <c r="F1636">
        <v>42.961284636999999</v>
      </c>
      <c r="G1636">
        <v>1379.6356201000001</v>
      </c>
      <c r="H1636">
        <v>1366.1624756000001</v>
      </c>
      <c r="I1636">
        <v>1283.9780272999999</v>
      </c>
      <c r="J1636">
        <v>1262.5102539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1233.2454789999999</v>
      </c>
      <c r="B1637" s="1">
        <f>DATE(2013,9,15) + TIME(5,53,29)</f>
        <v>41532.245474537034</v>
      </c>
      <c r="C1637">
        <v>80</v>
      </c>
      <c r="D1637">
        <v>79.958717346</v>
      </c>
      <c r="E1637">
        <v>50</v>
      </c>
      <c r="F1637">
        <v>42.901031494000001</v>
      </c>
      <c r="G1637">
        <v>1379.5764160000001</v>
      </c>
      <c r="H1637">
        <v>1366.1103516000001</v>
      </c>
      <c r="I1637">
        <v>1283.8850098</v>
      </c>
      <c r="J1637">
        <v>1262.3508300999999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1235.3681059999999</v>
      </c>
      <c r="B1638" s="1">
        <f>DATE(2013,9,17) + TIME(8,50,4)</f>
        <v>41534.368101851855</v>
      </c>
      <c r="C1638">
        <v>80</v>
      </c>
      <c r="D1638">
        <v>79.958755492999998</v>
      </c>
      <c r="E1638">
        <v>50</v>
      </c>
      <c r="F1638">
        <v>42.845569611000002</v>
      </c>
      <c r="G1638">
        <v>1379.5173339999999</v>
      </c>
      <c r="H1638">
        <v>1366.0582274999999</v>
      </c>
      <c r="I1638">
        <v>1283.7935791</v>
      </c>
      <c r="J1638">
        <v>1262.1933594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1237.53322</v>
      </c>
      <c r="B1639" s="1">
        <f>DATE(2013,9,19) + TIME(12,47,50)</f>
        <v>41536.533217592594</v>
      </c>
      <c r="C1639">
        <v>80</v>
      </c>
      <c r="D1639">
        <v>79.958786011000001</v>
      </c>
      <c r="E1639">
        <v>50</v>
      </c>
      <c r="F1639">
        <v>42.795188904</v>
      </c>
      <c r="G1639">
        <v>1379.4578856999999</v>
      </c>
      <c r="H1639">
        <v>1366.0057373</v>
      </c>
      <c r="I1639">
        <v>1283.7030029</v>
      </c>
      <c r="J1639">
        <v>1262.0371094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1239.741074</v>
      </c>
      <c r="B1640" s="1">
        <f>DATE(2013,9,21) + TIME(17,47,8)</f>
        <v>41538.741064814814</v>
      </c>
      <c r="C1640">
        <v>80</v>
      </c>
      <c r="D1640">
        <v>79.958824157999999</v>
      </c>
      <c r="E1640">
        <v>50</v>
      </c>
      <c r="F1640">
        <v>42.750400542999998</v>
      </c>
      <c r="G1640">
        <v>1379.3977050999999</v>
      </c>
      <c r="H1640">
        <v>1365.9525146000001</v>
      </c>
      <c r="I1640">
        <v>1283.6134033000001</v>
      </c>
      <c r="J1640">
        <v>1261.8819579999999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1241.973107</v>
      </c>
      <c r="B1641" s="1">
        <f>DATE(2013,9,23) + TIME(23,21,16)</f>
        <v>41540.973101851851</v>
      </c>
      <c r="C1641">
        <v>80</v>
      </c>
      <c r="D1641">
        <v>79.958862304999997</v>
      </c>
      <c r="E1641">
        <v>50</v>
      </c>
      <c r="F1641">
        <v>42.712085723999998</v>
      </c>
      <c r="G1641">
        <v>1379.3367920000001</v>
      </c>
      <c r="H1641">
        <v>1365.8986815999999</v>
      </c>
      <c r="I1641">
        <v>1283.5249022999999</v>
      </c>
      <c r="J1641">
        <v>1261.7285156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1244.2286779999999</v>
      </c>
      <c r="B1642" s="1">
        <f>DATE(2013,9,26) + TIME(5,29,17)</f>
        <v>41543.228668981479</v>
      </c>
      <c r="C1642">
        <v>80</v>
      </c>
      <c r="D1642">
        <v>79.958900451999995</v>
      </c>
      <c r="E1642">
        <v>50</v>
      </c>
      <c r="F1642">
        <v>42.681243895999998</v>
      </c>
      <c r="G1642">
        <v>1379.2758789</v>
      </c>
      <c r="H1642">
        <v>1365.8444824000001</v>
      </c>
      <c r="I1642">
        <v>1283.4383545000001</v>
      </c>
      <c r="J1642">
        <v>1261.5784911999999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1246.5135090000001</v>
      </c>
      <c r="B1643" s="1">
        <f>DATE(2013,9,28) + TIME(12,19,27)</f>
        <v>41545.513506944444</v>
      </c>
      <c r="C1643">
        <v>80</v>
      </c>
      <c r="D1643">
        <v>79.958938599000007</v>
      </c>
      <c r="E1643">
        <v>50</v>
      </c>
      <c r="F1643">
        <v>42.658710480000003</v>
      </c>
      <c r="G1643">
        <v>1379.2145995999999</v>
      </c>
      <c r="H1643">
        <v>1365.7900391000001</v>
      </c>
      <c r="I1643">
        <v>1283.3542480000001</v>
      </c>
      <c r="J1643">
        <v>1261.4324951000001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1248.8195969999999</v>
      </c>
      <c r="B1644" s="1">
        <f>DATE(2013,9,30) + TIME(19,40,13)</f>
        <v>41547.819594907407</v>
      </c>
      <c r="C1644">
        <v>80</v>
      </c>
      <c r="D1644">
        <v>79.958976746000005</v>
      </c>
      <c r="E1644">
        <v>50</v>
      </c>
      <c r="F1644">
        <v>42.645324707</v>
      </c>
      <c r="G1644">
        <v>1379.1531981999999</v>
      </c>
      <c r="H1644">
        <v>1365.7353516000001</v>
      </c>
      <c r="I1644">
        <v>1283.2728271000001</v>
      </c>
      <c r="J1644">
        <v>1261.2910156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1249</v>
      </c>
      <c r="B1645" s="1">
        <f>DATE(2013,10,1) + TIME(0,0,0)</f>
        <v>41548</v>
      </c>
      <c r="C1645">
        <v>80</v>
      </c>
      <c r="D1645">
        <v>79.958969116000006</v>
      </c>
      <c r="E1645">
        <v>50</v>
      </c>
      <c r="F1645">
        <v>42.644527435000001</v>
      </c>
      <c r="G1645">
        <v>1379.0916748</v>
      </c>
      <c r="H1645">
        <v>1365.6805420000001</v>
      </c>
      <c r="I1645">
        <v>1283.2192382999999</v>
      </c>
      <c r="J1645">
        <v>1261.1973877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1251.327826</v>
      </c>
      <c r="B1646" s="1">
        <f>DATE(2013,10,3) + TIME(7,52,4)</f>
        <v>41550.327824074076</v>
      </c>
      <c r="C1646">
        <v>80</v>
      </c>
      <c r="D1646">
        <v>79.959014893000003</v>
      </c>
      <c r="E1646">
        <v>50</v>
      </c>
      <c r="F1646">
        <v>42.642341614000003</v>
      </c>
      <c r="G1646">
        <v>1379.0867920000001</v>
      </c>
      <c r="H1646">
        <v>1365.6761475000001</v>
      </c>
      <c r="I1646">
        <v>1283.1862793</v>
      </c>
      <c r="J1646">
        <v>1261.1412353999999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1253.685266</v>
      </c>
      <c r="B1647" s="1">
        <f>DATE(2013,10,5) + TIME(16,26,46)</f>
        <v>41552.685254629629</v>
      </c>
      <c r="C1647">
        <v>80</v>
      </c>
      <c r="D1647">
        <v>79.959060668999996</v>
      </c>
      <c r="E1647">
        <v>50</v>
      </c>
      <c r="F1647">
        <v>42.650730133000003</v>
      </c>
      <c r="G1647">
        <v>1379.0252685999999</v>
      </c>
      <c r="H1647">
        <v>1365.6212158000001</v>
      </c>
      <c r="I1647">
        <v>1283.1130370999999</v>
      </c>
      <c r="J1647">
        <v>1261.0147704999999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1256.0479499999999</v>
      </c>
      <c r="B1648" s="1">
        <f>DATE(2013,10,8) + TIME(1,9,2)</f>
        <v>41555.047939814816</v>
      </c>
      <c r="C1648">
        <v>80</v>
      </c>
      <c r="D1648">
        <v>79.959098815999994</v>
      </c>
      <c r="E1648">
        <v>50</v>
      </c>
      <c r="F1648">
        <v>42.670688628999997</v>
      </c>
      <c r="G1648">
        <v>1378.9633789</v>
      </c>
      <c r="H1648">
        <v>1365.5657959</v>
      </c>
      <c r="I1648">
        <v>1283.0421143000001</v>
      </c>
      <c r="J1648">
        <v>1260.8928223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1258.4277649999999</v>
      </c>
      <c r="B1649" s="1">
        <f>DATE(2013,10,10) + TIME(10,15,58)</f>
        <v>41557.427754629629</v>
      </c>
      <c r="C1649">
        <v>80</v>
      </c>
      <c r="D1649">
        <v>79.959136963000006</v>
      </c>
      <c r="E1649">
        <v>50</v>
      </c>
      <c r="F1649">
        <v>42.702812195</v>
      </c>
      <c r="G1649">
        <v>1378.9018555</v>
      </c>
      <c r="H1649">
        <v>1365.5107422000001</v>
      </c>
      <c r="I1649">
        <v>1282.9750977000001</v>
      </c>
      <c r="J1649">
        <v>1260.7784423999999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1260.833476</v>
      </c>
      <c r="B1650" s="1">
        <f>DATE(2013,10,12) + TIME(20,0,12)</f>
        <v>41559.833472222221</v>
      </c>
      <c r="C1650">
        <v>80</v>
      </c>
      <c r="D1650">
        <v>79.959175110000004</v>
      </c>
      <c r="E1650">
        <v>50</v>
      </c>
      <c r="F1650">
        <v>42.747737884999999</v>
      </c>
      <c r="G1650">
        <v>1378.8404541</v>
      </c>
      <c r="H1650">
        <v>1365.4556885</v>
      </c>
      <c r="I1650">
        <v>1282.9121094</v>
      </c>
      <c r="J1650">
        <v>1260.6719971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1263.272195</v>
      </c>
      <c r="B1651" s="1">
        <f>DATE(2013,10,15) + TIME(6,31,57)</f>
        <v>41562.272187499999</v>
      </c>
      <c r="C1651">
        <v>80</v>
      </c>
      <c r="D1651">
        <v>79.959220885999997</v>
      </c>
      <c r="E1651">
        <v>50</v>
      </c>
      <c r="F1651">
        <v>42.806221008000001</v>
      </c>
      <c r="G1651">
        <v>1378.7789307</v>
      </c>
      <c r="H1651">
        <v>1365.4003906</v>
      </c>
      <c r="I1651">
        <v>1282.8530272999999</v>
      </c>
      <c r="J1651">
        <v>1260.5737305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1265.7516000000001</v>
      </c>
      <c r="B1652" s="1">
        <f>DATE(2013,10,17) + TIME(18,2,18)</f>
        <v>41564.751597222225</v>
      </c>
      <c r="C1652">
        <v>80</v>
      </c>
      <c r="D1652">
        <v>79.959259032999995</v>
      </c>
      <c r="E1652">
        <v>50</v>
      </c>
      <c r="F1652">
        <v>42.878959655999999</v>
      </c>
      <c r="G1652">
        <v>1378.7171631000001</v>
      </c>
      <c r="H1652">
        <v>1365.3447266000001</v>
      </c>
      <c r="I1652">
        <v>1282.7980957</v>
      </c>
      <c r="J1652">
        <v>1260.4838867000001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1268.27424</v>
      </c>
      <c r="B1653" s="1">
        <f>DATE(2013,10,20) + TIME(6,34,54)</f>
        <v>41567.274236111109</v>
      </c>
      <c r="C1653">
        <v>80</v>
      </c>
      <c r="D1653">
        <v>79.959304810000006</v>
      </c>
      <c r="E1653">
        <v>50</v>
      </c>
      <c r="F1653">
        <v>42.966697693</v>
      </c>
      <c r="G1653">
        <v>1378.6549072</v>
      </c>
      <c r="H1653">
        <v>1365.2886963000001</v>
      </c>
      <c r="I1653">
        <v>1282.7471923999999</v>
      </c>
      <c r="J1653">
        <v>1260.4025879000001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1270.801504</v>
      </c>
      <c r="B1654" s="1">
        <f>DATE(2013,10,22) + TIME(19,14,9)</f>
        <v>41569.801493055558</v>
      </c>
      <c r="C1654">
        <v>80</v>
      </c>
      <c r="D1654">
        <v>79.959350585999999</v>
      </c>
      <c r="E1654">
        <v>50</v>
      </c>
      <c r="F1654">
        <v>43.069637299</v>
      </c>
      <c r="G1654">
        <v>1378.5921631000001</v>
      </c>
      <c r="H1654">
        <v>1365.2320557</v>
      </c>
      <c r="I1654">
        <v>1282.7006836</v>
      </c>
      <c r="J1654">
        <v>1260.3305664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1273.346986</v>
      </c>
      <c r="B1655" s="1">
        <f>DATE(2013,10,25) + TIME(8,19,39)</f>
        <v>41572.346979166665</v>
      </c>
      <c r="C1655">
        <v>80</v>
      </c>
      <c r="D1655">
        <v>79.959388732999997</v>
      </c>
      <c r="E1655">
        <v>50</v>
      </c>
      <c r="F1655">
        <v>43.187065124999997</v>
      </c>
      <c r="G1655">
        <v>1378.5300293</v>
      </c>
      <c r="H1655">
        <v>1365.1759033000001</v>
      </c>
      <c r="I1655">
        <v>1282.6589355000001</v>
      </c>
      <c r="J1655">
        <v>1260.2687988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1275.919958</v>
      </c>
      <c r="B1656" s="1">
        <f>DATE(2013,10,27) + TIME(22,4,44)</f>
        <v>41574.919953703706</v>
      </c>
      <c r="C1656">
        <v>80</v>
      </c>
      <c r="D1656">
        <v>79.959434509000005</v>
      </c>
      <c r="E1656">
        <v>50</v>
      </c>
      <c r="F1656">
        <v>43.318923949999999</v>
      </c>
      <c r="G1656">
        <v>1378.4680175999999</v>
      </c>
      <c r="H1656">
        <v>1365.1198730000001</v>
      </c>
      <c r="I1656">
        <v>1282.6219481999999</v>
      </c>
      <c r="J1656">
        <v>1260.2171631000001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1278.529912</v>
      </c>
      <c r="B1657" s="1">
        <f>DATE(2013,10,30) + TIME(12,43,4)</f>
        <v>41577.529907407406</v>
      </c>
      <c r="C1657">
        <v>80</v>
      </c>
      <c r="D1657">
        <v>79.959480286000002</v>
      </c>
      <c r="E1657">
        <v>50</v>
      </c>
      <c r="F1657">
        <v>43.465164184999999</v>
      </c>
      <c r="G1657">
        <v>1378.4061279</v>
      </c>
      <c r="H1657">
        <v>1365.0638428</v>
      </c>
      <c r="I1657">
        <v>1282.5895995999999</v>
      </c>
      <c r="J1657">
        <v>1260.175293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1280</v>
      </c>
      <c r="B1658" s="1">
        <f>DATE(2013,11,1) + TIME(0,0,0)</f>
        <v>41579</v>
      </c>
      <c r="C1658">
        <v>80</v>
      </c>
      <c r="D1658">
        <v>79.959503174000005</v>
      </c>
      <c r="E1658">
        <v>50</v>
      </c>
      <c r="F1658">
        <v>43.600444793999998</v>
      </c>
      <c r="G1658">
        <v>1378.3438721</v>
      </c>
      <c r="H1658">
        <v>1365.0074463000001</v>
      </c>
      <c r="I1658">
        <v>1282.5690918</v>
      </c>
      <c r="J1658">
        <v>1260.1457519999999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1280.0000010000001</v>
      </c>
      <c r="B1659" s="1">
        <f>DATE(2013,11,1) + TIME(0,0,0)</f>
        <v>41579</v>
      </c>
      <c r="C1659">
        <v>80</v>
      </c>
      <c r="D1659">
        <v>79.959030150999993</v>
      </c>
      <c r="E1659">
        <v>50</v>
      </c>
      <c r="F1659">
        <v>43.600978851000001</v>
      </c>
      <c r="G1659">
        <v>1360.9052733999999</v>
      </c>
      <c r="H1659">
        <v>1348.9257812000001</v>
      </c>
      <c r="I1659">
        <v>1309.5150146000001</v>
      </c>
      <c r="J1659">
        <v>1287.2753906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1280.000004</v>
      </c>
      <c r="B1660" s="1">
        <f>DATE(2013,11,1) + TIME(0,0,0)</f>
        <v>41579</v>
      </c>
      <c r="C1660">
        <v>80</v>
      </c>
      <c r="D1660">
        <v>79.958267211999996</v>
      </c>
      <c r="E1660">
        <v>50</v>
      </c>
      <c r="F1660">
        <v>43.602012633999998</v>
      </c>
      <c r="G1660">
        <v>1354.3347168</v>
      </c>
      <c r="H1660">
        <v>1342.3543701000001</v>
      </c>
      <c r="I1660">
        <v>1318.3564452999999</v>
      </c>
      <c r="J1660">
        <v>1296.3037108999999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1280.0000130000001</v>
      </c>
      <c r="B1661" s="1">
        <f>DATE(2013,11,1) + TIME(0,0,1)</f>
        <v>41579.000011574077</v>
      </c>
      <c r="C1661">
        <v>80</v>
      </c>
      <c r="D1661">
        <v>79.957389832000004</v>
      </c>
      <c r="E1661">
        <v>50</v>
      </c>
      <c r="F1661">
        <v>43.603466034</v>
      </c>
      <c r="G1661">
        <v>1346.7341309000001</v>
      </c>
      <c r="H1661">
        <v>1334.7581786999999</v>
      </c>
      <c r="I1661">
        <v>1330.6357422000001</v>
      </c>
      <c r="J1661">
        <v>1308.6343993999999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1280.0000399999999</v>
      </c>
      <c r="B1662" s="1">
        <f>DATE(2013,11,1) + TIME(0,0,3)</f>
        <v>41579.000034722223</v>
      </c>
      <c r="C1662">
        <v>80</v>
      </c>
      <c r="D1662">
        <v>79.956520080999994</v>
      </c>
      <c r="E1662">
        <v>50</v>
      </c>
      <c r="F1662">
        <v>43.605155945</v>
      </c>
      <c r="G1662">
        <v>1339.2415771000001</v>
      </c>
      <c r="H1662">
        <v>1327.2723389</v>
      </c>
      <c r="I1662">
        <v>1343.8854980000001</v>
      </c>
      <c r="J1662">
        <v>1321.8699951000001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1280.000121</v>
      </c>
      <c r="B1663" s="1">
        <f>DATE(2013,11,1) + TIME(0,0,10)</f>
        <v>41579.000115740739</v>
      </c>
      <c r="C1663">
        <v>80</v>
      </c>
      <c r="D1663">
        <v>79.955657959000007</v>
      </c>
      <c r="E1663">
        <v>50</v>
      </c>
      <c r="F1663">
        <v>43.607276917</v>
      </c>
      <c r="G1663">
        <v>1331.8909911999999</v>
      </c>
      <c r="H1663">
        <v>1319.9168701000001</v>
      </c>
      <c r="I1663">
        <v>1357.1617432</v>
      </c>
      <c r="J1663">
        <v>1335.1295166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1280.000364</v>
      </c>
      <c r="B1664" s="1">
        <f>DATE(2013,11,1) + TIME(0,0,31)</f>
        <v>41579.000358796293</v>
      </c>
      <c r="C1664">
        <v>80</v>
      </c>
      <c r="D1664">
        <v>79.954750060999999</v>
      </c>
      <c r="E1664">
        <v>50</v>
      </c>
      <c r="F1664">
        <v>43.610675811999997</v>
      </c>
      <c r="G1664">
        <v>1324.3953856999999</v>
      </c>
      <c r="H1664">
        <v>1312.3435059000001</v>
      </c>
      <c r="I1664">
        <v>1370.5991211</v>
      </c>
      <c r="J1664">
        <v>1348.4992675999999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1280.0010930000001</v>
      </c>
      <c r="B1665" s="1">
        <f>DATE(2013,11,1) + TIME(0,1,34)</f>
        <v>41579.001087962963</v>
      </c>
      <c r="C1665">
        <v>80</v>
      </c>
      <c r="D1665">
        <v>79.953712463000002</v>
      </c>
      <c r="E1665">
        <v>50</v>
      </c>
      <c r="F1665">
        <v>43.617870330999999</v>
      </c>
      <c r="G1665">
        <v>1316.6164550999999</v>
      </c>
      <c r="H1665">
        <v>1304.4104004000001</v>
      </c>
      <c r="I1665">
        <v>1383.7158202999999</v>
      </c>
      <c r="J1665">
        <v>1361.4649658000001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1280.0032799999999</v>
      </c>
      <c r="B1666" s="1">
        <f>DATE(2013,11,1) + TIME(0,4,43)</f>
        <v>41579.003275462965</v>
      </c>
      <c r="C1666">
        <v>80</v>
      </c>
      <c r="D1666">
        <v>79.952468871999997</v>
      </c>
      <c r="E1666">
        <v>50</v>
      </c>
      <c r="F1666">
        <v>43.636367798000002</v>
      </c>
      <c r="G1666">
        <v>1309.5025635</v>
      </c>
      <c r="H1666">
        <v>1297.1849365</v>
      </c>
      <c r="I1666">
        <v>1394.4165039</v>
      </c>
      <c r="J1666">
        <v>1372.0002440999999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1280.0098410000001</v>
      </c>
      <c r="B1667" s="1">
        <f>DATE(2013,11,1) + TIME(0,14,10)</f>
        <v>41579.009837962964</v>
      </c>
      <c r="C1667">
        <v>80</v>
      </c>
      <c r="D1667">
        <v>79.950683593999997</v>
      </c>
      <c r="E1667">
        <v>50</v>
      </c>
      <c r="F1667">
        <v>43.688751220999997</v>
      </c>
      <c r="G1667">
        <v>1304.9661865</v>
      </c>
      <c r="H1667">
        <v>1292.6086425999999</v>
      </c>
      <c r="I1667">
        <v>1400.2269286999999</v>
      </c>
      <c r="J1667">
        <v>1377.7320557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1280.029524</v>
      </c>
      <c r="B1668" s="1">
        <f>DATE(2013,11,1) + TIME(0,42,30)</f>
        <v>41579.029513888891</v>
      </c>
      <c r="C1668">
        <v>80</v>
      </c>
      <c r="D1668">
        <v>79.946769713999998</v>
      </c>
      <c r="E1668">
        <v>50</v>
      </c>
      <c r="F1668">
        <v>43.840572356999999</v>
      </c>
      <c r="G1668">
        <v>1303.4279785000001</v>
      </c>
      <c r="H1668">
        <v>1291.0612793</v>
      </c>
      <c r="I1668">
        <v>1401.6463623</v>
      </c>
      <c r="J1668">
        <v>1379.1872559000001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1280.0862930000001</v>
      </c>
      <c r="B1669" s="1">
        <f>DATE(2013,11,1) + TIME(2,4,15)</f>
        <v>41579.086284722223</v>
      </c>
      <c r="C1669">
        <v>80</v>
      </c>
      <c r="D1669">
        <v>79.936492920000006</v>
      </c>
      <c r="E1669">
        <v>50</v>
      </c>
      <c r="F1669">
        <v>44.248786926000001</v>
      </c>
      <c r="G1669">
        <v>1303.1950684000001</v>
      </c>
      <c r="H1669">
        <v>1290.8266602000001</v>
      </c>
      <c r="I1669">
        <v>1401.4671631000001</v>
      </c>
      <c r="J1669">
        <v>1379.1741943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1280.1458210000001</v>
      </c>
      <c r="B1670" s="1">
        <f>DATE(2013,11,1) + TIME(3,29,58)</f>
        <v>41579.145810185182</v>
      </c>
      <c r="C1670">
        <v>80</v>
      </c>
      <c r="D1670">
        <v>79.925956725999995</v>
      </c>
      <c r="E1670">
        <v>50</v>
      </c>
      <c r="F1670">
        <v>44.647140503000003</v>
      </c>
      <c r="G1670">
        <v>1303.1779785000001</v>
      </c>
      <c r="H1670">
        <v>1290.809082</v>
      </c>
      <c r="I1670">
        <v>1401.1873779</v>
      </c>
      <c r="J1670">
        <v>1379.0491943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1280.2083970000001</v>
      </c>
      <c r="B1671" s="1">
        <f>DATE(2013,11,1) + TIME(5,0,5)</f>
        <v>41579.208391203705</v>
      </c>
      <c r="C1671">
        <v>80</v>
      </c>
      <c r="D1671">
        <v>79.915122986</v>
      </c>
      <c r="E1671">
        <v>50</v>
      </c>
      <c r="F1671">
        <v>45.035446167000003</v>
      </c>
      <c r="G1671">
        <v>1303.1744385</v>
      </c>
      <c r="H1671">
        <v>1290.8050536999999</v>
      </c>
      <c r="I1671">
        <v>1400.9149170000001</v>
      </c>
      <c r="J1671">
        <v>1378.9262695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1280.274398</v>
      </c>
      <c r="B1672" s="1">
        <f>DATE(2013,11,1) + TIME(6,35,7)</f>
        <v>41579.274386574078</v>
      </c>
      <c r="C1672">
        <v>80</v>
      </c>
      <c r="D1672">
        <v>79.903945922999995</v>
      </c>
      <c r="E1672">
        <v>50</v>
      </c>
      <c r="F1672">
        <v>45.413696289000001</v>
      </c>
      <c r="G1672">
        <v>1303.1717529</v>
      </c>
      <c r="H1672">
        <v>1290.8018798999999</v>
      </c>
      <c r="I1672">
        <v>1400.6507568</v>
      </c>
      <c r="J1672">
        <v>1378.8065185999999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1280.3442680000001</v>
      </c>
      <c r="B1673" s="1">
        <f>DATE(2013,11,1) + TIME(8,15,44)</f>
        <v>41579.344259259262</v>
      </c>
      <c r="C1673">
        <v>80</v>
      </c>
      <c r="D1673">
        <v>79.892364502000007</v>
      </c>
      <c r="E1673">
        <v>50</v>
      </c>
      <c r="F1673">
        <v>45.781848906999997</v>
      </c>
      <c r="G1673">
        <v>1303.1689452999999</v>
      </c>
      <c r="H1673">
        <v>1290.7985839999999</v>
      </c>
      <c r="I1673">
        <v>1400.3944091999999</v>
      </c>
      <c r="J1673">
        <v>1378.6892089999999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1280.418541</v>
      </c>
      <c r="B1674" s="1">
        <f>DATE(2013,11,1) + TIME(10,2,41)</f>
        <v>41579.418530092589</v>
      </c>
      <c r="C1674">
        <v>80</v>
      </c>
      <c r="D1674">
        <v>79.880325317</v>
      </c>
      <c r="E1674">
        <v>50</v>
      </c>
      <c r="F1674">
        <v>46.139820098999998</v>
      </c>
      <c r="G1674">
        <v>1303.1660156</v>
      </c>
      <c r="H1674">
        <v>1290.7950439000001</v>
      </c>
      <c r="I1674">
        <v>1400.1452637</v>
      </c>
      <c r="J1674">
        <v>1378.5742187999999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1280.4978630000001</v>
      </c>
      <c r="B1675" s="1">
        <f>DATE(2013,11,1) + TIME(11,56,55)</f>
        <v>41579.497858796298</v>
      </c>
      <c r="C1675">
        <v>80</v>
      </c>
      <c r="D1675">
        <v>79.867767334000007</v>
      </c>
      <c r="E1675">
        <v>50</v>
      </c>
      <c r="F1675">
        <v>46.487468718999999</v>
      </c>
      <c r="G1675">
        <v>1303.1628418</v>
      </c>
      <c r="H1675">
        <v>1290.7913818</v>
      </c>
      <c r="I1675">
        <v>1399.9030762</v>
      </c>
      <c r="J1675">
        <v>1378.4613036999999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1280.583026</v>
      </c>
      <c r="B1676" s="1">
        <f>DATE(2013,11,1) + TIME(13,59,33)</f>
        <v>41579.583020833335</v>
      </c>
      <c r="C1676">
        <v>80</v>
      </c>
      <c r="D1676">
        <v>79.854591369999994</v>
      </c>
      <c r="E1676">
        <v>50</v>
      </c>
      <c r="F1676">
        <v>46.824607849000003</v>
      </c>
      <c r="G1676">
        <v>1303.1594238</v>
      </c>
      <c r="H1676">
        <v>1290.7873535000001</v>
      </c>
      <c r="I1676">
        <v>1399.6673584</v>
      </c>
      <c r="J1676">
        <v>1378.3502197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1280.6750139999999</v>
      </c>
      <c r="B1677" s="1">
        <f>DATE(2013,11,1) + TIME(16,12,1)</f>
        <v>41579.675011574072</v>
      </c>
      <c r="C1677">
        <v>80</v>
      </c>
      <c r="D1677">
        <v>79.840698242000002</v>
      </c>
      <c r="E1677">
        <v>50</v>
      </c>
      <c r="F1677">
        <v>47.150989531999997</v>
      </c>
      <c r="G1677">
        <v>1303.1557617000001</v>
      </c>
      <c r="H1677">
        <v>1290.7832031</v>
      </c>
      <c r="I1677">
        <v>1399.4378661999999</v>
      </c>
      <c r="J1677">
        <v>1378.2407227000001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1280.7750659999999</v>
      </c>
      <c r="B1678" s="1">
        <f>DATE(2013,11,1) + TIME(18,36,5)</f>
        <v>41579.775057870371</v>
      </c>
      <c r="C1678">
        <v>80</v>
      </c>
      <c r="D1678">
        <v>79.825958252000007</v>
      </c>
      <c r="E1678">
        <v>50</v>
      </c>
      <c r="F1678">
        <v>47.466262817</v>
      </c>
      <c r="G1678">
        <v>1303.1518555</v>
      </c>
      <c r="H1678">
        <v>1290.7785644999999</v>
      </c>
      <c r="I1678">
        <v>1399.2143555</v>
      </c>
      <c r="J1678">
        <v>1378.1324463000001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1280.8847599999999</v>
      </c>
      <c r="B1679" s="1">
        <f>DATE(2013,11,1) + TIME(21,14,3)</f>
        <v>41579.884756944448</v>
      </c>
      <c r="C1679">
        <v>80</v>
      </c>
      <c r="D1679">
        <v>79.810203552000004</v>
      </c>
      <c r="E1679">
        <v>50</v>
      </c>
      <c r="F1679">
        <v>47.769962311</v>
      </c>
      <c r="G1679">
        <v>1303.1475829999999</v>
      </c>
      <c r="H1679">
        <v>1290.7736815999999</v>
      </c>
      <c r="I1679">
        <v>1398.9962158000001</v>
      </c>
      <c r="J1679">
        <v>1378.0251464999999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1281.006214</v>
      </c>
      <c r="B1680" s="1">
        <f>DATE(2013,11,2) + TIME(0,8,56)</f>
        <v>41580.006203703706</v>
      </c>
      <c r="C1680">
        <v>80</v>
      </c>
      <c r="D1680">
        <v>79.793235779</v>
      </c>
      <c r="E1680">
        <v>50</v>
      </c>
      <c r="F1680">
        <v>48.061584473000003</v>
      </c>
      <c r="G1680">
        <v>1303.1429443</v>
      </c>
      <c r="H1680">
        <v>1290.7681885</v>
      </c>
      <c r="I1680">
        <v>1398.7833252</v>
      </c>
      <c r="J1680">
        <v>1377.9187012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1281.142255</v>
      </c>
      <c r="B1681" s="1">
        <f>DATE(2013,11,2) + TIME(3,24,50)</f>
        <v>41580.142245370371</v>
      </c>
      <c r="C1681">
        <v>80</v>
      </c>
      <c r="D1681">
        <v>79.774765015</v>
      </c>
      <c r="E1681">
        <v>50</v>
      </c>
      <c r="F1681">
        <v>48.340415954999997</v>
      </c>
      <c r="G1681">
        <v>1303.1378173999999</v>
      </c>
      <c r="H1681">
        <v>1290.7623291</v>
      </c>
      <c r="I1681">
        <v>1398.5751952999999</v>
      </c>
      <c r="J1681">
        <v>1377.8123779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1281.2968069999999</v>
      </c>
      <c r="B1682" s="1">
        <f>DATE(2013,11,2) + TIME(7,7,24)</f>
        <v>41580.296805555554</v>
      </c>
      <c r="C1682">
        <v>80</v>
      </c>
      <c r="D1682">
        <v>79.754417419000006</v>
      </c>
      <c r="E1682">
        <v>50</v>
      </c>
      <c r="F1682">
        <v>48.605541229000004</v>
      </c>
      <c r="G1682">
        <v>1303.1320800999999</v>
      </c>
      <c r="H1682">
        <v>1290.7556152</v>
      </c>
      <c r="I1682">
        <v>1398.3714600000001</v>
      </c>
      <c r="J1682">
        <v>1377.7059326000001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1281.475518</v>
      </c>
      <c r="B1683" s="1">
        <f>DATE(2013,11,2) + TIME(11,24,44)</f>
        <v>41580.47550925926</v>
      </c>
      <c r="C1683">
        <v>80</v>
      </c>
      <c r="D1683">
        <v>79.731666564999998</v>
      </c>
      <c r="E1683">
        <v>50</v>
      </c>
      <c r="F1683">
        <v>48.855751038000001</v>
      </c>
      <c r="G1683">
        <v>1303.1257324000001</v>
      </c>
      <c r="H1683">
        <v>1290.7481689000001</v>
      </c>
      <c r="I1683">
        <v>1398.1717529</v>
      </c>
      <c r="J1683">
        <v>1377.5987548999999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1281.686876</v>
      </c>
      <c r="B1684" s="1">
        <f>DATE(2013,11,2) + TIME(16,29,6)</f>
        <v>41580.686874999999</v>
      </c>
      <c r="C1684">
        <v>80</v>
      </c>
      <c r="D1684">
        <v>79.705772400000001</v>
      </c>
      <c r="E1684">
        <v>50</v>
      </c>
      <c r="F1684">
        <v>49.089439392000003</v>
      </c>
      <c r="G1684">
        <v>1303.1182861</v>
      </c>
      <c r="H1684">
        <v>1290.739624</v>
      </c>
      <c r="I1684">
        <v>1397.9753418</v>
      </c>
      <c r="J1684">
        <v>1377.4899902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1281.9121700000001</v>
      </c>
      <c r="B1685" s="1">
        <f>DATE(2013,11,2) + TIME(21,53,31)</f>
        <v>41580.912164351852</v>
      </c>
      <c r="C1685">
        <v>80</v>
      </c>
      <c r="D1685">
        <v>79.678550720000004</v>
      </c>
      <c r="E1685">
        <v>50</v>
      </c>
      <c r="F1685">
        <v>49.283496857000003</v>
      </c>
      <c r="G1685">
        <v>1303.1094971</v>
      </c>
      <c r="H1685">
        <v>1290.7297363</v>
      </c>
      <c r="I1685">
        <v>1397.7982178</v>
      </c>
      <c r="J1685">
        <v>1377.3865966999999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1282.140842</v>
      </c>
      <c r="B1686" s="1">
        <f>DATE(2013,11,3) + TIME(3,22,48)</f>
        <v>41581.140833333331</v>
      </c>
      <c r="C1686">
        <v>80</v>
      </c>
      <c r="D1686">
        <v>79.651000976999995</v>
      </c>
      <c r="E1686">
        <v>50</v>
      </c>
      <c r="F1686">
        <v>49.436462401999997</v>
      </c>
      <c r="G1686">
        <v>1303.1000977000001</v>
      </c>
      <c r="H1686">
        <v>1290.7192382999999</v>
      </c>
      <c r="I1686">
        <v>1397.6445312000001</v>
      </c>
      <c r="J1686">
        <v>1377.2928466999999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1282.3768990000001</v>
      </c>
      <c r="B1687" s="1">
        <f>DATE(2013,11,3) + TIME(9,2,44)</f>
        <v>41581.376898148148</v>
      </c>
      <c r="C1687">
        <v>80</v>
      </c>
      <c r="D1687">
        <v>79.622779846</v>
      </c>
      <c r="E1687">
        <v>50</v>
      </c>
      <c r="F1687">
        <v>49.558246613000001</v>
      </c>
      <c r="G1687">
        <v>1303.0906981999999</v>
      </c>
      <c r="H1687">
        <v>1290.7086182</v>
      </c>
      <c r="I1687">
        <v>1397.5098877</v>
      </c>
      <c r="J1687">
        <v>1377.2077637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1282.6230129999999</v>
      </c>
      <c r="B1688" s="1">
        <f>DATE(2013,11,3) + TIME(14,57,8)</f>
        <v>41581.62300925926</v>
      </c>
      <c r="C1688">
        <v>80</v>
      </c>
      <c r="D1688">
        <v>79.593658446999996</v>
      </c>
      <c r="E1688">
        <v>50</v>
      </c>
      <c r="F1688">
        <v>49.655261993000003</v>
      </c>
      <c r="G1688">
        <v>1303.0810547000001</v>
      </c>
      <c r="H1688">
        <v>1290.6977539</v>
      </c>
      <c r="I1688">
        <v>1397.3901367000001</v>
      </c>
      <c r="J1688">
        <v>1377.1293945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1282.8822110000001</v>
      </c>
      <c r="B1689" s="1">
        <f>DATE(2013,11,3) + TIME(21,10,23)</f>
        <v>41581.882210648146</v>
      </c>
      <c r="C1689">
        <v>80</v>
      </c>
      <c r="D1689">
        <v>79.563369750999996</v>
      </c>
      <c r="E1689">
        <v>50</v>
      </c>
      <c r="F1689">
        <v>49.732391356999997</v>
      </c>
      <c r="G1689">
        <v>1303.0710449000001</v>
      </c>
      <c r="H1689">
        <v>1290.6865233999999</v>
      </c>
      <c r="I1689">
        <v>1397.2821045000001</v>
      </c>
      <c r="J1689">
        <v>1377.0561522999999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1283.157929</v>
      </c>
      <c r="B1690" s="1">
        <f>DATE(2013,11,4) + TIME(3,47,25)</f>
        <v>41582.15792824074</v>
      </c>
      <c r="C1690">
        <v>80</v>
      </c>
      <c r="D1690">
        <v>79.531616210999999</v>
      </c>
      <c r="E1690">
        <v>50</v>
      </c>
      <c r="F1690">
        <v>49.793415070000002</v>
      </c>
      <c r="G1690">
        <v>1303.0605469</v>
      </c>
      <c r="H1690">
        <v>1290.6745605000001</v>
      </c>
      <c r="I1690">
        <v>1397.1832274999999</v>
      </c>
      <c r="J1690">
        <v>1376.9868164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1283.4543160000001</v>
      </c>
      <c r="B1691" s="1">
        <f>DATE(2013,11,4) + TIME(10,54,12)</f>
        <v>41582.454305555555</v>
      </c>
      <c r="C1691">
        <v>80</v>
      </c>
      <c r="D1691">
        <v>79.498031616000006</v>
      </c>
      <c r="E1691">
        <v>50</v>
      </c>
      <c r="F1691">
        <v>49.841320037999999</v>
      </c>
      <c r="G1691">
        <v>1303.0494385</v>
      </c>
      <c r="H1691">
        <v>1290.6621094</v>
      </c>
      <c r="I1691">
        <v>1397.0914307</v>
      </c>
      <c r="J1691">
        <v>1376.9202881000001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1283.7747460000001</v>
      </c>
      <c r="B1692" s="1">
        <f>DATE(2013,11,4) + TIME(18,35,38)</f>
        <v>41582.774745370371</v>
      </c>
      <c r="C1692">
        <v>80</v>
      </c>
      <c r="D1692">
        <v>79.462326050000001</v>
      </c>
      <c r="E1692">
        <v>50</v>
      </c>
      <c r="F1692">
        <v>49.878368377999998</v>
      </c>
      <c r="G1692">
        <v>1303.0375977000001</v>
      </c>
      <c r="H1692">
        <v>1290.6485596</v>
      </c>
      <c r="I1692">
        <v>1397.0048827999999</v>
      </c>
      <c r="J1692">
        <v>1376.8557129000001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1284.119731</v>
      </c>
      <c r="B1693" s="1">
        <f>DATE(2013,11,5) + TIME(2,52,24)</f>
        <v>41583.119722222225</v>
      </c>
      <c r="C1693">
        <v>80</v>
      </c>
      <c r="D1693">
        <v>79.424415588000002</v>
      </c>
      <c r="E1693">
        <v>50</v>
      </c>
      <c r="F1693">
        <v>49.906337737999998</v>
      </c>
      <c r="G1693">
        <v>1303.0247803</v>
      </c>
      <c r="H1693">
        <v>1290.6341553</v>
      </c>
      <c r="I1693">
        <v>1396.9227295000001</v>
      </c>
      <c r="J1693">
        <v>1376.7924805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1284.4955359999999</v>
      </c>
      <c r="B1694" s="1">
        <f>DATE(2013,11,5) + TIME(11,53,34)</f>
        <v>41583.495532407411</v>
      </c>
      <c r="C1694">
        <v>80</v>
      </c>
      <c r="D1694">
        <v>79.383819579999994</v>
      </c>
      <c r="E1694">
        <v>50</v>
      </c>
      <c r="F1694">
        <v>49.927181244000003</v>
      </c>
      <c r="G1694">
        <v>1303.0111084</v>
      </c>
      <c r="H1694">
        <v>1290.6186522999999</v>
      </c>
      <c r="I1694">
        <v>1396.8438721</v>
      </c>
      <c r="J1694">
        <v>1376.7305908000001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1284.9096569999999</v>
      </c>
      <c r="B1695" s="1">
        <f>DATE(2013,11,5) + TIME(21,49,54)</f>
        <v>41583.90965277778</v>
      </c>
      <c r="C1695">
        <v>80</v>
      </c>
      <c r="D1695">
        <v>79.339935303000004</v>
      </c>
      <c r="E1695">
        <v>50</v>
      </c>
      <c r="F1695">
        <v>49.942447661999999</v>
      </c>
      <c r="G1695">
        <v>1302.9962158000001</v>
      </c>
      <c r="H1695">
        <v>1290.6018065999999</v>
      </c>
      <c r="I1695">
        <v>1396.7670897999999</v>
      </c>
      <c r="J1695">
        <v>1376.6690673999999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1285.3722399999999</v>
      </c>
      <c r="B1696" s="1">
        <f>DATE(2013,11,6) + TIME(8,56,1)</f>
        <v>41584.372233796297</v>
      </c>
      <c r="C1696">
        <v>80</v>
      </c>
      <c r="D1696">
        <v>79.291984557999996</v>
      </c>
      <c r="E1696">
        <v>50</v>
      </c>
      <c r="F1696">
        <v>49.953395843999999</v>
      </c>
      <c r="G1696">
        <v>1302.9798584</v>
      </c>
      <c r="H1696">
        <v>1290.5832519999999</v>
      </c>
      <c r="I1696">
        <v>1396.6907959</v>
      </c>
      <c r="J1696">
        <v>1376.6071777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1285.8556080000001</v>
      </c>
      <c r="B1697" s="1">
        <f>DATE(2013,11,6) + TIME(20,32,4)</f>
        <v>41584.85560185185</v>
      </c>
      <c r="C1697">
        <v>80</v>
      </c>
      <c r="D1697">
        <v>79.241592406999999</v>
      </c>
      <c r="E1697">
        <v>50</v>
      </c>
      <c r="F1697">
        <v>49.960662841999998</v>
      </c>
      <c r="G1697">
        <v>1302.9615478999999</v>
      </c>
      <c r="H1697">
        <v>1290.5627440999999</v>
      </c>
      <c r="I1697">
        <v>1396.6141356999999</v>
      </c>
      <c r="J1697">
        <v>1376.5439452999999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1286.346049</v>
      </c>
      <c r="B1698" s="1">
        <f>DATE(2013,11,7) + TIME(8,18,18)</f>
        <v>41585.346041666664</v>
      </c>
      <c r="C1698">
        <v>80</v>
      </c>
      <c r="D1698">
        <v>79.189918517999999</v>
      </c>
      <c r="E1698">
        <v>50</v>
      </c>
      <c r="F1698">
        <v>49.965351105000003</v>
      </c>
      <c r="G1698">
        <v>1302.9423827999999</v>
      </c>
      <c r="H1698">
        <v>1290.5412598</v>
      </c>
      <c r="I1698">
        <v>1396.5410156</v>
      </c>
      <c r="J1698">
        <v>1376.4835204999999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1286.847822</v>
      </c>
      <c r="B1699" s="1">
        <f>DATE(2013,11,7) + TIME(20,20,51)</f>
        <v>41585.847812499997</v>
      </c>
      <c r="C1699">
        <v>80</v>
      </c>
      <c r="D1699">
        <v>79.137069702000005</v>
      </c>
      <c r="E1699">
        <v>50</v>
      </c>
      <c r="F1699">
        <v>49.968399048000002</v>
      </c>
      <c r="G1699">
        <v>1302.9230957</v>
      </c>
      <c r="H1699">
        <v>1290.5195312000001</v>
      </c>
      <c r="I1699">
        <v>1396.4729004000001</v>
      </c>
      <c r="J1699">
        <v>1376.4268798999999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1287.367088</v>
      </c>
      <c r="B1700" s="1">
        <f>DATE(2013,11,8) + TIME(8,48,36)</f>
        <v>41586.367083333331</v>
      </c>
      <c r="C1700">
        <v>80</v>
      </c>
      <c r="D1700">
        <v>79.082832335999996</v>
      </c>
      <c r="E1700">
        <v>50</v>
      </c>
      <c r="F1700">
        <v>49.970397949000002</v>
      </c>
      <c r="G1700">
        <v>1302.9033202999999</v>
      </c>
      <c r="H1700">
        <v>1290.4971923999999</v>
      </c>
      <c r="I1700">
        <v>1396.4084473</v>
      </c>
      <c r="J1700">
        <v>1376.3731689000001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1287.9101029999999</v>
      </c>
      <c r="B1701" s="1">
        <f>DATE(2013,11,8) + TIME(21,50,32)</f>
        <v>41586.910092592596</v>
      </c>
      <c r="C1701">
        <v>80</v>
      </c>
      <c r="D1701">
        <v>79.026863098000007</v>
      </c>
      <c r="E1701">
        <v>50</v>
      </c>
      <c r="F1701">
        <v>49.971717834000003</v>
      </c>
      <c r="G1701">
        <v>1302.8829346</v>
      </c>
      <c r="H1701">
        <v>1290.4742432</v>
      </c>
      <c r="I1701">
        <v>1396.3463135</v>
      </c>
      <c r="J1701">
        <v>1376.3215332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1288.483778</v>
      </c>
      <c r="B1702" s="1">
        <f>DATE(2013,11,9) + TIME(11,36,38)</f>
        <v>41587.483773148146</v>
      </c>
      <c r="C1702">
        <v>80</v>
      </c>
      <c r="D1702">
        <v>78.968696593999994</v>
      </c>
      <c r="E1702">
        <v>50</v>
      </c>
      <c r="F1702">
        <v>49.972599029999998</v>
      </c>
      <c r="G1702">
        <v>1302.8616943</v>
      </c>
      <c r="H1702">
        <v>1290.4500731999999</v>
      </c>
      <c r="I1702">
        <v>1396.2856445</v>
      </c>
      <c r="J1702">
        <v>1376.2711182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1289.096301</v>
      </c>
      <c r="B1703" s="1">
        <f>DATE(2013,11,10) + TIME(2,18,40)</f>
        <v>41588.096296296295</v>
      </c>
      <c r="C1703">
        <v>80</v>
      </c>
      <c r="D1703">
        <v>78.907737732000001</v>
      </c>
      <c r="E1703">
        <v>50</v>
      </c>
      <c r="F1703">
        <v>49.973190308</v>
      </c>
      <c r="G1703">
        <v>1302.8392334</v>
      </c>
      <c r="H1703">
        <v>1290.4246826000001</v>
      </c>
      <c r="I1703">
        <v>1396.2257079999999</v>
      </c>
      <c r="J1703">
        <v>1376.2214355000001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1289.7579989999999</v>
      </c>
      <c r="B1704" s="1">
        <f>DATE(2013,11,10) + TIME(18,11,31)</f>
        <v>41588.757997685185</v>
      </c>
      <c r="C1704">
        <v>80</v>
      </c>
      <c r="D1704">
        <v>78.843254088999998</v>
      </c>
      <c r="E1704">
        <v>50</v>
      </c>
      <c r="F1704">
        <v>49.973587035999998</v>
      </c>
      <c r="G1704">
        <v>1302.8153076000001</v>
      </c>
      <c r="H1704">
        <v>1290.3974608999999</v>
      </c>
      <c r="I1704">
        <v>1396.1658935999999</v>
      </c>
      <c r="J1704">
        <v>1376.171875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1290.4752450000001</v>
      </c>
      <c r="B1705" s="1">
        <f>DATE(2013,11,11) + TIME(11,24,21)</f>
        <v>41589.475243055553</v>
      </c>
      <c r="C1705">
        <v>80</v>
      </c>
      <c r="D1705">
        <v>78.774642943999993</v>
      </c>
      <c r="E1705">
        <v>50</v>
      </c>
      <c r="F1705">
        <v>49.973857879999997</v>
      </c>
      <c r="G1705">
        <v>1302.7894286999999</v>
      </c>
      <c r="H1705">
        <v>1290.3680420000001</v>
      </c>
      <c r="I1705">
        <v>1396.1052245999999</v>
      </c>
      <c r="J1705">
        <v>1376.1217041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1291.2235949999999</v>
      </c>
      <c r="B1706" s="1">
        <f>DATE(2013,11,12) + TIME(5,21,58)</f>
        <v>41590.223587962966</v>
      </c>
      <c r="C1706">
        <v>80</v>
      </c>
      <c r="D1706">
        <v>78.702903747999997</v>
      </c>
      <c r="E1706">
        <v>50</v>
      </c>
      <c r="F1706">
        <v>49.974040985000002</v>
      </c>
      <c r="G1706">
        <v>1302.7612305</v>
      </c>
      <c r="H1706">
        <v>1290.3361815999999</v>
      </c>
      <c r="I1706">
        <v>1396.0435791</v>
      </c>
      <c r="J1706">
        <v>1376.0709228999999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1291.9954210000001</v>
      </c>
      <c r="B1707" s="1">
        <f>DATE(2013,11,12) + TIME(23,53,24)</f>
        <v>41590.995416666665</v>
      </c>
      <c r="C1707">
        <v>80</v>
      </c>
      <c r="D1707">
        <v>78.628807068</v>
      </c>
      <c r="E1707">
        <v>50</v>
      </c>
      <c r="F1707">
        <v>49.974159241000002</v>
      </c>
      <c r="G1707">
        <v>1302.7318115</v>
      </c>
      <c r="H1707">
        <v>1290.3028564000001</v>
      </c>
      <c r="I1707">
        <v>1395.9833983999999</v>
      </c>
      <c r="J1707">
        <v>1376.0213623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1292.795392</v>
      </c>
      <c r="B1708" s="1">
        <f>DATE(2013,11,13) + TIME(19,5,21)</f>
        <v>41591.795381944445</v>
      </c>
      <c r="C1708">
        <v>80</v>
      </c>
      <c r="D1708">
        <v>78.552566528</v>
      </c>
      <c r="E1708">
        <v>50</v>
      </c>
      <c r="F1708">
        <v>49.974243164000001</v>
      </c>
      <c r="G1708">
        <v>1302.7014160000001</v>
      </c>
      <c r="H1708">
        <v>1290.2683105000001</v>
      </c>
      <c r="I1708">
        <v>1395.9251709</v>
      </c>
      <c r="J1708">
        <v>1375.9736327999999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1293.6132030000001</v>
      </c>
      <c r="B1709" s="1">
        <f>DATE(2013,11,14) + TIME(14,43,0)</f>
        <v>41592.613194444442</v>
      </c>
      <c r="C1709">
        <v>80</v>
      </c>
      <c r="D1709">
        <v>78.474822997999993</v>
      </c>
      <c r="E1709">
        <v>50</v>
      </c>
      <c r="F1709">
        <v>49.974300384999999</v>
      </c>
      <c r="G1709">
        <v>1302.6696777</v>
      </c>
      <c r="H1709">
        <v>1290.2322998</v>
      </c>
      <c r="I1709">
        <v>1395.8682861</v>
      </c>
      <c r="J1709">
        <v>1375.927124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1294.4587839999999</v>
      </c>
      <c r="B1710" s="1">
        <f>DATE(2013,11,15) + TIME(11,0,38)</f>
        <v>41593.458773148152</v>
      </c>
      <c r="C1710">
        <v>80</v>
      </c>
      <c r="D1710">
        <v>78.395454407000003</v>
      </c>
      <c r="E1710">
        <v>50</v>
      </c>
      <c r="F1710">
        <v>49.974342346</v>
      </c>
      <c r="G1710">
        <v>1302.6373291</v>
      </c>
      <c r="H1710">
        <v>1290.1953125</v>
      </c>
      <c r="I1710">
        <v>1395.8135986</v>
      </c>
      <c r="J1710">
        <v>1375.8824463000001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1295.342429</v>
      </c>
      <c r="B1711" s="1">
        <f>DATE(2013,11,16) + TIME(8,13,5)</f>
        <v>41594.342418981483</v>
      </c>
      <c r="C1711">
        <v>80</v>
      </c>
      <c r="D1711">
        <v>78.313964843999997</v>
      </c>
      <c r="E1711">
        <v>50</v>
      </c>
      <c r="F1711">
        <v>49.974372864000003</v>
      </c>
      <c r="G1711">
        <v>1302.6036377</v>
      </c>
      <c r="H1711">
        <v>1290.1567382999999</v>
      </c>
      <c r="I1711">
        <v>1395.7602539</v>
      </c>
      <c r="J1711">
        <v>1375.8388672000001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1296.2757099999999</v>
      </c>
      <c r="B1712" s="1">
        <f>DATE(2013,11,17) + TIME(6,37,1)</f>
        <v>41595.275706018518</v>
      </c>
      <c r="C1712">
        <v>80</v>
      </c>
      <c r="D1712">
        <v>78.229637146000002</v>
      </c>
      <c r="E1712">
        <v>50</v>
      </c>
      <c r="F1712">
        <v>49.974399566999999</v>
      </c>
      <c r="G1712">
        <v>1302.5683594</v>
      </c>
      <c r="H1712">
        <v>1290.1163329999999</v>
      </c>
      <c r="I1712">
        <v>1395.7073975000001</v>
      </c>
      <c r="J1712">
        <v>1375.7958983999999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1297.2727400000001</v>
      </c>
      <c r="B1713" s="1">
        <f>DATE(2013,11,18) + TIME(6,32,44)</f>
        <v>41596.272731481484</v>
      </c>
      <c r="C1713">
        <v>80</v>
      </c>
      <c r="D1713">
        <v>78.141555785999998</v>
      </c>
      <c r="E1713">
        <v>50</v>
      </c>
      <c r="F1713">
        <v>49.974418640000003</v>
      </c>
      <c r="G1713">
        <v>1302.5308838000001</v>
      </c>
      <c r="H1713">
        <v>1290.0732422000001</v>
      </c>
      <c r="I1713">
        <v>1395.6545410000001</v>
      </c>
      <c r="J1713">
        <v>1375.7530518000001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1298.3351259999999</v>
      </c>
      <c r="B1714" s="1">
        <f>DATE(2013,11,19) + TIME(8,2,34)</f>
        <v>41597.335115740738</v>
      </c>
      <c r="C1714">
        <v>80</v>
      </c>
      <c r="D1714">
        <v>78.049194335999999</v>
      </c>
      <c r="E1714">
        <v>50</v>
      </c>
      <c r="F1714">
        <v>49.974437713999997</v>
      </c>
      <c r="G1714">
        <v>1302.4906006000001</v>
      </c>
      <c r="H1714">
        <v>1290.0269774999999</v>
      </c>
      <c r="I1714">
        <v>1395.6010742000001</v>
      </c>
      <c r="J1714">
        <v>1375.7097168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1299.448011</v>
      </c>
      <c r="B1715" s="1">
        <f>DATE(2013,11,20) + TIME(10,45,8)</f>
        <v>41598.448009259257</v>
      </c>
      <c r="C1715">
        <v>80</v>
      </c>
      <c r="D1715">
        <v>77.952911377000007</v>
      </c>
      <c r="E1715">
        <v>50</v>
      </c>
      <c r="F1715">
        <v>49.974452972000002</v>
      </c>
      <c r="G1715">
        <v>1302.4472656</v>
      </c>
      <c r="H1715">
        <v>1289.9771728999999</v>
      </c>
      <c r="I1715">
        <v>1395.5472411999999</v>
      </c>
      <c r="J1715">
        <v>1375.6660156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1300.5765349999999</v>
      </c>
      <c r="B1716" s="1">
        <f>DATE(2013,11,21) + TIME(13,50,12)</f>
        <v>41599.576527777775</v>
      </c>
      <c r="C1716">
        <v>80</v>
      </c>
      <c r="D1716">
        <v>77.854400635000005</v>
      </c>
      <c r="E1716">
        <v>50</v>
      </c>
      <c r="F1716">
        <v>49.974468231000003</v>
      </c>
      <c r="G1716">
        <v>1302.4014893000001</v>
      </c>
      <c r="H1716">
        <v>1289.9244385</v>
      </c>
      <c r="I1716">
        <v>1395.4936522999999</v>
      </c>
      <c r="J1716">
        <v>1375.6228027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1301.7273540000001</v>
      </c>
      <c r="B1717" s="1">
        <f>DATE(2013,11,22) + TIME(17,27,23)</f>
        <v>41600.727349537039</v>
      </c>
      <c r="C1717">
        <v>80</v>
      </c>
      <c r="D1717">
        <v>77.754631042</v>
      </c>
      <c r="E1717">
        <v>50</v>
      </c>
      <c r="F1717">
        <v>49.974479674999998</v>
      </c>
      <c r="G1717">
        <v>1302.3546143000001</v>
      </c>
      <c r="H1717">
        <v>1289.8702393000001</v>
      </c>
      <c r="I1717">
        <v>1395.4422606999999</v>
      </c>
      <c r="J1717">
        <v>1375.5811768000001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1302.9143819999999</v>
      </c>
      <c r="B1718" s="1">
        <f>DATE(2013,11,23) + TIME(21,56,42)</f>
        <v>41601.914375</v>
      </c>
      <c r="C1718">
        <v>80</v>
      </c>
      <c r="D1718">
        <v>77.653480529999996</v>
      </c>
      <c r="E1718">
        <v>50</v>
      </c>
      <c r="F1718">
        <v>49.974494933999999</v>
      </c>
      <c r="G1718">
        <v>1302.3063964999999</v>
      </c>
      <c r="H1718">
        <v>1289.8140868999999</v>
      </c>
      <c r="I1718">
        <v>1395.3924560999999</v>
      </c>
      <c r="J1718">
        <v>1375.5410156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1304.1523050000001</v>
      </c>
      <c r="B1719" s="1">
        <f>DATE(2013,11,25) + TIME(3,39,19)</f>
        <v>41603.152303240742</v>
      </c>
      <c r="C1719">
        <v>80</v>
      </c>
      <c r="D1719">
        <v>77.550239563000005</v>
      </c>
      <c r="E1719">
        <v>50</v>
      </c>
      <c r="F1719">
        <v>49.974510193</v>
      </c>
      <c r="G1719">
        <v>1302.2561035000001</v>
      </c>
      <c r="H1719">
        <v>1289.7554932</v>
      </c>
      <c r="I1719">
        <v>1395.3435059000001</v>
      </c>
      <c r="J1719">
        <v>1375.5015868999999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1305.4576730000001</v>
      </c>
      <c r="B1720" s="1">
        <f>DATE(2013,11,26) + TIME(10,59,2)</f>
        <v>41604.457662037035</v>
      </c>
      <c r="C1720">
        <v>80</v>
      </c>
      <c r="D1720">
        <v>77.443908691000004</v>
      </c>
      <c r="E1720">
        <v>50</v>
      </c>
      <c r="F1720">
        <v>49.974525452000002</v>
      </c>
      <c r="G1720">
        <v>1302.203125</v>
      </c>
      <c r="H1720">
        <v>1289.6933594</v>
      </c>
      <c r="I1720">
        <v>1395.2949219</v>
      </c>
      <c r="J1720">
        <v>1375.4625243999999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1306.844284</v>
      </c>
      <c r="B1721" s="1">
        <f>DATE(2013,11,27) + TIME(20,15,46)</f>
        <v>41605.844282407408</v>
      </c>
      <c r="C1721">
        <v>80</v>
      </c>
      <c r="D1721">
        <v>77.333465575999995</v>
      </c>
      <c r="E1721">
        <v>50</v>
      </c>
      <c r="F1721">
        <v>49.974540709999999</v>
      </c>
      <c r="G1721">
        <v>1302.1466064000001</v>
      </c>
      <c r="H1721">
        <v>1289.6268310999999</v>
      </c>
      <c r="I1721">
        <v>1395.2460937999999</v>
      </c>
      <c r="J1721">
        <v>1375.4232178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1308.290068</v>
      </c>
      <c r="B1722" s="1">
        <f>DATE(2013,11,29) + TIME(6,57,41)</f>
        <v>41607.29005787037</v>
      </c>
      <c r="C1722">
        <v>80</v>
      </c>
      <c r="D1722">
        <v>77.218994140999996</v>
      </c>
      <c r="E1722">
        <v>50</v>
      </c>
      <c r="F1722">
        <v>49.974559784</v>
      </c>
      <c r="G1722">
        <v>1302.0855713000001</v>
      </c>
      <c r="H1722">
        <v>1289.5550536999999</v>
      </c>
      <c r="I1722">
        <v>1395.1966553</v>
      </c>
      <c r="J1722">
        <v>1375.3834228999999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1309.798358</v>
      </c>
      <c r="B1723" s="1">
        <f>DATE(2013,11,30) + TIME(19,9,38)</f>
        <v>41608.798356481479</v>
      </c>
      <c r="C1723">
        <v>80</v>
      </c>
      <c r="D1723">
        <v>77.100959778000004</v>
      </c>
      <c r="E1723">
        <v>50</v>
      </c>
      <c r="F1723">
        <v>49.974578856999997</v>
      </c>
      <c r="G1723">
        <v>1302.0209961</v>
      </c>
      <c r="H1723">
        <v>1289.4785156</v>
      </c>
      <c r="I1723">
        <v>1395.1474608999999</v>
      </c>
      <c r="J1723">
        <v>1375.3439940999999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1310</v>
      </c>
      <c r="B1724" s="1">
        <f>DATE(2013,12,1) + TIME(0,0,0)</f>
        <v>41609</v>
      </c>
      <c r="C1724">
        <v>80</v>
      </c>
      <c r="D1724">
        <v>77.065101623999993</v>
      </c>
      <c r="E1724">
        <v>50</v>
      </c>
      <c r="F1724">
        <v>49.974575043000002</v>
      </c>
      <c r="G1724">
        <v>1301.9500731999999</v>
      </c>
      <c r="H1724">
        <v>1289.4041748</v>
      </c>
      <c r="I1724">
        <v>1395.0977783000001</v>
      </c>
      <c r="J1724">
        <v>1375.3038329999999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1311.52396</v>
      </c>
      <c r="B1725" s="1">
        <f>DATE(2013,12,2) + TIME(12,34,30)</f>
        <v>41610.523958333331</v>
      </c>
      <c r="C1725">
        <v>80</v>
      </c>
      <c r="D1725">
        <v>76.957794188999998</v>
      </c>
      <c r="E1725">
        <v>50</v>
      </c>
      <c r="F1725">
        <v>49.974597930999998</v>
      </c>
      <c r="G1725">
        <v>1301.9428711</v>
      </c>
      <c r="H1725">
        <v>1289.3845214999999</v>
      </c>
      <c r="I1725">
        <v>1395.0922852000001</v>
      </c>
      <c r="J1725">
        <v>1375.2995605000001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1313.0882710000001</v>
      </c>
      <c r="B1726" s="1">
        <f>DATE(2013,12,4) + TIME(2,7,6)</f>
        <v>41612.088263888887</v>
      </c>
      <c r="C1726">
        <v>80</v>
      </c>
      <c r="D1726">
        <v>76.841369628999999</v>
      </c>
      <c r="E1726">
        <v>50</v>
      </c>
      <c r="F1726">
        <v>49.974620819000002</v>
      </c>
      <c r="G1726">
        <v>1301.8724365</v>
      </c>
      <c r="H1726">
        <v>1289.3009033000001</v>
      </c>
      <c r="I1726">
        <v>1395.0452881000001</v>
      </c>
      <c r="J1726">
        <v>1375.2618408000001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1314.7070510000001</v>
      </c>
      <c r="B1727" s="1">
        <f>DATE(2013,12,5) + TIME(16,58,9)</f>
        <v>41613.707048611112</v>
      </c>
      <c r="C1727">
        <v>80</v>
      </c>
      <c r="D1727">
        <v>76.720390320000007</v>
      </c>
      <c r="E1727">
        <v>50</v>
      </c>
      <c r="F1727">
        <v>49.974639893000003</v>
      </c>
      <c r="G1727">
        <v>1301.7985839999999</v>
      </c>
      <c r="H1727">
        <v>1289.2124022999999</v>
      </c>
      <c r="I1727">
        <v>1394.9992675999999</v>
      </c>
      <c r="J1727">
        <v>1375.2247314000001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1316.4008329999999</v>
      </c>
      <c r="B1728" s="1">
        <f>DATE(2013,12,7) + TIME(9,37,12)</f>
        <v>41615.400833333333</v>
      </c>
      <c r="C1728">
        <v>80</v>
      </c>
      <c r="D1728">
        <v>76.595741271999998</v>
      </c>
      <c r="E1728">
        <v>50</v>
      </c>
      <c r="F1728">
        <v>49.974662780999999</v>
      </c>
      <c r="G1728">
        <v>1301.7208252</v>
      </c>
      <c r="H1728">
        <v>1289.1182861</v>
      </c>
      <c r="I1728">
        <v>1394.9536132999999</v>
      </c>
      <c r="J1728">
        <v>1375.1879882999999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1318.189087</v>
      </c>
      <c r="B1729" s="1">
        <f>DATE(2013,12,9) + TIME(4,32,17)</f>
        <v>41617.189085648148</v>
      </c>
      <c r="C1729">
        <v>80</v>
      </c>
      <c r="D1729">
        <v>76.466903686999999</v>
      </c>
      <c r="E1729">
        <v>50</v>
      </c>
      <c r="F1729">
        <v>49.974689484000002</v>
      </c>
      <c r="G1729">
        <v>1301.6376952999999</v>
      </c>
      <c r="H1729">
        <v>1289.0173339999999</v>
      </c>
      <c r="I1729">
        <v>1394.9077147999999</v>
      </c>
      <c r="J1729">
        <v>1375.1512451000001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1320.0111750000001</v>
      </c>
      <c r="B1730" s="1">
        <f>DATE(2013,12,11) + TIME(0,16,5)</f>
        <v>41619.01116898148</v>
      </c>
      <c r="C1730">
        <v>80</v>
      </c>
      <c r="D1730">
        <v>76.334678650000001</v>
      </c>
      <c r="E1730">
        <v>50</v>
      </c>
      <c r="F1730">
        <v>49.974712371999999</v>
      </c>
      <c r="G1730">
        <v>1301.5480957</v>
      </c>
      <c r="H1730">
        <v>1288.9080810999999</v>
      </c>
      <c r="I1730">
        <v>1394.8614502</v>
      </c>
      <c r="J1730">
        <v>1375.1138916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1321.8719900000001</v>
      </c>
      <c r="B1731" s="1">
        <f>DATE(2013,12,12) + TIME(20,55,39)</f>
        <v>41620.871979166666</v>
      </c>
      <c r="C1731">
        <v>80</v>
      </c>
      <c r="D1731">
        <v>76.200904846</v>
      </c>
      <c r="E1731">
        <v>50</v>
      </c>
      <c r="F1731">
        <v>49.974739075000002</v>
      </c>
      <c r="G1731">
        <v>1301.4545897999999</v>
      </c>
      <c r="H1731">
        <v>1288.7933350000001</v>
      </c>
      <c r="I1731">
        <v>1394.8161620999999</v>
      </c>
      <c r="J1731">
        <v>1375.0775146000001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1323.771853</v>
      </c>
      <c r="B1732" s="1">
        <f>DATE(2013,12,14) + TIME(18,31,28)</f>
        <v>41622.771851851852</v>
      </c>
      <c r="C1732">
        <v>80</v>
      </c>
      <c r="D1732">
        <v>76.066070557000003</v>
      </c>
      <c r="E1732">
        <v>50</v>
      </c>
      <c r="F1732">
        <v>49.974765777999998</v>
      </c>
      <c r="G1732">
        <v>1301.3569336</v>
      </c>
      <c r="H1732">
        <v>1288.6727295000001</v>
      </c>
      <c r="I1732">
        <v>1394.7717285000001</v>
      </c>
      <c r="J1732">
        <v>1375.0417480000001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1325.6985279999999</v>
      </c>
      <c r="B1733" s="1">
        <f>DATE(2013,12,16) + TIME(16,45,52)</f>
        <v>41624.698518518519</v>
      </c>
      <c r="C1733">
        <v>80</v>
      </c>
      <c r="D1733">
        <v>75.930587768999999</v>
      </c>
      <c r="E1733">
        <v>50</v>
      </c>
      <c r="F1733">
        <v>49.974792479999998</v>
      </c>
      <c r="G1733">
        <v>1301.2548827999999</v>
      </c>
      <c r="H1733">
        <v>1288.5460204999999</v>
      </c>
      <c r="I1733">
        <v>1394.7281493999999</v>
      </c>
      <c r="J1733">
        <v>1375.0065918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1327.6570509999999</v>
      </c>
      <c r="B1734" s="1">
        <f>DATE(2013,12,18) + TIME(15,46,9)</f>
        <v>41626.657048611109</v>
      </c>
      <c r="C1734">
        <v>80</v>
      </c>
      <c r="D1734">
        <v>75.794792174999998</v>
      </c>
      <c r="E1734">
        <v>50</v>
      </c>
      <c r="F1734">
        <v>49.974819183000001</v>
      </c>
      <c r="G1734">
        <v>1301.1488036999999</v>
      </c>
      <c r="H1734">
        <v>1288.4135742000001</v>
      </c>
      <c r="I1734">
        <v>1394.6856689000001</v>
      </c>
      <c r="J1734">
        <v>1374.9722899999999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1329.6526220000001</v>
      </c>
      <c r="B1735" s="1">
        <f>DATE(2013,12,20) + TIME(15,39,46)</f>
        <v>41628.652615740742</v>
      </c>
      <c r="C1735">
        <v>80</v>
      </c>
      <c r="D1735">
        <v>75.658546447999996</v>
      </c>
      <c r="E1735">
        <v>50</v>
      </c>
      <c r="F1735">
        <v>49.974849700999997</v>
      </c>
      <c r="G1735">
        <v>1301.0383300999999</v>
      </c>
      <c r="H1735">
        <v>1288.2749022999999</v>
      </c>
      <c r="I1735">
        <v>1394.644043</v>
      </c>
      <c r="J1735">
        <v>1374.9385986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1331.6905770000001</v>
      </c>
      <c r="B1736" s="1">
        <f>DATE(2013,12,22) + TIME(16,34,25)</f>
        <v>41630.690567129626</v>
      </c>
      <c r="C1736">
        <v>80</v>
      </c>
      <c r="D1736">
        <v>75.521530150999993</v>
      </c>
      <c r="E1736">
        <v>50</v>
      </c>
      <c r="F1736">
        <v>49.974880218999999</v>
      </c>
      <c r="G1736">
        <v>1300.9229736</v>
      </c>
      <c r="H1736">
        <v>1288.1293945</v>
      </c>
      <c r="I1736">
        <v>1394.6031493999999</v>
      </c>
      <c r="J1736">
        <v>1374.9055175999999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1333.7693389999999</v>
      </c>
      <c r="B1737" s="1">
        <f>DATE(2013,12,24) + TIME(18,27,50)</f>
        <v>41632.769328703704</v>
      </c>
      <c r="C1737">
        <v>80</v>
      </c>
      <c r="D1737">
        <v>75.383522033999995</v>
      </c>
      <c r="E1737">
        <v>50</v>
      </c>
      <c r="F1737">
        <v>49.974910735999998</v>
      </c>
      <c r="G1737">
        <v>1300.8023682</v>
      </c>
      <c r="H1737">
        <v>1287.9763184000001</v>
      </c>
      <c r="I1737">
        <v>1394.5628661999999</v>
      </c>
      <c r="J1737">
        <v>1374.8729248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1335.8703579999999</v>
      </c>
      <c r="B1738" s="1">
        <f>DATE(2013,12,26) + TIME(20,53,18)</f>
        <v>41634.870347222219</v>
      </c>
      <c r="C1738">
        <v>80</v>
      </c>
      <c r="D1738">
        <v>75.244842528999996</v>
      </c>
      <c r="E1738">
        <v>50</v>
      </c>
      <c r="F1738">
        <v>49.974941254000001</v>
      </c>
      <c r="G1738">
        <v>1300.6762695</v>
      </c>
      <c r="H1738">
        <v>1287.8155518000001</v>
      </c>
      <c r="I1738">
        <v>1394.5231934000001</v>
      </c>
      <c r="J1738">
        <v>1374.8406981999999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1338.0005920000001</v>
      </c>
      <c r="B1739" s="1">
        <f>DATE(2013,12,29) + TIME(0,0,51)</f>
        <v>41637.000590277778</v>
      </c>
      <c r="C1739">
        <v>80</v>
      </c>
      <c r="D1739">
        <v>75.105918884000005</v>
      </c>
      <c r="E1739">
        <v>50</v>
      </c>
      <c r="F1739">
        <v>49.974971771</v>
      </c>
      <c r="G1739">
        <v>1300.5455322</v>
      </c>
      <c r="H1739">
        <v>1287.6480713000001</v>
      </c>
      <c r="I1739">
        <v>1394.484375</v>
      </c>
      <c r="J1739">
        <v>1374.8092041</v>
      </c>
      <c r="K1739">
        <v>0</v>
      </c>
      <c r="L1739">
        <v>2400</v>
      </c>
      <c r="M1739">
        <v>2400</v>
      </c>
      <c r="N1739">
        <v>0</v>
      </c>
    </row>
    <row r="1740" spans="1:14" x14ac:dyDescent="0.25">
      <c r="A1740">
        <v>1340.164491</v>
      </c>
      <c r="B1740" s="1">
        <f>DATE(2013,12,31) + TIME(3,56,52)</f>
        <v>41639.164490740739</v>
      </c>
      <c r="C1740">
        <v>80</v>
      </c>
      <c r="D1740">
        <v>74.966590881000002</v>
      </c>
      <c r="E1740">
        <v>50</v>
      </c>
      <c r="F1740">
        <v>49.975002289000003</v>
      </c>
      <c r="G1740">
        <v>1300.409668</v>
      </c>
      <c r="H1740">
        <v>1287.4731445</v>
      </c>
      <c r="I1740">
        <v>1394.4462891000001</v>
      </c>
      <c r="J1740">
        <v>1374.7781981999999</v>
      </c>
      <c r="K1740">
        <v>0</v>
      </c>
      <c r="L1740">
        <v>2400</v>
      </c>
      <c r="M1740">
        <v>2400</v>
      </c>
      <c r="N1740">
        <v>0</v>
      </c>
    </row>
    <row r="1741" spans="1:14" x14ac:dyDescent="0.25">
      <c r="A1741">
        <v>1341</v>
      </c>
      <c r="B1741" s="1">
        <f>DATE(2014,1,1) + TIME(0,0,0)</f>
        <v>41640</v>
      </c>
      <c r="C1741">
        <v>80</v>
      </c>
      <c r="D1741">
        <v>74.870285034000005</v>
      </c>
      <c r="E1741">
        <v>50</v>
      </c>
      <c r="F1741">
        <v>49.975009917999998</v>
      </c>
      <c r="G1741">
        <v>1300.2711182</v>
      </c>
      <c r="H1741">
        <v>1287.3013916</v>
      </c>
      <c r="I1741">
        <v>1394.4079589999999</v>
      </c>
      <c r="J1741">
        <v>1374.7468262</v>
      </c>
      <c r="K1741">
        <v>0</v>
      </c>
      <c r="L1741">
        <v>2400</v>
      </c>
      <c r="M1741">
        <v>2400</v>
      </c>
      <c r="N1741">
        <v>0</v>
      </c>
    </row>
    <row r="1742" spans="1:14" x14ac:dyDescent="0.25">
      <c r="A1742">
        <v>1343.189122</v>
      </c>
      <c r="B1742" s="1">
        <f>DATE(2014,1,3) + TIME(4,32,20)</f>
        <v>41642.189120370371</v>
      </c>
      <c r="C1742">
        <v>80</v>
      </c>
      <c r="D1742">
        <v>74.761100768999995</v>
      </c>
      <c r="E1742">
        <v>50</v>
      </c>
      <c r="F1742">
        <v>49.975048065000003</v>
      </c>
      <c r="G1742">
        <v>1300.208374</v>
      </c>
      <c r="H1742">
        <v>1287.2092285000001</v>
      </c>
      <c r="I1742">
        <v>1394.3947754000001</v>
      </c>
      <c r="J1742">
        <v>1374.7362060999999</v>
      </c>
      <c r="K1742">
        <v>0</v>
      </c>
      <c r="L1742">
        <v>2400</v>
      </c>
      <c r="M1742">
        <v>2400</v>
      </c>
      <c r="N1742">
        <v>0</v>
      </c>
    </row>
    <row r="1743" spans="1:14" x14ac:dyDescent="0.25">
      <c r="A1743">
        <v>1345.4124529999999</v>
      </c>
      <c r="B1743" s="1">
        <f>DATE(2014,1,5) + TIME(9,53,55)</f>
        <v>41644.412442129629</v>
      </c>
      <c r="C1743">
        <v>80</v>
      </c>
      <c r="D1743">
        <v>74.629470824999999</v>
      </c>
      <c r="E1743">
        <v>50</v>
      </c>
      <c r="F1743">
        <v>49.975078582999998</v>
      </c>
      <c r="G1743">
        <v>1300.0635986</v>
      </c>
      <c r="H1743">
        <v>1287.0229492000001</v>
      </c>
      <c r="I1743">
        <v>1394.3583983999999</v>
      </c>
      <c r="J1743">
        <v>1374.706543</v>
      </c>
      <c r="K1743">
        <v>0</v>
      </c>
      <c r="L1743">
        <v>2400</v>
      </c>
      <c r="M1743">
        <v>2400</v>
      </c>
      <c r="N1743">
        <v>0</v>
      </c>
    </row>
    <row r="1744" spans="1:14" x14ac:dyDescent="0.25">
      <c r="A1744">
        <v>1347.665583</v>
      </c>
      <c r="B1744" s="1">
        <f>DATE(2014,1,7) + TIME(15,58,26)</f>
        <v>41646.665578703702</v>
      </c>
      <c r="C1744">
        <v>80</v>
      </c>
      <c r="D1744">
        <v>74.490806579999997</v>
      </c>
      <c r="E1744">
        <v>50</v>
      </c>
      <c r="F1744">
        <v>49.975112914999997</v>
      </c>
      <c r="G1744">
        <v>1299.9106445</v>
      </c>
      <c r="H1744">
        <v>1286.8237305</v>
      </c>
      <c r="I1744">
        <v>1394.3225098</v>
      </c>
      <c r="J1744">
        <v>1374.6772461</v>
      </c>
      <c r="K1744">
        <v>0</v>
      </c>
      <c r="L1744">
        <v>2400</v>
      </c>
      <c r="M1744">
        <v>2400</v>
      </c>
      <c r="N1744">
        <v>0</v>
      </c>
    </row>
    <row r="1745" spans="1:14" x14ac:dyDescent="0.25">
      <c r="A1745">
        <v>1349.9538250000001</v>
      </c>
      <c r="B1745" s="1">
        <f>DATE(2014,1,9) + TIME(22,53,30)</f>
        <v>41648.953819444447</v>
      </c>
      <c r="C1745">
        <v>80</v>
      </c>
      <c r="D1745">
        <v>74.349388122999997</v>
      </c>
      <c r="E1745">
        <v>50</v>
      </c>
      <c r="F1745">
        <v>49.975147247000002</v>
      </c>
      <c r="G1745">
        <v>1299.7514647999999</v>
      </c>
      <c r="H1745">
        <v>1286.6147461</v>
      </c>
      <c r="I1745">
        <v>1394.2872314000001</v>
      </c>
      <c r="J1745">
        <v>1374.6483154</v>
      </c>
      <c r="K1745">
        <v>0</v>
      </c>
      <c r="L1745">
        <v>2400</v>
      </c>
      <c r="M1745">
        <v>2400</v>
      </c>
      <c r="N1745">
        <v>0</v>
      </c>
    </row>
    <row r="1746" spans="1:14" x14ac:dyDescent="0.25">
      <c r="A1746">
        <v>1352.281966</v>
      </c>
      <c r="B1746" s="1">
        <f>DATE(2014,1,12) + TIME(6,46,1)</f>
        <v>41651.281956018516</v>
      </c>
      <c r="C1746">
        <v>80</v>
      </c>
      <c r="D1746">
        <v>74.206085204999994</v>
      </c>
      <c r="E1746">
        <v>50</v>
      </c>
      <c r="F1746">
        <v>49.975181579999997</v>
      </c>
      <c r="G1746">
        <v>1299.5859375</v>
      </c>
      <c r="H1746">
        <v>1286.3964844</v>
      </c>
      <c r="I1746">
        <v>1394.2524414</v>
      </c>
      <c r="J1746">
        <v>1374.619751</v>
      </c>
      <c r="K1746">
        <v>0</v>
      </c>
      <c r="L1746">
        <v>2400</v>
      </c>
      <c r="M1746">
        <v>2400</v>
      </c>
      <c r="N1746">
        <v>0</v>
      </c>
    </row>
    <row r="1747" spans="1:14" x14ac:dyDescent="0.25">
      <c r="A1747">
        <v>1354.6546269999999</v>
      </c>
      <c r="B1747" s="1">
        <f>DATE(2014,1,14) + TIME(15,42,39)</f>
        <v>41653.654618055552</v>
      </c>
      <c r="C1747">
        <v>80</v>
      </c>
      <c r="D1747">
        <v>74.060783385999997</v>
      </c>
      <c r="E1747">
        <v>50</v>
      </c>
      <c r="F1747">
        <v>49.975219727000002</v>
      </c>
      <c r="G1747">
        <v>1299.4135742000001</v>
      </c>
      <c r="H1747">
        <v>1286.1683350000001</v>
      </c>
      <c r="I1747">
        <v>1394.2178954999999</v>
      </c>
      <c r="J1747">
        <v>1374.5914307</v>
      </c>
      <c r="K1747">
        <v>0</v>
      </c>
      <c r="L1747">
        <v>2400</v>
      </c>
      <c r="M1747">
        <v>2400</v>
      </c>
      <c r="N1747">
        <v>0</v>
      </c>
    </row>
    <row r="1748" spans="1:14" x14ac:dyDescent="0.25">
      <c r="A1748">
        <v>1357.0597339999999</v>
      </c>
      <c r="B1748" s="1">
        <f>DATE(2014,1,17) + TIME(1,26,1)</f>
        <v>41656.059733796297</v>
      </c>
      <c r="C1748">
        <v>80</v>
      </c>
      <c r="D1748">
        <v>73.913406371999997</v>
      </c>
      <c r="E1748">
        <v>50</v>
      </c>
      <c r="F1748">
        <v>49.975254059000001</v>
      </c>
      <c r="G1748">
        <v>1299.2340088000001</v>
      </c>
      <c r="H1748">
        <v>1285.9296875</v>
      </c>
      <c r="I1748">
        <v>1394.1837158000001</v>
      </c>
      <c r="J1748">
        <v>1374.5633545000001</v>
      </c>
      <c r="K1748">
        <v>0</v>
      </c>
      <c r="L1748">
        <v>2400</v>
      </c>
      <c r="M1748">
        <v>2400</v>
      </c>
      <c r="N1748">
        <v>0</v>
      </c>
    </row>
    <row r="1749" spans="1:14" x14ac:dyDescent="0.25">
      <c r="A1749">
        <v>1359.49368</v>
      </c>
      <c r="B1749" s="1">
        <f>DATE(2014,1,19) + TIME(11,50,53)</f>
        <v>41658.493668981479</v>
      </c>
      <c r="C1749">
        <v>80</v>
      </c>
      <c r="D1749">
        <v>73.764175414999997</v>
      </c>
      <c r="E1749">
        <v>50</v>
      </c>
      <c r="F1749">
        <v>49.975292205999999</v>
      </c>
      <c r="G1749">
        <v>1299.0478516000001</v>
      </c>
      <c r="H1749">
        <v>1285.6813964999999</v>
      </c>
      <c r="I1749">
        <v>1394.1499022999999</v>
      </c>
      <c r="J1749">
        <v>1374.5355225000001</v>
      </c>
      <c r="K1749">
        <v>0</v>
      </c>
      <c r="L1749">
        <v>2400</v>
      </c>
      <c r="M1749">
        <v>2400</v>
      </c>
      <c r="N1749">
        <v>0</v>
      </c>
    </row>
    <row r="1750" spans="1:14" x14ac:dyDescent="0.25">
      <c r="A1750">
        <v>1361.956866</v>
      </c>
      <c r="B1750" s="1">
        <f>DATE(2014,1,21) + TIME(22,57,53)</f>
        <v>41660.956863425927</v>
      </c>
      <c r="C1750">
        <v>80</v>
      </c>
      <c r="D1750">
        <v>73.613082886000001</v>
      </c>
      <c r="E1750">
        <v>50</v>
      </c>
      <c r="F1750">
        <v>49.975326537999997</v>
      </c>
      <c r="G1750">
        <v>1298.8553466999999</v>
      </c>
      <c r="H1750">
        <v>1285.4235839999999</v>
      </c>
      <c r="I1750">
        <v>1394.1165771000001</v>
      </c>
      <c r="J1750">
        <v>1374.5079346</v>
      </c>
      <c r="K1750">
        <v>0</v>
      </c>
      <c r="L1750">
        <v>2400</v>
      </c>
      <c r="M1750">
        <v>2400</v>
      </c>
      <c r="N1750">
        <v>0</v>
      </c>
    </row>
    <row r="1751" spans="1:14" x14ac:dyDescent="0.25">
      <c r="A1751">
        <v>1364.454522</v>
      </c>
      <c r="B1751" s="1">
        <f>DATE(2014,1,24) + TIME(10,54,30)</f>
        <v>41663.454513888886</v>
      </c>
      <c r="C1751">
        <v>80</v>
      </c>
      <c r="D1751">
        <v>73.459854125999996</v>
      </c>
      <c r="E1751">
        <v>50</v>
      </c>
      <c r="F1751">
        <v>49.975364685000002</v>
      </c>
      <c r="G1751">
        <v>1298.6564940999999</v>
      </c>
      <c r="H1751">
        <v>1285.1561279</v>
      </c>
      <c r="I1751">
        <v>1394.0837402</v>
      </c>
      <c r="J1751">
        <v>1374.4807129000001</v>
      </c>
      <c r="K1751">
        <v>0</v>
      </c>
      <c r="L1751">
        <v>2400</v>
      </c>
      <c r="M1751">
        <v>2400</v>
      </c>
      <c r="N1751">
        <v>0</v>
      </c>
    </row>
    <row r="1752" spans="1:14" x14ac:dyDescent="0.25">
      <c r="A1752">
        <v>1366.9895739999999</v>
      </c>
      <c r="B1752" s="1">
        <f>DATE(2014,1,26) + TIME(23,44,59)</f>
        <v>41665.989571759259</v>
      </c>
      <c r="C1752">
        <v>80</v>
      </c>
      <c r="D1752">
        <v>73.303993224999999</v>
      </c>
      <c r="E1752">
        <v>50</v>
      </c>
      <c r="F1752">
        <v>49.975402832</v>
      </c>
      <c r="G1752">
        <v>1298.4505615</v>
      </c>
      <c r="H1752">
        <v>1284.878418</v>
      </c>
      <c r="I1752">
        <v>1394.0511475000001</v>
      </c>
      <c r="J1752">
        <v>1374.4537353999999</v>
      </c>
      <c r="K1752">
        <v>0</v>
      </c>
      <c r="L1752">
        <v>2400</v>
      </c>
      <c r="M1752">
        <v>2400</v>
      </c>
      <c r="N1752">
        <v>0</v>
      </c>
    </row>
    <row r="1753" spans="1:14" x14ac:dyDescent="0.25">
      <c r="A1753">
        <v>1369.561316</v>
      </c>
      <c r="B1753" s="1">
        <f>DATE(2014,1,29) + TIME(13,28,17)</f>
        <v>41668.561307870368</v>
      </c>
      <c r="C1753">
        <v>80</v>
      </c>
      <c r="D1753">
        <v>73.145088196000003</v>
      </c>
      <c r="E1753">
        <v>50</v>
      </c>
      <c r="F1753">
        <v>49.975440978999998</v>
      </c>
      <c r="G1753">
        <v>1298.2374268000001</v>
      </c>
      <c r="H1753">
        <v>1284.5898437999999</v>
      </c>
      <c r="I1753">
        <v>1394.0187988</v>
      </c>
      <c r="J1753">
        <v>1374.4270019999999</v>
      </c>
      <c r="K1753">
        <v>0</v>
      </c>
      <c r="L1753">
        <v>2400</v>
      </c>
      <c r="M1753">
        <v>2400</v>
      </c>
      <c r="N1753">
        <v>0</v>
      </c>
    </row>
    <row r="1754" spans="1:14" x14ac:dyDescent="0.25">
      <c r="A1754">
        <v>1372</v>
      </c>
      <c r="B1754" s="1">
        <f>DATE(2014,2,1) + TIME(0,0,0)</f>
        <v>41671</v>
      </c>
      <c r="C1754">
        <v>80</v>
      </c>
      <c r="D1754">
        <v>72.985458374000004</v>
      </c>
      <c r="E1754">
        <v>50</v>
      </c>
      <c r="F1754">
        <v>49.975475310999997</v>
      </c>
      <c r="G1754">
        <v>1298.0174560999999</v>
      </c>
      <c r="H1754">
        <v>1284.291626</v>
      </c>
      <c r="I1754">
        <v>1393.9866943</v>
      </c>
      <c r="J1754">
        <v>1374.4002685999999</v>
      </c>
      <c r="K1754">
        <v>0</v>
      </c>
      <c r="L1754">
        <v>2400</v>
      </c>
      <c r="M1754">
        <v>2400</v>
      </c>
      <c r="N1754">
        <v>0</v>
      </c>
    </row>
    <row r="1755" spans="1:14" x14ac:dyDescent="0.25">
      <c r="A1755">
        <v>1374.6138539999999</v>
      </c>
      <c r="B1755" s="1">
        <f>DATE(2014,2,3) + TIME(14,43,56)</f>
        <v>41673.613842592589</v>
      </c>
      <c r="C1755">
        <v>80</v>
      </c>
      <c r="D1755">
        <v>72.826042174999998</v>
      </c>
      <c r="E1755">
        <v>50</v>
      </c>
      <c r="F1755">
        <v>49.975513458000002</v>
      </c>
      <c r="G1755">
        <v>1297.8026123</v>
      </c>
      <c r="H1755">
        <v>1283.9978027</v>
      </c>
      <c r="I1755">
        <v>1393.9570312000001</v>
      </c>
      <c r="J1755">
        <v>1374.3754882999999</v>
      </c>
      <c r="K1755">
        <v>0</v>
      </c>
      <c r="L1755">
        <v>2400</v>
      </c>
      <c r="M1755">
        <v>2400</v>
      </c>
      <c r="N1755">
        <v>0</v>
      </c>
    </row>
    <row r="1756" spans="1:14" x14ac:dyDescent="0.25">
      <c r="A1756">
        <v>1377.3098130000001</v>
      </c>
      <c r="B1756" s="1">
        <f>DATE(2014,2,6) + TIME(7,26,7)</f>
        <v>41676.309803240743</v>
      </c>
      <c r="C1756">
        <v>80</v>
      </c>
      <c r="D1756">
        <v>72.658416747999993</v>
      </c>
      <c r="E1756">
        <v>50</v>
      </c>
      <c r="F1756">
        <v>49.975555419999999</v>
      </c>
      <c r="G1756">
        <v>1297.5710449000001</v>
      </c>
      <c r="H1756">
        <v>1283.6815185999999</v>
      </c>
      <c r="I1756">
        <v>1393.9257812000001</v>
      </c>
      <c r="J1756">
        <v>1374.3494873</v>
      </c>
      <c r="K1756">
        <v>0</v>
      </c>
      <c r="L1756">
        <v>2400</v>
      </c>
      <c r="M1756">
        <v>2400</v>
      </c>
      <c r="N1756">
        <v>0</v>
      </c>
    </row>
    <row r="1757" spans="1:14" x14ac:dyDescent="0.25">
      <c r="A1757">
        <v>1380.0349570000001</v>
      </c>
      <c r="B1757" s="1">
        <f>DATE(2014,2,9) + TIME(0,50,20)</f>
        <v>41679.034953703704</v>
      </c>
      <c r="C1757">
        <v>80</v>
      </c>
      <c r="D1757">
        <v>72.483848571999999</v>
      </c>
      <c r="E1757">
        <v>50</v>
      </c>
      <c r="F1757">
        <v>49.975593566999997</v>
      </c>
      <c r="G1757">
        <v>1297.3278809000001</v>
      </c>
      <c r="H1757">
        <v>1283.3483887</v>
      </c>
      <c r="I1757">
        <v>1393.8941649999999</v>
      </c>
      <c r="J1757">
        <v>1374.3229980000001</v>
      </c>
      <c r="K1757">
        <v>0</v>
      </c>
      <c r="L1757">
        <v>2400</v>
      </c>
      <c r="M1757">
        <v>2400</v>
      </c>
      <c r="N1757">
        <v>0</v>
      </c>
    </row>
    <row r="1758" spans="1:14" x14ac:dyDescent="0.25">
      <c r="A1758">
        <v>1382.7956630000001</v>
      </c>
      <c r="B1758" s="1">
        <f>DATE(2014,2,11) + TIME(19,5,45)</f>
        <v>41681.795659722222</v>
      </c>
      <c r="C1758">
        <v>80</v>
      </c>
      <c r="D1758">
        <v>72.304016113000003</v>
      </c>
      <c r="E1758">
        <v>50</v>
      </c>
      <c r="F1758">
        <v>49.975635529000002</v>
      </c>
      <c r="G1758">
        <v>1297.0772704999999</v>
      </c>
      <c r="H1758">
        <v>1283.0036620999999</v>
      </c>
      <c r="I1758">
        <v>1393.862793</v>
      </c>
      <c r="J1758">
        <v>1374.2967529</v>
      </c>
      <c r="K1758">
        <v>0</v>
      </c>
      <c r="L1758">
        <v>2400</v>
      </c>
      <c r="M1758">
        <v>2400</v>
      </c>
      <c r="N1758">
        <v>0</v>
      </c>
    </row>
    <row r="1759" spans="1:14" x14ac:dyDescent="0.25">
      <c r="A1759">
        <v>1385.597847</v>
      </c>
      <c r="B1759" s="1">
        <f>DATE(2014,2,14) + TIME(14,20,53)</f>
        <v>41684.59783564815</v>
      </c>
      <c r="C1759">
        <v>80</v>
      </c>
      <c r="D1759">
        <v>72.118667603000006</v>
      </c>
      <c r="E1759">
        <v>50</v>
      </c>
      <c r="F1759">
        <v>49.975677490000002</v>
      </c>
      <c r="G1759">
        <v>1296.8189697</v>
      </c>
      <c r="H1759">
        <v>1282.6472168</v>
      </c>
      <c r="I1759">
        <v>1393.831543</v>
      </c>
      <c r="J1759">
        <v>1374.2706298999999</v>
      </c>
      <c r="K1759">
        <v>0</v>
      </c>
      <c r="L1759">
        <v>2400</v>
      </c>
      <c r="M1759">
        <v>2400</v>
      </c>
      <c r="N1759">
        <v>0</v>
      </c>
    </row>
    <row r="1760" spans="1:14" x14ac:dyDescent="0.25">
      <c r="A1760">
        <v>1388.447334</v>
      </c>
      <c r="B1760" s="1">
        <f>DATE(2014,2,17) + TIME(10,44,9)</f>
        <v>41687.447326388887</v>
      </c>
      <c r="C1760">
        <v>80</v>
      </c>
      <c r="D1760">
        <v>71.927032471000004</v>
      </c>
      <c r="E1760">
        <v>50</v>
      </c>
      <c r="F1760">
        <v>49.975715637</v>
      </c>
      <c r="G1760">
        <v>1296.5526123</v>
      </c>
      <c r="H1760">
        <v>1282.2785644999999</v>
      </c>
      <c r="I1760">
        <v>1393.8005370999999</v>
      </c>
      <c r="J1760">
        <v>1374.2445068</v>
      </c>
      <c r="K1760">
        <v>0</v>
      </c>
      <c r="L1760">
        <v>2400</v>
      </c>
      <c r="M1760">
        <v>2400</v>
      </c>
      <c r="N1760">
        <v>0</v>
      </c>
    </row>
    <row r="1761" spans="1:14" x14ac:dyDescent="0.25">
      <c r="A1761">
        <v>1391.349972</v>
      </c>
      <c r="B1761" s="1">
        <f>DATE(2014,2,20) + TIME(8,23,57)</f>
        <v>41690.349965277775</v>
      </c>
      <c r="C1761">
        <v>80</v>
      </c>
      <c r="D1761">
        <v>71.728202820000007</v>
      </c>
      <c r="E1761">
        <v>50</v>
      </c>
      <c r="F1761">
        <v>49.975761413999997</v>
      </c>
      <c r="G1761">
        <v>1296.2777100000001</v>
      </c>
      <c r="H1761">
        <v>1281.8968506000001</v>
      </c>
      <c r="I1761">
        <v>1393.7694091999999</v>
      </c>
      <c r="J1761">
        <v>1374.2182617000001</v>
      </c>
      <c r="K1761">
        <v>0</v>
      </c>
      <c r="L1761">
        <v>2400</v>
      </c>
      <c r="M1761">
        <v>2400</v>
      </c>
      <c r="N1761">
        <v>0</v>
      </c>
    </row>
    <row r="1762" spans="1:14" x14ac:dyDescent="0.25">
      <c r="A1762">
        <v>1394.2871709999999</v>
      </c>
      <c r="B1762" s="1">
        <f>DATE(2014,2,23) + TIME(6,53,31)</f>
        <v>41693.287164351852</v>
      </c>
      <c r="C1762">
        <v>80</v>
      </c>
      <c r="D1762">
        <v>71.521545410000002</v>
      </c>
      <c r="E1762">
        <v>50</v>
      </c>
      <c r="F1762">
        <v>49.975803374999998</v>
      </c>
      <c r="G1762">
        <v>1295.9936522999999</v>
      </c>
      <c r="H1762">
        <v>1281.5014647999999</v>
      </c>
      <c r="I1762">
        <v>1393.7381591999999</v>
      </c>
      <c r="J1762">
        <v>1374.1918945</v>
      </c>
      <c r="K1762">
        <v>0</v>
      </c>
      <c r="L1762">
        <v>2400</v>
      </c>
      <c r="M1762">
        <v>2400</v>
      </c>
      <c r="N1762">
        <v>0</v>
      </c>
    </row>
    <row r="1763" spans="1:14" x14ac:dyDescent="0.25">
      <c r="A1763">
        <v>1397.2557380000001</v>
      </c>
      <c r="B1763" s="1">
        <f>DATE(2014,2,26) + TIME(6,8,15)</f>
        <v>41696.255729166667</v>
      </c>
      <c r="C1763">
        <v>80</v>
      </c>
      <c r="D1763">
        <v>71.307235718000001</v>
      </c>
      <c r="E1763">
        <v>50</v>
      </c>
      <c r="F1763">
        <v>49.975845337000003</v>
      </c>
      <c r="G1763">
        <v>1295.7020264</v>
      </c>
      <c r="H1763">
        <v>1281.0941161999999</v>
      </c>
      <c r="I1763">
        <v>1393.7071533000001</v>
      </c>
      <c r="J1763">
        <v>1374.1656493999999</v>
      </c>
      <c r="K1763">
        <v>0</v>
      </c>
      <c r="L1763">
        <v>2400</v>
      </c>
      <c r="M1763">
        <v>2400</v>
      </c>
      <c r="N1763">
        <v>0</v>
      </c>
    </row>
    <row r="1764" spans="1:14" x14ac:dyDescent="0.25">
      <c r="A1764">
        <v>1400</v>
      </c>
      <c r="B1764" s="1">
        <f>DATE(2014,3,1) + TIME(0,0,0)</f>
        <v>41699</v>
      </c>
      <c r="C1764">
        <v>80</v>
      </c>
      <c r="D1764">
        <v>71.089248656999999</v>
      </c>
      <c r="E1764">
        <v>50</v>
      </c>
      <c r="F1764">
        <v>49.975883484000001</v>
      </c>
      <c r="G1764">
        <v>1295.4041748</v>
      </c>
      <c r="H1764">
        <v>1280.6778564000001</v>
      </c>
      <c r="I1764">
        <v>1393.6760254000001</v>
      </c>
      <c r="J1764">
        <v>1374.1392822</v>
      </c>
      <c r="K1764">
        <v>0</v>
      </c>
      <c r="L1764">
        <v>2400</v>
      </c>
      <c r="M1764">
        <v>2400</v>
      </c>
      <c r="N1764">
        <v>0</v>
      </c>
    </row>
    <row r="1765" spans="1:14" x14ac:dyDescent="0.25">
      <c r="A1765">
        <v>1403.0066959999999</v>
      </c>
      <c r="B1765" s="1">
        <f>DATE(2014,3,4) + TIME(0,9,38)</f>
        <v>41702.006689814814</v>
      </c>
      <c r="C1765">
        <v>80</v>
      </c>
      <c r="D1765">
        <v>70.871238708000007</v>
      </c>
      <c r="E1765">
        <v>50</v>
      </c>
      <c r="F1765">
        <v>49.975925445999998</v>
      </c>
      <c r="G1765">
        <v>1295.1210937999999</v>
      </c>
      <c r="H1765">
        <v>1280.277832</v>
      </c>
      <c r="I1765">
        <v>1393.6478271000001</v>
      </c>
      <c r="J1765">
        <v>1374.1153564000001</v>
      </c>
      <c r="K1765">
        <v>0</v>
      </c>
      <c r="L1765">
        <v>2400</v>
      </c>
      <c r="M1765">
        <v>2400</v>
      </c>
      <c r="N1765">
        <v>0</v>
      </c>
    </row>
    <row r="1766" spans="1:14" x14ac:dyDescent="0.25">
      <c r="A1766">
        <v>1406.1049780000001</v>
      </c>
      <c r="B1766" s="1">
        <f>DATE(2014,3,7) + TIME(2,31,10)</f>
        <v>41705.10497685185</v>
      </c>
      <c r="C1766">
        <v>80</v>
      </c>
      <c r="D1766">
        <v>70.635330199999999</v>
      </c>
      <c r="E1766">
        <v>50</v>
      </c>
      <c r="F1766">
        <v>49.975971221999998</v>
      </c>
      <c r="G1766">
        <v>1294.8133545000001</v>
      </c>
      <c r="H1766">
        <v>1279.8448486</v>
      </c>
      <c r="I1766">
        <v>1393.6171875</v>
      </c>
      <c r="J1766">
        <v>1374.0892334</v>
      </c>
      <c r="K1766">
        <v>0</v>
      </c>
      <c r="L1766">
        <v>2400</v>
      </c>
      <c r="M1766">
        <v>2400</v>
      </c>
      <c r="N1766">
        <v>0</v>
      </c>
    </row>
    <row r="1767" spans="1:14" x14ac:dyDescent="0.25">
      <c r="A1767">
        <v>1409.2553539999999</v>
      </c>
      <c r="B1767" s="1">
        <f>DATE(2014,3,10) + TIME(6,7,42)</f>
        <v>41708.255347222221</v>
      </c>
      <c r="C1767">
        <v>80</v>
      </c>
      <c r="D1767">
        <v>70.384788513000004</v>
      </c>
      <c r="E1767">
        <v>50</v>
      </c>
      <c r="F1767">
        <v>49.976013184000003</v>
      </c>
      <c r="G1767">
        <v>1294.4919434000001</v>
      </c>
      <c r="H1767">
        <v>1279.3911132999999</v>
      </c>
      <c r="I1767">
        <v>1393.5860596</v>
      </c>
      <c r="J1767">
        <v>1374.0626221</v>
      </c>
      <c r="K1767">
        <v>0</v>
      </c>
      <c r="L1767">
        <v>2400</v>
      </c>
      <c r="M1767">
        <v>2400</v>
      </c>
      <c r="N1767">
        <v>0</v>
      </c>
    </row>
    <row r="1768" spans="1:14" x14ac:dyDescent="0.25">
      <c r="A1768">
        <v>1412.4510439999999</v>
      </c>
      <c r="B1768" s="1">
        <f>DATE(2014,3,13) + TIME(10,49,30)</f>
        <v>41711.451041666667</v>
      </c>
      <c r="C1768">
        <v>80</v>
      </c>
      <c r="D1768">
        <v>70.121856688999998</v>
      </c>
      <c r="E1768">
        <v>50</v>
      </c>
      <c r="F1768">
        <v>49.976058960000003</v>
      </c>
      <c r="G1768">
        <v>1294.1612548999999</v>
      </c>
      <c r="H1768">
        <v>1278.9224853999999</v>
      </c>
      <c r="I1768">
        <v>1393.5545654</v>
      </c>
      <c r="J1768">
        <v>1374.0357666</v>
      </c>
      <c r="K1768">
        <v>0</v>
      </c>
      <c r="L1768">
        <v>2400</v>
      </c>
      <c r="M1768">
        <v>2400</v>
      </c>
      <c r="N1768">
        <v>0</v>
      </c>
    </row>
    <row r="1769" spans="1:14" x14ac:dyDescent="0.25">
      <c r="A1769">
        <v>1415.69919</v>
      </c>
      <c r="B1769" s="1">
        <f>DATE(2014,3,16) + TIME(16,46,50)</f>
        <v>41714.699189814812</v>
      </c>
      <c r="C1769">
        <v>80</v>
      </c>
      <c r="D1769">
        <v>69.846534728999998</v>
      </c>
      <c r="E1769">
        <v>50</v>
      </c>
      <c r="F1769">
        <v>49.976104736000003</v>
      </c>
      <c r="G1769">
        <v>1293.8223877</v>
      </c>
      <c r="H1769">
        <v>1278.4407959</v>
      </c>
      <c r="I1769">
        <v>1393.5230713000001</v>
      </c>
      <c r="J1769">
        <v>1374.0086670000001</v>
      </c>
      <c r="K1769">
        <v>0</v>
      </c>
      <c r="L1769">
        <v>2400</v>
      </c>
      <c r="M1769">
        <v>2400</v>
      </c>
      <c r="N1769">
        <v>0</v>
      </c>
    </row>
    <row r="1770" spans="1:14" x14ac:dyDescent="0.25">
      <c r="A1770">
        <v>1419.0070040000001</v>
      </c>
      <c r="B1770" s="1">
        <f>DATE(2014,3,20) + TIME(0,10,5)</f>
        <v>41718.007002314815</v>
      </c>
      <c r="C1770">
        <v>80</v>
      </c>
      <c r="D1770">
        <v>69.557388306000007</v>
      </c>
      <c r="E1770">
        <v>50</v>
      </c>
      <c r="F1770">
        <v>49.976150513</v>
      </c>
      <c r="G1770">
        <v>1293.4752197</v>
      </c>
      <c r="H1770">
        <v>1277.9455565999999</v>
      </c>
      <c r="I1770">
        <v>1393.4912108999999</v>
      </c>
      <c r="J1770">
        <v>1373.9813231999999</v>
      </c>
      <c r="K1770">
        <v>0</v>
      </c>
      <c r="L1770">
        <v>2400</v>
      </c>
      <c r="M1770">
        <v>2400</v>
      </c>
      <c r="N1770">
        <v>0</v>
      </c>
    </row>
    <row r="1771" spans="1:14" x14ac:dyDescent="0.25">
      <c r="A1771">
        <v>1422.3821479999999</v>
      </c>
      <c r="B1771" s="1">
        <f>DATE(2014,3,23) + TIME(9,10,17)</f>
        <v>41721.382141203707</v>
      </c>
      <c r="C1771">
        <v>80</v>
      </c>
      <c r="D1771">
        <v>69.253448485999996</v>
      </c>
      <c r="E1771">
        <v>50</v>
      </c>
      <c r="F1771">
        <v>49.976196289000001</v>
      </c>
      <c r="G1771">
        <v>1293.1190185999999</v>
      </c>
      <c r="H1771">
        <v>1277.4360352000001</v>
      </c>
      <c r="I1771">
        <v>1393.4591064000001</v>
      </c>
      <c r="J1771">
        <v>1373.9536132999999</v>
      </c>
      <c r="K1771">
        <v>0</v>
      </c>
      <c r="L1771">
        <v>2400</v>
      </c>
      <c r="M1771">
        <v>2400</v>
      </c>
      <c r="N1771">
        <v>0</v>
      </c>
    </row>
    <row r="1772" spans="1:14" x14ac:dyDescent="0.25">
      <c r="A1772">
        <v>1425.822269</v>
      </c>
      <c r="B1772" s="1">
        <f>DATE(2014,3,26) + TIME(19,44,4)</f>
        <v>41724.822268518517</v>
      </c>
      <c r="C1772">
        <v>80</v>
      </c>
      <c r="D1772">
        <v>68.933174132999994</v>
      </c>
      <c r="E1772">
        <v>50</v>
      </c>
      <c r="F1772">
        <v>49.976242065000001</v>
      </c>
      <c r="G1772">
        <v>1292.753418</v>
      </c>
      <c r="H1772">
        <v>1276.9112548999999</v>
      </c>
      <c r="I1772">
        <v>1393.4263916</v>
      </c>
      <c r="J1772">
        <v>1373.9254149999999</v>
      </c>
      <c r="K1772">
        <v>0</v>
      </c>
      <c r="L1772">
        <v>2400</v>
      </c>
      <c r="M1772">
        <v>2400</v>
      </c>
      <c r="N1772">
        <v>0</v>
      </c>
    </row>
    <row r="1773" spans="1:14" x14ac:dyDescent="0.25">
      <c r="A1773">
        <v>1429.316736</v>
      </c>
      <c r="B1773" s="1">
        <f>DATE(2014,3,30) + TIME(7,36,5)</f>
        <v>41728.316724537035</v>
      </c>
      <c r="C1773">
        <v>80</v>
      </c>
      <c r="D1773">
        <v>68.596137999999996</v>
      </c>
      <c r="E1773">
        <v>50</v>
      </c>
      <c r="F1773">
        <v>49.976291656000001</v>
      </c>
      <c r="G1773">
        <v>1292.3786620999999</v>
      </c>
      <c r="H1773">
        <v>1276.3718262</v>
      </c>
      <c r="I1773">
        <v>1393.3933105000001</v>
      </c>
      <c r="J1773">
        <v>1373.8967285000001</v>
      </c>
      <c r="K1773">
        <v>0</v>
      </c>
      <c r="L1773">
        <v>2400</v>
      </c>
      <c r="M1773">
        <v>2400</v>
      </c>
      <c r="N1773">
        <v>0</v>
      </c>
    </row>
    <row r="1774" spans="1:14" x14ac:dyDescent="0.25">
      <c r="A1774">
        <v>1431</v>
      </c>
      <c r="B1774" s="1">
        <f>DATE(2014,4,1) + TIME(0,0,0)</f>
        <v>41730</v>
      </c>
      <c r="C1774">
        <v>80</v>
      </c>
      <c r="D1774">
        <v>68.299575806000007</v>
      </c>
      <c r="E1774">
        <v>50</v>
      </c>
      <c r="F1774">
        <v>49.976310730000002</v>
      </c>
      <c r="G1774">
        <v>1292.0051269999999</v>
      </c>
      <c r="H1774">
        <v>1275.8480225000001</v>
      </c>
      <c r="I1774">
        <v>1393.3592529</v>
      </c>
      <c r="J1774">
        <v>1373.8669434000001</v>
      </c>
      <c r="K1774">
        <v>0</v>
      </c>
      <c r="L1774">
        <v>2400</v>
      </c>
      <c r="M1774">
        <v>2400</v>
      </c>
      <c r="N1774">
        <v>0</v>
      </c>
    </row>
    <row r="1775" spans="1:14" x14ac:dyDescent="0.25">
      <c r="A1775">
        <v>1434.557742</v>
      </c>
      <c r="B1775" s="1">
        <f>DATE(2014,4,4) + TIME(13,23,8)</f>
        <v>41733.55773148148</v>
      </c>
      <c r="C1775">
        <v>80</v>
      </c>
      <c r="D1775">
        <v>68.044006347999996</v>
      </c>
      <c r="E1775">
        <v>50</v>
      </c>
      <c r="F1775">
        <v>49.976360321000001</v>
      </c>
      <c r="G1775">
        <v>1291.7929687999999</v>
      </c>
      <c r="H1775">
        <v>1275.5151367000001</v>
      </c>
      <c r="I1775">
        <v>1393.3439940999999</v>
      </c>
      <c r="J1775">
        <v>1373.8536377</v>
      </c>
      <c r="K1775">
        <v>0</v>
      </c>
      <c r="L1775">
        <v>2400</v>
      </c>
      <c r="M1775">
        <v>2400</v>
      </c>
      <c r="N1775">
        <v>0</v>
      </c>
    </row>
    <row r="1776" spans="1:14" x14ac:dyDescent="0.25">
      <c r="A1776">
        <v>1438.2262659999999</v>
      </c>
      <c r="B1776" s="1">
        <f>DATE(2014,4,8) + TIME(5,25,49)</f>
        <v>41737.226261574076</v>
      </c>
      <c r="C1776">
        <v>80</v>
      </c>
      <c r="D1776">
        <v>67.683914185000006</v>
      </c>
      <c r="E1776">
        <v>50</v>
      </c>
      <c r="F1776">
        <v>49.976409912000001</v>
      </c>
      <c r="G1776">
        <v>1291.4167480000001</v>
      </c>
      <c r="H1776">
        <v>1274.9768065999999</v>
      </c>
      <c r="I1776">
        <v>1393.3099365</v>
      </c>
      <c r="J1776">
        <v>1373.8239745999999</v>
      </c>
      <c r="K1776">
        <v>0</v>
      </c>
      <c r="L1776">
        <v>2400</v>
      </c>
      <c r="M1776">
        <v>2400</v>
      </c>
      <c r="N1776">
        <v>0</v>
      </c>
    </row>
    <row r="1777" spans="1:14" x14ac:dyDescent="0.25">
      <c r="A1777">
        <v>1441.981632</v>
      </c>
      <c r="B1777" s="1">
        <f>DATE(2014,4,11) + TIME(23,33,33)</f>
        <v>41740.981631944444</v>
      </c>
      <c r="C1777">
        <v>80</v>
      </c>
      <c r="D1777">
        <v>67.285629271999994</v>
      </c>
      <c r="E1777">
        <v>50</v>
      </c>
      <c r="F1777">
        <v>49.976459503000001</v>
      </c>
      <c r="G1777">
        <v>1291.0161132999999</v>
      </c>
      <c r="H1777">
        <v>1274.3948975000001</v>
      </c>
      <c r="I1777">
        <v>1393.2750243999999</v>
      </c>
      <c r="J1777">
        <v>1373.793457</v>
      </c>
      <c r="K1777">
        <v>0</v>
      </c>
      <c r="L1777">
        <v>2400</v>
      </c>
      <c r="M1777">
        <v>2400</v>
      </c>
      <c r="N1777">
        <v>0</v>
      </c>
    </row>
    <row r="1778" spans="1:14" x14ac:dyDescent="0.25">
      <c r="A1778">
        <v>1445.830547</v>
      </c>
      <c r="B1778" s="1">
        <f>DATE(2014,4,15) + TIME(19,55,59)</f>
        <v>41744.830543981479</v>
      </c>
      <c r="C1778">
        <v>80</v>
      </c>
      <c r="D1778">
        <v>66.862625121999997</v>
      </c>
      <c r="E1778">
        <v>50</v>
      </c>
      <c r="F1778">
        <v>49.976509094000001</v>
      </c>
      <c r="G1778">
        <v>1290.6033935999999</v>
      </c>
      <c r="H1778">
        <v>1273.7918701000001</v>
      </c>
      <c r="I1778">
        <v>1393.2393798999999</v>
      </c>
      <c r="J1778">
        <v>1373.762207</v>
      </c>
      <c r="K1778">
        <v>0</v>
      </c>
      <c r="L1778">
        <v>2400</v>
      </c>
      <c r="M1778">
        <v>2400</v>
      </c>
      <c r="N1778">
        <v>0</v>
      </c>
    </row>
    <row r="1779" spans="1:14" x14ac:dyDescent="0.25">
      <c r="A1779">
        <v>1449.7584770000001</v>
      </c>
      <c r="B1779" s="1">
        <f>DATE(2014,4,19) + TIME(18,12,12)</f>
        <v>41748.758472222224</v>
      </c>
      <c r="C1779">
        <v>80</v>
      </c>
      <c r="D1779">
        <v>66.416084290000001</v>
      </c>
      <c r="E1779">
        <v>50</v>
      </c>
      <c r="F1779">
        <v>49.9765625</v>
      </c>
      <c r="G1779">
        <v>1290.1804199000001</v>
      </c>
      <c r="H1779">
        <v>1273.1715088000001</v>
      </c>
      <c r="I1779">
        <v>1393.2027588000001</v>
      </c>
      <c r="J1779">
        <v>1373.7299805</v>
      </c>
      <c r="K1779">
        <v>0</v>
      </c>
      <c r="L1779">
        <v>2400</v>
      </c>
      <c r="M1779">
        <v>2400</v>
      </c>
      <c r="N1779">
        <v>0</v>
      </c>
    </row>
    <row r="1780" spans="1:14" x14ac:dyDescent="0.25">
      <c r="A1780">
        <v>1453.778317</v>
      </c>
      <c r="B1780" s="1">
        <f>DATE(2014,4,23) + TIME(18,40,46)</f>
        <v>41752.778310185182</v>
      </c>
      <c r="C1780">
        <v>80</v>
      </c>
      <c r="D1780">
        <v>65.947158813000001</v>
      </c>
      <c r="E1780">
        <v>50</v>
      </c>
      <c r="F1780">
        <v>49.976612091</v>
      </c>
      <c r="G1780">
        <v>1289.7495117000001</v>
      </c>
      <c r="H1780">
        <v>1272.5372314000001</v>
      </c>
      <c r="I1780">
        <v>1393.1654053</v>
      </c>
      <c r="J1780">
        <v>1373.6970214999999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1457.903718</v>
      </c>
      <c r="B1781" s="1">
        <f>DATE(2014,4,27) + TIME(21,41,21)</f>
        <v>41756.903715277775</v>
      </c>
      <c r="C1781">
        <v>80</v>
      </c>
      <c r="D1781">
        <v>65.454200744999994</v>
      </c>
      <c r="E1781">
        <v>50</v>
      </c>
      <c r="F1781">
        <v>49.976665496999999</v>
      </c>
      <c r="G1781">
        <v>1289.3101807</v>
      </c>
      <c r="H1781">
        <v>1271.8880615</v>
      </c>
      <c r="I1781">
        <v>1393.1271973</v>
      </c>
      <c r="J1781">
        <v>1373.6630858999999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1461</v>
      </c>
      <c r="B1782" s="1">
        <f>DATE(2014,5,1) + TIME(0,0,0)</f>
        <v>41760</v>
      </c>
      <c r="C1782">
        <v>80</v>
      </c>
      <c r="D1782">
        <v>64.962402343999997</v>
      </c>
      <c r="E1782">
        <v>50</v>
      </c>
      <c r="F1782">
        <v>49.976703643999997</v>
      </c>
      <c r="G1782">
        <v>1288.8649902</v>
      </c>
      <c r="H1782">
        <v>1271.2354736</v>
      </c>
      <c r="I1782">
        <v>1393.0875243999999</v>
      </c>
      <c r="J1782">
        <v>1373.6278076000001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1461.0000010000001</v>
      </c>
      <c r="B1783" s="1">
        <f>DATE(2014,5,1) + TIME(0,0,0)</f>
        <v>41760</v>
      </c>
      <c r="C1783">
        <v>80</v>
      </c>
      <c r="D1783">
        <v>64.962989807</v>
      </c>
      <c r="E1783">
        <v>50</v>
      </c>
      <c r="F1783">
        <v>49.976203918000003</v>
      </c>
      <c r="G1783">
        <v>1311.5382079999999</v>
      </c>
      <c r="H1783">
        <v>1293.7989502</v>
      </c>
      <c r="I1783">
        <v>1369.2039795000001</v>
      </c>
      <c r="J1783">
        <v>1350.3205565999999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1461.000004</v>
      </c>
      <c r="B1784" s="1">
        <f>DATE(2014,5,1) + TIME(0,0,0)</f>
        <v>41760</v>
      </c>
      <c r="C1784">
        <v>80</v>
      </c>
      <c r="D1784">
        <v>64.964012146000002</v>
      </c>
      <c r="E1784">
        <v>50</v>
      </c>
      <c r="F1784">
        <v>49.975276946999998</v>
      </c>
      <c r="G1784">
        <v>1319.5495605000001</v>
      </c>
      <c r="H1784">
        <v>1302.1746826000001</v>
      </c>
      <c r="I1784">
        <v>1361.0162353999999</v>
      </c>
      <c r="J1784">
        <v>1342.1308594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1461.0000130000001</v>
      </c>
      <c r="B1785" s="1">
        <f>DATE(2014,5,1) + TIME(0,0,1)</f>
        <v>41760.000011574077</v>
      </c>
      <c r="C1785">
        <v>80</v>
      </c>
      <c r="D1785">
        <v>64.965385436999995</v>
      </c>
      <c r="E1785">
        <v>50</v>
      </c>
      <c r="F1785">
        <v>49.974052428999997</v>
      </c>
      <c r="G1785">
        <v>1329.8453368999999</v>
      </c>
      <c r="H1785">
        <v>1312.4677733999999</v>
      </c>
      <c r="I1785">
        <v>1350.2030029</v>
      </c>
      <c r="J1785">
        <v>1331.3204346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1461.0000399999999</v>
      </c>
      <c r="B1786" s="1">
        <f>DATE(2014,5,1) + TIME(0,0,3)</f>
        <v>41760.000034722223</v>
      </c>
      <c r="C1786">
        <v>80</v>
      </c>
      <c r="D1786">
        <v>64.967163085999999</v>
      </c>
      <c r="E1786">
        <v>50</v>
      </c>
      <c r="F1786">
        <v>49.972774506</v>
      </c>
      <c r="G1786">
        <v>1340.5579834</v>
      </c>
      <c r="H1786">
        <v>1323.0241699000001</v>
      </c>
      <c r="I1786">
        <v>1338.9315185999999</v>
      </c>
      <c r="J1786">
        <v>1320.0565185999999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1461.000121</v>
      </c>
      <c r="B1787" s="1">
        <f>DATE(2014,5,1) + TIME(0,0,10)</f>
        <v>41760.000115740739</v>
      </c>
      <c r="C1787">
        <v>80</v>
      </c>
      <c r="D1787">
        <v>64.970085143999995</v>
      </c>
      <c r="E1787">
        <v>50</v>
      </c>
      <c r="F1787">
        <v>49.971508026000002</v>
      </c>
      <c r="G1787">
        <v>1351.3100586</v>
      </c>
      <c r="H1787">
        <v>1333.6032714999999</v>
      </c>
      <c r="I1787">
        <v>1327.8415527</v>
      </c>
      <c r="J1787">
        <v>1308.9769286999999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1461.000364</v>
      </c>
      <c r="B1788" s="1">
        <f>DATE(2014,5,1) + TIME(0,0,31)</f>
        <v>41760.000358796293</v>
      </c>
      <c r="C1788">
        <v>80</v>
      </c>
      <c r="D1788">
        <v>64.976524353000002</v>
      </c>
      <c r="E1788">
        <v>50</v>
      </c>
      <c r="F1788">
        <v>49.970230102999999</v>
      </c>
      <c r="G1788">
        <v>1362.4793701000001</v>
      </c>
      <c r="H1788">
        <v>1344.5556641000001</v>
      </c>
      <c r="I1788">
        <v>1316.7860106999999</v>
      </c>
      <c r="J1788">
        <v>1297.9172363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1461.0010930000001</v>
      </c>
      <c r="B1789" s="1">
        <f>DATE(2014,5,1) + TIME(0,1,34)</f>
        <v>41760.001087962963</v>
      </c>
      <c r="C1789">
        <v>80</v>
      </c>
      <c r="D1789">
        <v>64.993576050000001</v>
      </c>
      <c r="E1789">
        <v>50</v>
      </c>
      <c r="F1789">
        <v>49.968910217000001</v>
      </c>
      <c r="G1789">
        <v>1374.0334473</v>
      </c>
      <c r="H1789">
        <v>1355.8699951000001</v>
      </c>
      <c r="I1789">
        <v>1305.7785644999999</v>
      </c>
      <c r="J1789">
        <v>1286.8540039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1461.0032799999999</v>
      </c>
      <c r="B1790" s="1">
        <f>DATE(2014,5,1) + TIME(0,4,43)</f>
        <v>41760.003275462965</v>
      </c>
      <c r="C1790">
        <v>80</v>
      </c>
      <c r="D1790">
        <v>65.042320251000007</v>
      </c>
      <c r="E1790">
        <v>50</v>
      </c>
      <c r="F1790">
        <v>49.967578887999998</v>
      </c>
      <c r="G1790">
        <v>1384.3270264</v>
      </c>
      <c r="H1790">
        <v>1365.9915771000001</v>
      </c>
      <c r="I1790">
        <v>1296.0941161999999</v>
      </c>
      <c r="J1790">
        <v>1277.0970459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1461.0098410000001</v>
      </c>
      <c r="B1791" s="1">
        <f>DATE(2014,5,1) + TIME(0,14,10)</f>
        <v>41760.009837962964</v>
      </c>
      <c r="C1791">
        <v>80</v>
      </c>
      <c r="D1791">
        <v>65.185058593999997</v>
      </c>
      <c r="E1791">
        <v>50</v>
      </c>
      <c r="F1791">
        <v>49.966243744000003</v>
      </c>
      <c r="G1791">
        <v>1390.8542480000001</v>
      </c>
      <c r="H1791">
        <v>1372.4779053</v>
      </c>
      <c r="I1791">
        <v>1290.4591064000001</v>
      </c>
      <c r="J1791">
        <v>1271.4234618999999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1461.029524</v>
      </c>
      <c r="B1792" s="1">
        <f>DATE(2014,5,1) + TIME(0,42,30)</f>
        <v>41760.029513888891</v>
      </c>
      <c r="C1792">
        <v>80</v>
      </c>
      <c r="D1792">
        <v>65.599548339999998</v>
      </c>
      <c r="E1792">
        <v>50</v>
      </c>
      <c r="F1792">
        <v>49.964023589999996</v>
      </c>
      <c r="G1792">
        <v>1393.0748291</v>
      </c>
      <c r="H1792">
        <v>1374.7973632999999</v>
      </c>
      <c r="I1792">
        <v>1289.0698242000001</v>
      </c>
      <c r="J1792">
        <v>1270.0240478999999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1461.0572589999999</v>
      </c>
      <c r="B1793" s="1">
        <f>DATE(2014,5,1) + TIME(1,22,27)</f>
        <v>41760.057256944441</v>
      </c>
      <c r="C1793">
        <v>80</v>
      </c>
      <c r="D1793">
        <v>66.160430907999995</v>
      </c>
      <c r="E1793">
        <v>50</v>
      </c>
      <c r="F1793">
        <v>49.961147308000001</v>
      </c>
      <c r="G1793">
        <v>1393.2156981999999</v>
      </c>
      <c r="H1793">
        <v>1375.0855713000001</v>
      </c>
      <c r="I1793">
        <v>1289.0087891000001</v>
      </c>
      <c r="J1793">
        <v>1269.9617920000001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1461.08554</v>
      </c>
      <c r="B1794" s="1">
        <f>DATE(2014,5,1) + TIME(2,3,10)</f>
        <v>41760.085532407407</v>
      </c>
      <c r="C1794">
        <v>80</v>
      </c>
      <c r="D1794">
        <v>66.709709167</v>
      </c>
      <c r="E1794">
        <v>50</v>
      </c>
      <c r="F1794">
        <v>49.958255768000001</v>
      </c>
      <c r="G1794">
        <v>1393.0400391000001</v>
      </c>
      <c r="H1794">
        <v>1375.0472411999999</v>
      </c>
      <c r="I1794">
        <v>1289.0229492000001</v>
      </c>
      <c r="J1794">
        <v>1269.9757079999999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1461.11439</v>
      </c>
      <c r="B1795" s="1">
        <f>DATE(2014,5,1) + TIME(2,44,43)</f>
        <v>41760.114386574074</v>
      </c>
      <c r="C1795">
        <v>80</v>
      </c>
      <c r="D1795">
        <v>67.247467040999993</v>
      </c>
      <c r="E1795">
        <v>50</v>
      </c>
      <c r="F1795">
        <v>49.955329894999998</v>
      </c>
      <c r="G1795">
        <v>1392.8255615</v>
      </c>
      <c r="H1795">
        <v>1374.965332</v>
      </c>
      <c r="I1795">
        <v>1289.0279541</v>
      </c>
      <c r="J1795">
        <v>1269.9804687999999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1461.143838</v>
      </c>
      <c r="B1796" s="1">
        <f>DATE(2014,5,1) + TIME(3,27,7)</f>
        <v>41760.143831018519</v>
      </c>
      <c r="C1796">
        <v>80</v>
      </c>
      <c r="D1796">
        <v>67.773811339999995</v>
      </c>
      <c r="E1796">
        <v>50</v>
      </c>
      <c r="F1796">
        <v>49.952377319</v>
      </c>
      <c r="G1796">
        <v>1392.6115723</v>
      </c>
      <c r="H1796">
        <v>1374.8791504000001</v>
      </c>
      <c r="I1796">
        <v>1289.0291748</v>
      </c>
      <c r="J1796">
        <v>1269.9814452999999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1461.1739130000001</v>
      </c>
      <c r="B1797" s="1">
        <f>DATE(2014,5,1) + TIME(4,10,26)</f>
        <v>41760.17391203704</v>
      </c>
      <c r="C1797">
        <v>80</v>
      </c>
      <c r="D1797">
        <v>68.288825989000003</v>
      </c>
      <c r="E1797">
        <v>50</v>
      </c>
      <c r="F1797">
        <v>49.949390411000003</v>
      </c>
      <c r="G1797">
        <v>1392.4035644999999</v>
      </c>
      <c r="H1797">
        <v>1374.7943115</v>
      </c>
      <c r="I1797">
        <v>1289.0296631000001</v>
      </c>
      <c r="J1797">
        <v>1269.9816894999999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1461.2046499999999</v>
      </c>
      <c r="B1798" s="1">
        <f>DATE(2014,5,1) + TIME(4,54,41)</f>
        <v>41760.204641203702</v>
      </c>
      <c r="C1798">
        <v>80</v>
      </c>
      <c r="D1798">
        <v>68.792617797999995</v>
      </c>
      <c r="E1798">
        <v>50</v>
      </c>
      <c r="F1798">
        <v>49.946369171000001</v>
      </c>
      <c r="G1798">
        <v>1392.2022704999999</v>
      </c>
      <c r="H1798">
        <v>1374.7117920000001</v>
      </c>
      <c r="I1798">
        <v>1289.0297852000001</v>
      </c>
      <c r="J1798">
        <v>1269.9815673999999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1461.236091</v>
      </c>
      <c r="B1799" s="1">
        <f>DATE(2014,5,1) + TIME(5,39,58)</f>
        <v>41760.236087962963</v>
      </c>
      <c r="C1799">
        <v>80</v>
      </c>
      <c r="D1799">
        <v>69.285369872999993</v>
      </c>
      <c r="E1799">
        <v>50</v>
      </c>
      <c r="F1799">
        <v>49.943309784</v>
      </c>
      <c r="G1799">
        <v>1392.0073242000001</v>
      </c>
      <c r="H1799">
        <v>1374.6314697</v>
      </c>
      <c r="I1799">
        <v>1289.0299072</v>
      </c>
      <c r="J1799">
        <v>1269.9814452999999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1461.268276</v>
      </c>
      <c r="B1800" s="1">
        <f>DATE(2014,5,1) + TIME(6,26,19)</f>
        <v>41760.268275462964</v>
      </c>
      <c r="C1800">
        <v>80</v>
      </c>
      <c r="D1800">
        <v>69.767181395999998</v>
      </c>
      <c r="E1800">
        <v>50</v>
      </c>
      <c r="F1800">
        <v>49.940208435000002</v>
      </c>
      <c r="G1800">
        <v>1391.8187256000001</v>
      </c>
      <c r="H1800">
        <v>1374.5534668</v>
      </c>
      <c r="I1800">
        <v>1289.0299072</v>
      </c>
      <c r="J1800">
        <v>1269.9812012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1461.301248</v>
      </c>
      <c r="B1801" s="1">
        <f>DATE(2014,5,1) + TIME(7,13,47)</f>
        <v>41760.301238425927</v>
      </c>
      <c r="C1801">
        <v>80</v>
      </c>
      <c r="D1801">
        <v>70.237968445000007</v>
      </c>
      <c r="E1801">
        <v>50</v>
      </c>
      <c r="F1801">
        <v>49.937065124999997</v>
      </c>
      <c r="G1801">
        <v>1391.6361084</v>
      </c>
      <c r="H1801">
        <v>1374.4774170000001</v>
      </c>
      <c r="I1801">
        <v>1289.0299072</v>
      </c>
      <c r="J1801">
        <v>1269.9808350000001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1461.3350539999999</v>
      </c>
      <c r="B1802" s="1">
        <f>DATE(2014,5,1) + TIME(8,2,28)</f>
        <v>41760.335046296299</v>
      </c>
      <c r="C1802">
        <v>80</v>
      </c>
      <c r="D1802">
        <v>70.697807311999995</v>
      </c>
      <c r="E1802">
        <v>50</v>
      </c>
      <c r="F1802">
        <v>49.933876038000001</v>
      </c>
      <c r="G1802">
        <v>1391.4591064000001</v>
      </c>
      <c r="H1802">
        <v>1374.4033202999999</v>
      </c>
      <c r="I1802">
        <v>1289.0297852000001</v>
      </c>
      <c r="J1802">
        <v>1269.9805908000001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1461.369747</v>
      </c>
      <c r="B1803" s="1">
        <f>DATE(2014,5,1) + TIME(8,52,26)</f>
        <v>41760.369745370372</v>
      </c>
      <c r="C1803">
        <v>80</v>
      </c>
      <c r="D1803">
        <v>71.146934509000005</v>
      </c>
      <c r="E1803">
        <v>50</v>
      </c>
      <c r="F1803">
        <v>49.930633544999999</v>
      </c>
      <c r="G1803">
        <v>1391.2874756000001</v>
      </c>
      <c r="H1803">
        <v>1374.3310547000001</v>
      </c>
      <c r="I1803">
        <v>1289.0296631000001</v>
      </c>
      <c r="J1803">
        <v>1269.9801024999999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1461.4053799999999</v>
      </c>
      <c r="B1804" s="1">
        <f>DATE(2014,5,1) + TIME(9,43,44)</f>
        <v>41760.405370370368</v>
      </c>
      <c r="C1804">
        <v>80</v>
      </c>
      <c r="D1804">
        <v>71.585403442</v>
      </c>
      <c r="E1804">
        <v>50</v>
      </c>
      <c r="F1804">
        <v>49.927337645999998</v>
      </c>
      <c r="G1804">
        <v>1391.1209716999999</v>
      </c>
      <c r="H1804">
        <v>1374.2604980000001</v>
      </c>
      <c r="I1804">
        <v>1289.0295410000001</v>
      </c>
      <c r="J1804">
        <v>1269.9797363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1461.4420150000001</v>
      </c>
      <c r="B1805" s="1">
        <f>DATE(2014,5,1) + TIME(10,36,30)</f>
        <v>41760.442013888889</v>
      </c>
      <c r="C1805">
        <v>80</v>
      </c>
      <c r="D1805">
        <v>72.013282775999997</v>
      </c>
      <c r="E1805">
        <v>50</v>
      </c>
      <c r="F1805">
        <v>49.923984527999998</v>
      </c>
      <c r="G1805">
        <v>1390.9593506000001</v>
      </c>
      <c r="H1805">
        <v>1374.1914062000001</v>
      </c>
      <c r="I1805">
        <v>1289.0292969</v>
      </c>
      <c r="J1805">
        <v>1269.9792480000001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1461.4797169999999</v>
      </c>
      <c r="B1806" s="1">
        <f>DATE(2014,5,1) + TIME(11,30,47)</f>
        <v>41760.479710648149</v>
      </c>
      <c r="C1806">
        <v>80</v>
      </c>
      <c r="D1806">
        <v>72.430587768999999</v>
      </c>
      <c r="E1806">
        <v>50</v>
      </c>
      <c r="F1806">
        <v>49.920570374</v>
      </c>
      <c r="G1806">
        <v>1390.8023682</v>
      </c>
      <c r="H1806">
        <v>1374.1239014</v>
      </c>
      <c r="I1806">
        <v>1289.0290527</v>
      </c>
      <c r="J1806">
        <v>1269.9786377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1461.51856</v>
      </c>
      <c r="B1807" s="1">
        <f>DATE(2014,5,1) + TIME(12,26,43)</f>
        <v>41760.518553240741</v>
      </c>
      <c r="C1807">
        <v>80</v>
      </c>
      <c r="D1807">
        <v>72.837409973000007</v>
      </c>
      <c r="E1807">
        <v>50</v>
      </c>
      <c r="F1807">
        <v>49.917087555000002</v>
      </c>
      <c r="G1807">
        <v>1390.6499022999999</v>
      </c>
      <c r="H1807">
        <v>1374.0577393000001</v>
      </c>
      <c r="I1807">
        <v>1289.0288086</v>
      </c>
      <c r="J1807">
        <v>1269.9781493999999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1461.558636</v>
      </c>
      <c r="B1808" s="1">
        <f>DATE(2014,5,1) + TIME(13,24,26)</f>
        <v>41760.558634259258</v>
      </c>
      <c r="C1808">
        <v>80</v>
      </c>
      <c r="D1808">
        <v>73.233856200999995</v>
      </c>
      <c r="E1808">
        <v>50</v>
      </c>
      <c r="F1808">
        <v>49.913532257</v>
      </c>
      <c r="G1808">
        <v>1390.5014647999999</v>
      </c>
      <c r="H1808">
        <v>1373.9926757999999</v>
      </c>
      <c r="I1808">
        <v>1289.0284423999999</v>
      </c>
      <c r="J1808">
        <v>1269.9774170000001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1461.600017</v>
      </c>
      <c r="B1809" s="1">
        <f>DATE(2014,5,1) + TIME(14,24,1)</f>
        <v>41760.600011574075</v>
      </c>
      <c r="C1809">
        <v>80</v>
      </c>
      <c r="D1809">
        <v>73.619812011999997</v>
      </c>
      <c r="E1809">
        <v>50</v>
      </c>
      <c r="F1809">
        <v>49.909900665000002</v>
      </c>
      <c r="G1809">
        <v>1390.3570557</v>
      </c>
      <c r="H1809">
        <v>1373.9288329999999</v>
      </c>
      <c r="I1809">
        <v>1289.0280762</v>
      </c>
      <c r="J1809">
        <v>1269.9768065999999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1461.642799</v>
      </c>
      <c r="B1810" s="1">
        <f>DATE(2014,5,1) + TIME(15,25,37)</f>
        <v>41760.642789351848</v>
      </c>
      <c r="C1810">
        <v>80</v>
      </c>
      <c r="D1810">
        <v>73.995269774999997</v>
      </c>
      <c r="E1810">
        <v>50</v>
      </c>
      <c r="F1810">
        <v>49.906181334999999</v>
      </c>
      <c r="G1810">
        <v>1390.2164307</v>
      </c>
      <c r="H1810">
        <v>1373.8660889</v>
      </c>
      <c r="I1810">
        <v>1289.0277100000001</v>
      </c>
      <c r="J1810">
        <v>1269.9760742000001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1461.687087</v>
      </c>
      <c r="B1811" s="1">
        <f>DATE(2014,5,1) + TIME(16,29,24)</f>
        <v>41760.687083333331</v>
      </c>
      <c r="C1811">
        <v>80</v>
      </c>
      <c r="D1811">
        <v>74.360221863000007</v>
      </c>
      <c r="E1811">
        <v>50</v>
      </c>
      <c r="F1811">
        <v>49.902374268000003</v>
      </c>
      <c r="G1811">
        <v>1390.0793457</v>
      </c>
      <c r="H1811">
        <v>1373.8041992000001</v>
      </c>
      <c r="I1811">
        <v>1289.0272216999999</v>
      </c>
      <c r="J1811">
        <v>1269.9752197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1461.7329990000001</v>
      </c>
      <c r="B1812" s="1">
        <f>DATE(2014,5,1) + TIME(17,35,31)</f>
        <v>41760.732997685183</v>
      </c>
      <c r="C1812">
        <v>80</v>
      </c>
      <c r="D1812">
        <v>74.714660644999995</v>
      </c>
      <c r="E1812">
        <v>50</v>
      </c>
      <c r="F1812">
        <v>49.898471831999998</v>
      </c>
      <c r="G1812">
        <v>1389.9456786999999</v>
      </c>
      <c r="H1812">
        <v>1373.7431641000001</v>
      </c>
      <c r="I1812">
        <v>1289.0267334</v>
      </c>
      <c r="J1812">
        <v>1269.9743652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1461.780665</v>
      </c>
      <c r="B1813" s="1">
        <f>DATE(2014,5,1) + TIME(18,44,9)</f>
        <v>41760.780659722222</v>
      </c>
      <c r="C1813">
        <v>80</v>
      </c>
      <c r="D1813">
        <v>75.058509826999995</v>
      </c>
      <c r="E1813">
        <v>50</v>
      </c>
      <c r="F1813">
        <v>49.894458770999996</v>
      </c>
      <c r="G1813">
        <v>1389.8151855000001</v>
      </c>
      <c r="H1813">
        <v>1373.6827393000001</v>
      </c>
      <c r="I1813">
        <v>1289.0262451000001</v>
      </c>
      <c r="J1813">
        <v>1269.9735106999999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1461.8302309999999</v>
      </c>
      <c r="B1814" s="1">
        <f>DATE(2014,5,1) + TIME(19,55,31)</f>
        <v>41760.83021990741</v>
      </c>
      <c r="C1814">
        <v>80</v>
      </c>
      <c r="D1814">
        <v>75.391578674000002</v>
      </c>
      <c r="E1814">
        <v>50</v>
      </c>
      <c r="F1814">
        <v>49.890331267999997</v>
      </c>
      <c r="G1814">
        <v>1389.6877440999999</v>
      </c>
      <c r="H1814">
        <v>1373.6230469</v>
      </c>
      <c r="I1814">
        <v>1289.0256348</v>
      </c>
      <c r="J1814">
        <v>1269.9725341999999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1461.8818630000001</v>
      </c>
      <c r="B1815" s="1">
        <f>DATE(2014,5,1) + TIME(21,9,52)</f>
        <v>41760.881851851853</v>
      </c>
      <c r="C1815">
        <v>80</v>
      </c>
      <c r="D1815">
        <v>75.714012146000002</v>
      </c>
      <c r="E1815">
        <v>50</v>
      </c>
      <c r="F1815">
        <v>49.886077880999999</v>
      </c>
      <c r="G1815">
        <v>1389.5631103999999</v>
      </c>
      <c r="H1815">
        <v>1373.5637207</v>
      </c>
      <c r="I1815">
        <v>1289.0250243999999</v>
      </c>
      <c r="J1815">
        <v>1269.9715576000001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1461.9357460000001</v>
      </c>
      <c r="B1816" s="1">
        <f>DATE(2014,5,1) + TIME(22,27,28)</f>
        <v>41760.935740740744</v>
      </c>
      <c r="C1816">
        <v>80</v>
      </c>
      <c r="D1816">
        <v>76.025772094999994</v>
      </c>
      <c r="E1816">
        <v>50</v>
      </c>
      <c r="F1816">
        <v>49.881687163999999</v>
      </c>
      <c r="G1816">
        <v>1389.4411620999999</v>
      </c>
      <c r="H1816">
        <v>1373.5048827999999</v>
      </c>
      <c r="I1816">
        <v>1289.0242920000001</v>
      </c>
      <c r="J1816">
        <v>1269.9705810999999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1461.9920910000001</v>
      </c>
      <c r="B1817" s="1">
        <f>DATE(2014,5,1) + TIME(23,48,36)</f>
        <v>41760.992083333331</v>
      </c>
      <c r="C1817">
        <v>80</v>
      </c>
      <c r="D1817">
        <v>76.326782226999995</v>
      </c>
      <c r="E1817">
        <v>50</v>
      </c>
      <c r="F1817">
        <v>49.877147675000003</v>
      </c>
      <c r="G1817">
        <v>1389.3215332</v>
      </c>
      <c r="H1817">
        <v>1373.4462891000001</v>
      </c>
      <c r="I1817">
        <v>1289.0235596</v>
      </c>
      <c r="J1817">
        <v>1269.9693603999999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1462.0511770000001</v>
      </c>
      <c r="B1818" s="1">
        <f>DATE(2014,5,2) + TIME(1,13,41)</f>
        <v>41761.051168981481</v>
      </c>
      <c r="C1818">
        <v>80</v>
      </c>
      <c r="D1818">
        <v>76.617141724000007</v>
      </c>
      <c r="E1818">
        <v>50</v>
      </c>
      <c r="F1818">
        <v>49.872440337999997</v>
      </c>
      <c r="G1818">
        <v>1389.2042236</v>
      </c>
      <c r="H1818">
        <v>1373.3878173999999</v>
      </c>
      <c r="I1818">
        <v>1289.0228271000001</v>
      </c>
      <c r="J1818">
        <v>1269.9682617000001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1462.1132580000001</v>
      </c>
      <c r="B1819" s="1">
        <f>DATE(2014,5,2) + TIME(2,43,5)</f>
        <v>41761.113252314812</v>
      </c>
      <c r="C1819">
        <v>80</v>
      </c>
      <c r="D1819">
        <v>76.896644592000001</v>
      </c>
      <c r="E1819">
        <v>50</v>
      </c>
      <c r="F1819">
        <v>49.867549896</v>
      </c>
      <c r="G1819">
        <v>1389.0888672000001</v>
      </c>
      <c r="H1819">
        <v>1373.3293457</v>
      </c>
      <c r="I1819">
        <v>1289.0220947</v>
      </c>
      <c r="J1819">
        <v>1269.9670410000001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1462.1786500000001</v>
      </c>
      <c r="B1820" s="1">
        <f>DATE(2014,5,2) + TIME(4,17,15)</f>
        <v>41761.17864583333</v>
      </c>
      <c r="C1820">
        <v>80</v>
      </c>
      <c r="D1820">
        <v>77.165153502999999</v>
      </c>
      <c r="E1820">
        <v>50</v>
      </c>
      <c r="F1820">
        <v>49.862457274999997</v>
      </c>
      <c r="G1820">
        <v>1388.9753418</v>
      </c>
      <c r="H1820">
        <v>1373.2707519999999</v>
      </c>
      <c r="I1820">
        <v>1289.0212402</v>
      </c>
      <c r="J1820">
        <v>1269.9656981999999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1462.2477289999999</v>
      </c>
      <c r="B1821" s="1">
        <f>DATE(2014,5,2) + TIME(5,56,43)</f>
        <v>41761.247719907406</v>
      </c>
      <c r="C1821">
        <v>80</v>
      </c>
      <c r="D1821">
        <v>77.422569275000001</v>
      </c>
      <c r="E1821">
        <v>50</v>
      </c>
      <c r="F1821">
        <v>49.857139586999999</v>
      </c>
      <c r="G1821">
        <v>1388.8635254000001</v>
      </c>
      <c r="H1821">
        <v>1373.2119141000001</v>
      </c>
      <c r="I1821">
        <v>1289.0202637</v>
      </c>
      <c r="J1821">
        <v>1269.9643555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1462.320937</v>
      </c>
      <c r="B1822" s="1">
        <f>DATE(2014,5,2) + TIME(7,42,8)</f>
        <v>41761.320925925924</v>
      </c>
      <c r="C1822">
        <v>80</v>
      </c>
      <c r="D1822">
        <v>77.668777465999995</v>
      </c>
      <c r="E1822">
        <v>50</v>
      </c>
      <c r="F1822">
        <v>49.851573944000002</v>
      </c>
      <c r="G1822">
        <v>1388.7531738</v>
      </c>
      <c r="H1822">
        <v>1373.1527100000001</v>
      </c>
      <c r="I1822">
        <v>1289.0192870999999</v>
      </c>
      <c r="J1822">
        <v>1269.9628906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1462.398786</v>
      </c>
      <c r="B1823" s="1">
        <f>DATE(2014,5,2) + TIME(9,34,15)</f>
        <v>41761.398784722223</v>
      </c>
      <c r="C1823">
        <v>80</v>
      </c>
      <c r="D1823">
        <v>77.903617858999993</v>
      </c>
      <c r="E1823">
        <v>50</v>
      </c>
      <c r="F1823">
        <v>49.845722197999997</v>
      </c>
      <c r="G1823">
        <v>1388.644043</v>
      </c>
      <c r="H1823">
        <v>1373.0928954999999</v>
      </c>
      <c r="I1823">
        <v>1289.0183105000001</v>
      </c>
      <c r="J1823">
        <v>1269.9613036999999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1462.4819010000001</v>
      </c>
      <c r="B1824" s="1">
        <f>DATE(2014,5,2) + TIME(11,33,56)</f>
        <v>41761.481898148151</v>
      </c>
      <c r="C1824">
        <v>80</v>
      </c>
      <c r="D1824">
        <v>78.126953125</v>
      </c>
      <c r="E1824">
        <v>50</v>
      </c>
      <c r="F1824">
        <v>49.839557648000003</v>
      </c>
      <c r="G1824">
        <v>1388.5357666</v>
      </c>
      <c r="H1824">
        <v>1373.0323486</v>
      </c>
      <c r="I1824">
        <v>1289.0170897999999</v>
      </c>
      <c r="J1824">
        <v>1269.9597168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1462.5710489999999</v>
      </c>
      <c r="B1825" s="1">
        <f>DATE(2014,5,2) + TIME(13,42,18)</f>
        <v>41761.57104166667</v>
      </c>
      <c r="C1825">
        <v>80</v>
      </c>
      <c r="D1825">
        <v>78.338661193999997</v>
      </c>
      <c r="E1825">
        <v>50</v>
      </c>
      <c r="F1825">
        <v>49.833026885999999</v>
      </c>
      <c r="G1825">
        <v>1388.4283447</v>
      </c>
      <c r="H1825">
        <v>1372.9708252</v>
      </c>
      <c r="I1825">
        <v>1289.0159911999999</v>
      </c>
      <c r="J1825">
        <v>1269.9580077999999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1462.667156</v>
      </c>
      <c r="B1826" s="1">
        <f>DATE(2014,5,2) + TIME(16,0,42)</f>
        <v>41761.66715277778</v>
      </c>
      <c r="C1826">
        <v>80</v>
      </c>
      <c r="D1826">
        <v>78.538566588999998</v>
      </c>
      <c r="E1826">
        <v>50</v>
      </c>
      <c r="F1826">
        <v>49.826076508</v>
      </c>
      <c r="G1826">
        <v>1388.3211670000001</v>
      </c>
      <c r="H1826">
        <v>1372.9080810999999</v>
      </c>
      <c r="I1826">
        <v>1289.0146483999999</v>
      </c>
      <c r="J1826">
        <v>1269.9560547000001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1462.7713759999999</v>
      </c>
      <c r="B1827" s="1">
        <f>DATE(2014,5,2) + TIME(18,30,46)</f>
        <v>41761.771365740744</v>
      </c>
      <c r="C1827">
        <v>80</v>
      </c>
      <c r="D1827">
        <v>78.726478576999995</v>
      </c>
      <c r="E1827">
        <v>50</v>
      </c>
      <c r="F1827">
        <v>49.818649292000003</v>
      </c>
      <c r="G1827">
        <v>1388.2139893000001</v>
      </c>
      <c r="H1827">
        <v>1372.8438721</v>
      </c>
      <c r="I1827">
        <v>1289.0133057</v>
      </c>
      <c r="J1827">
        <v>1269.9541016000001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1462.885178</v>
      </c>
      <c r="B1828" s="1">
        <f>DATE(2014,5,2) + TIME(21,14,39)</f>
        <v>41761.88517361111</v>
      </c>
      <c r="C1828">
        <v>80</v>
      </c>
      <c r="D1828">
        <v>78.902206421000002</v>
      </c>
      <c r="E1828">
        <v>50</v>
      </c>
      <c r="F1828">
        <v>49.810653686999999</v>
      </c>
      <c r="G1828">
        <v>1388.1065673999999</v>
      </c>
      <c r="H1828">
        <v>1372.777832</v>
      </c>
      <c r="I1828">
        <v>1289.0117187999999</v>
      </c>
      <c r="J1828">
        <v>1269.9519043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1463.00181</v>
      </c>
      <c r="B1829" s="1">
        <f>DATE(2014,5,3) + TIME(0,2,36)</f>
        <v>41762.001805555556</v>
      </c>
      <c r="C1829">
        <v>80</v>
      </c>
      <c r="D1829">
        <v>79.055923461999996</v>
      </c>
      <c r="E1829">
        <v>50</v>
      </c>
      <c r="F1829">
        <v>49.802516937</v>
      </c>
      <c r="G1829">
        <v>1388.0037841999999</v>
      </c>
      <c r="H1829">
        <v>1372.7125243999999</v>
      </c>
      <c r="I1829">
        <v>1289.0100098</v>
      </c>
      <c r="J1829">
        <v>1269.9495850000001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1463.1187749999999</v>
      </c>
      <c r="B1830" s="1">
        <f>DATE(2014,5,3) + TIME(2,51,2)</f>
        <v>41762.118773148148</v>
      </c>
      <c r="C1830">
        <v>80</v>
      </c>
      <c r="D1830">
        <v>79.187454224000007</v>
      </c>
      <c r="E1830">
        <v>50</v>
      </c>
      <c r="F1830">
        <v>49.794384002999998</v>
      </c>
      <c r="G1830">
        <v>1387.9074707</v>
      </c>
      <c r="H1830">
        <v>1372.6495361</v>
      </c>
      <c r="I1830">
        <v>1289.0083007999999</v>
      </c>
      <c r="J1830">
        <v>1269.9471435999999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1463.236531</v>
      </c>
      <c r="B1831" s="1">
        <f>DATE(2014,5,3) + TIME(5,40,36)</f>
        <v>41762.236527777779</v>
      </c>
      <c r="C1831">
        <v>80</v>
      </c>
      <c r="D1831">
        <v>79.300354003999999</v>
      </c>
      <c r="E1831">
        <v>50</v>
      </c>
      <c r="F1831">
        <v>49.786235808999997</v>
      </c>
      <c r="G1831">
        <v>1387.8168945</v>
      </c>
      <c r="H1831">
        <v>1372.5892334</v>
      </c>
      <c r="I1831">
        <v>1289.0064697</v>
      </c>
      <c r="J1831">
        <v>1269.9447021000001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1463.3553939999999</v>
      </c>
      <c r="B1832" s="1">
        <f>DATE(2014,5,3) + TIME(8,31,46)</f>
        <v>41762.355393518519</v>
      </c>
      <c r="C1832">
        <v>80</v>
      </c>
      <c r="D1832">
        <v>79.397384643999999</v>
      </c>
      <c r="E1832">
        <v>50</v>
      </c>
      <c r="F1832">
        <v>49.77804184</v>
      </c>
      <c r="G1832">
        <v>1387.7312012</v>
      </c>
      <c r="H1832">
        <v>1372.5311279</v>
      </c>
      <c r="I1832">
        <v>1289.0046387</v>
      </c>
      <c r="J1832">
        <v>1269.9422606999999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1463.4756729999999</v>
      </c>
      <c r="B1833" s="1">
        <f>DATE(2014,5,3) + TIME(11,24,58)</f>
        <v>41762.475671296299</v>
      </c>
      <c r="C1833">
        <v>80</v>
      </c>
      <c r="D1833">
        <v>79.480865479000002</v>
      </c>
      <c r="E1833">
        <v>50</v>
      </c>
      <c r="F1833">
        <v>49.769794464</v>
      </c>
      <c r="G1833">
        <v>1387.6497803</v>
      </c>
      <c r="H1833">
        <v>1372.4748535000001</v>
      </c>
      <c r="I1833">
        <v>1289.0028076000001</v>
      </c>
      <c r="J1833">
        <v>1269.9396973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1463.5976969999999</v>
      </c>
      <c r="B1834" s="1">
        <f>DATE(2014,5,3) + TIME(14,20,40)</f>
        <v>41762.597685185188</v>
      </c>
      <c r="C1834">
        <v>80</v>
      </c>
      <c r="D1834">
        <v>79.552726746000005</v>
      </c>
      <c r="E1834">
        <v>50</v>
      </c>
      <c r="F1834">
        <v>49.761466980000002</v>
      </c>
      <c r="G1834">
        <v>1387.5720214999999</v>
      </c>
      <c r="H1834">
        <v>1372.4202881000001</v>
      </c>
      <c r="I1834">
        <v>1289.0009766000001</v>
      </c>
      <c r="J1834">
        <v>1269.9372559000001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1463.7217700000001</v>
      </c>
      <c r="B1835" s="1">
        <f>DATE(2014,5,3) + TIME(17,19,20)</f>
        <v>41762.721759259257</v>
      </c>
      <c r="C1835">
        <v>80</v>
      </c>
      <c r="D1835">
        <v>79.614578246999997</v>
      </c>
      <c r="E1835">
        <v>50</v>
      </c>
      <c r="F1835">
        <v>49.753044127999999</v>
      </c>
      <c r="G1835">
        <v>1387.4974365</v>
      </c>
      <c r="H1835">
        <v>1372.3671875</v>
      </c>
      <c r="I1835">
        <v>1288.9991454999999</v>
      </c>
      <c r="J1835">
        <v>1269.9346923999999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1463.8481750000001</v>
      </c>
      <c r="B1836" s="1">
        <f>DATE(2014,5,3) + TIME(20,21,22)</f>
        <v>41762.848171296297</v>
      </c>
      <c r="C1836">
        <v>80</v>
      </c>
      <c r="D1836">
        <v>79.667785644999995</v>
      </c>
      <c r="E1836">
        <v>50</v>
      </c>
      <c r="F1836">
        <v>49.744506835999999</v>
      </c>
      <c r="G1836">
        <v>1387.4255370999999</v>
      </c>
      <c r="H1836">
        <v>1372.3153076000001</v>
      </c>
      <c r="I1836">
        <v>1288.9971923999999</v>
      </c>
      <c r="J1836">
        <v>1269.9320068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1463.977234</v>
      </c>
      <c r="B1837" s="1">
        <f>DATE(2014,5,3) + TIME(23,27,13)</f>
        <v>41762.977233796293</v>
      </c>
      <c r="C1837">
        <v>80</v>
      </c>
      <c r="D1837">
        <v>79.713523864999999</v>
      </c>
      <c r="E1837">
        <v>50</v>
      </c>
      <c r="F1837">
        <v>49.735839843999997</v>
      </c>
      <c r="G1837">
        <v>1387.3560791</v>
      </c>
      <c r="H1837">
        <v>1372.2645264</v>
      </c>
      <c r="I1837">
        <v>1288.9952393000001</v>
      </c>
      <c r="J1837">
        <v>1269.9294434000001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1464.109285</v>
      </c>
      <c r="B1838" s="1">
        <f>DATE(2014,5,4) + TIME(2,37,22)</f>
        <v>41763.109282407408</v>
      </c>
      <c r="C1838">
        <v>80</v>
      </c>
      <c r="D1838">
        <v>79.752784728999998</v>
      </c>
      <c r="E1838">
        <v>50</v>
      </c>
      <c r="F1838">
        <v>49.727016448999997</v>
      </c>
      <c r="G1838">
        <v>1387.2885742000001</v>
      </c>
      <c r="H1838">
        <v>1372.2145995999999</v>
      </c>
      <c r="I1838">
        <v>1288.9931641000001</v>
      </c>
      <c r="J1838">
        <v>1269.9266356999999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1464.244686</v>
      </c>
      <c r="B1839" s="1">
        <f>DATE(2014,5,4) + TIME(5,52,20)</f>
        <v>41763.244675925926</v>
      </c>
      <c r="C1839">
        <v>80</v>
      </c>
      <c r="D1839">
        <v>79.786445618000002</v>
      </c>
      <c r="E1839">
        <v>50</v>
      </c>
      <c r="F1839">
        <v>49.718025208</v>
      </c>
      <c r="G1839">
        <v>1387.2227783000001</v>
      </c>
      <c r="H1839">
        <v>1372.1655272999999</v>
      </c>
      <c r="I1839">
        <v>1288.9910889</v>
      </c>
      <c r="J1839">
        <v>1269.9239502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1464.383826</v>
      </c>
      <c r="B1840" s="1">
        <f>DATE(2014,5,4) + TIME(9,12,42)</f>
        <v>41763.383819444447</v>
      </c>
      <c r="C1840">
        <v>80</v>
      </c>
      <c r="D1840">
        <v>79.815238953000005</v>
      </c>
      <c r="E1840">
        <v>50</v>
      </c>
      <c r="F1840">
        <v>49.708839417</v>
      </c>
      <c r="G1840">
        <v>1387.1584473</v>
      </c>
      <c r="H1840">
        <v>1372.1170654</v>
      </c>
      <c r="I1840">
        <v>1288.9890137</v>
      </c>
      <c r="J1840">
        <v>1269.9210204999999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1464.5271250000001</v>
      </c>
      <c r="B1841" s="1">
        <f>DATE(2014,5,4) + TIME(12,39,3)</f>
        <v>41763.527118055557</v>
      </c>
      <c r="C1841">
        <v>80</v>
      </c>
      <c r="D1841">
        <v>79.839820861999996</v>
      </c>
      <c r="E1841">
        <v>50</v>
      </c>
      <c r="F1841">
        <v>49.699432373</v>
      </c>
      <c r="G1841">
        <v>1387.0953368999999</v>
      </c>
      <c r="H1841">
        <v>1372.0689697</v>
      </c>
      <c r="I1841">
        <v>1288.9868164</v>
      </c>
      <c r="J1841">
        <v>1269.9180908000001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1464.6750469999999</v>
      </c>
      <c r="B1842" s="1">
        <f>DATE(2014,5,4) + TIME(16,12,4)</f>
        <v>41763.675046296295</v>
      </c>
      <c r="C1842">
        <v>80</v>
      </c>
      <c r="D1842">
        <v>79.860748290999993</v>
      </c>
      <c r="E1842">
        <v>50</v>
      </c>
      <c r="F1842">
        <v>49.689781189000001</v>
      </c>
      <c r="G1842">
        <v>1387.0330810999999</v>
      </c>
      <c r="H1842">
        <v>1372.0214844</v>
      </c>
      <c r="I1842">
        <v>1288.9846190999999</v>
      </c>
      <c r="J1842">
        <v>1269.9150391000001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1464.8281059999999</v>
      </c>
      <c r="B1843" s="1">
        <f>DATE(2014,5,4) + TIME(19,52,28)</f>
        <v>41763.828101851854</v>
      </c>
      <c r="C1843">
        <v>80</v>
      </c>
      <c r="D1843">
        <v>79.878517150999997</v>
      </c>
      <c r="E1843">
        <v>50</v>
      </c>
      <c r="F1843">
        <v>49.679859161000003</v>
      </c>
      <c r="G1843">
        <v>1386.9716797000001</v>
      </c>
      <c r="H1843">
        <v>1371.9741211</v>
      </c>
      <c r="I1843">
        <v>1288.9822998</v>
      </c>
      <c r="J1843">
        <v>1269.9118652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1464.9869040000001</v>
      </c>
      <c r="B1844" s="1">
        <f>DATE(2014,5,4) + TIME(23,41,8)</f>
        <v>41763.986898148149</v>
      </c>
      <c r="C1844">
        <v>80</v>
      </c>
      <c r="D1844">
        <v>79.893547057999996</v>
      </c>
      <c r="E1844">
        <v>50</v>
      </c>
      <c r="F1844">
        <v>49.669628142999997</v>
      </c>
      <c r="G1844">
        <v>1386.9107666</v>
      </c>
      <c r="H1844">
        <v>1371.9268798999999</v>
      </c>
      <c r="I1844">
        <v>1288.9798584</v>
      </c>
      <c r="J1844">
        <v>1269.9086914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1465.152153</v>
      </c>
      <c r="B1845" s="1">
        <f>DATE(2014,5,5) + TIME(3,39,6)</f>
        <v>41764.15215277778</v>
      </c>
      <c r="C1845">
        <v>80</v>
      </c>
      <c r="D1845">
        <v>79.906219481999997</v>
      </c>
      <c r="E1845">
        <v>50</v>
      </c>
      <c r="F1845">
        <v>49.659053802000003</v>
      </c>
      <c r="G1845">
        <v>1386.8500977000001</v>
      </c>
      <c r="H1845">
        <v>1371.8796387</v>
      </c>
      <c r="I1845">
        <v>1288.9772949000001</v>
      </c>
      <c r="J1845">
        <v>1269.9052733999999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1465.3245159999999</v>
      </c>
      <c r="B1846" s="1">
        <f>DATE(2014,5,5) + TIME(7,47,18)</f>
        <v>41764.324513888889</v>
      </c>
      <c r="C1846">
        <v>80</v>
      </c>
      <c r="D1846">
        <v>79.916854857999994</v>
      </c>
      <c r="E1846">
        <v>50</v>
      </c>
      <c r="F1846">
        <v>49.648097991999997</v>
      </c>
      <c r="G1846">
        <v>1386.7894286999999</v>
      </c>
      <c r="H1846">
        <v>1371.8321533000001</v>
      </c>
      <c r="I1846">
        <v>1288.9747314000001</v>
      </c>
      <c r="J1846">
        <v>1269.9017334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1465.5043410000001</v>
      </c>
      <c r="B1847" s="1">
        <f>DATE(2014,5,5) + TIME(12,6,15)</f>
        <v>41764.504340277781</v>
      </c>
      <c r="C1847">
        <v>80</v>
      </c>
      <c r="D1847">
        <v>79.925712584999999</v>
      </c>
      <c r="E1847">
        <v>50</v>
      </c>
      <c r="F1847">
        <v>49.636745453000003</v>
      </c>
      <c r="G1847">
        <v>1386.7287598</v>
      </c>
      <c r="H1847">
        <v>1371.7845459</v>
      </c>
      <c r="I1847">
        <v>1288.9719238</v>
      </c>
      <c r="J1847">
        <v>1269.8980713000001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1465.6904609999999</v>
      </c>
      <c r="B1848" s="1">
        <f>DATE(2014,5,5) + TIME(16,34,15)</f>
        <v>41764.690451388888</v>
      </c>
      <c r="C1848">
        <v>80</v>
      </c>
      <c r="D1848">
        <v>79.932998656999999</v>
      </c>
      <c r="E1848">
        <v>50</v>
      </c>
      <c r="F1848">
        <v>49.625049591</v>
      </c>
      <c r="G1848">
        <v>1386.6679687999999</v>
      </c>
      <c r="H1848">
        <v>1371.7366943</v>
      </c>
      <c r="I1848">
        <v>1288.9691161999999</v>
      </c>
      <c r="J1848">
        <v>1269.8941649999999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1465.883611</v>
      </c>
      <c r="B1849" s="1">
        <f>DATE(2014,5,5) + TIME(21,12,23)</f>
        <v>41764.883599537039</v>
      </c>
      <c r="C1849">
        <v>80</v>
      </c>
      <c r="D1849">
        <v>79.938964843999997</v>
      </c>
      <c r="E1849">
        <v>50</v>
      </c>
      <c r="F1849">
        <v>49.612976074000002</v>
      </c>
      <c r="G1849">
        <v>1386.6074219</v>
      </c>
      <c r="H1849">
        <v>1371.6888428</v>
      </c>
      <c r="I1849">
        <v>1288.9660644999999</v>
      </c>
      <c r="J1849">
        <v>1269.8902588000001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1466.084619</v>
      </c>
      <c r="B1850" s="1">
        <f>DATE(2014,5,6) + TIME(2,1,51)</f>
        <v>41765.084618055553</v>
      </c>
      <c r="C1850">
        <v>80</v>
      </c>
      <c r="D1850">
        <v>79.943840026999993</v>
      </c>
      <c r="E1850">
        <v>50</v>
      </c>
      <c r="F1850">
        <v>49.600486754999999</v>
      </c>
      <c r="G1850">
        <v>1386.546875</v>
      </c>
      <c r="H1850">
        <v>1371.6408690999999</v>
      </c>
      <c r="I1850">
        <v>1288.9630127</v>
      </c>
      <c r="J1850">
        <v>1269.8861084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1466.2943029999999</v>
      </c>
      <c r="B1851" s="1">
        <f>DATE(2014,5,6) + TIME(7,3,47)</f>
        <v>41765.294293981482</v>
      </c>
      <c r="C1851">
        <v>80</v>
      </c>
      <c r="D1851">
        <v>79.947799683</v>
      </c>
      <c r="E1851">
        <v>50</v>
      </c>
      <c r="F1851">
        <v>49.587532043000003</v>
      </c>
      <c r="G1851">
        <v>1386.4860839999999</v>
      </c>
      <c r="H1851">
        <v>1371.5927733999999</v>
      </c>
      <c r="I1851">
        <v>1288.9597168</v>
      </c>
      <c r="J1851">
        <v>1269.8817139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1466.5135889999999</v>
      </c>
      <c r="B1852" s="1">
        <f>DATE(2014,5,6) + TIME(12,19,34)</f>
        <v>41765.51358796296</v>
      </c>
      <c r="C1852">
        <v>80</v>
      </c>
      <c r="D1852">
        <v>79.951011657999999</v>
      </c>
      <c r="E1852">
        <v>50</v>
      </c>
      <c r="F1852">
        <v>49.574073792</v>
      </c>
      <c r="G1852">
        <v>1386.4249268000001</v>
      </c>
      <c r="H1852">
        <v>1371.5443115</v>
      </c>
      <c r="I1852">
        <v>1288.9564209</v>
      </c>
      <c r="J1852">
        <v>1269.8771973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1466.743596</v>
      </c>
      <c r="B1853" s="1">
        <f>DATE(2014,5,6) + TIME(17,50,46)</f>
        <v>41765.743587962963</v>
      </c>
      <c r="C1853">
        <v>80</v>
      </c>
      <c r="D1853">
        <v>79.953590392999999</v>
      </c>
      <c r="E1853">
        <v>50</v>
      </c>
      <c r="F1853">
        <v>49.560050963999998</v>
      </c>
      <c r="G1853">
        <v>1386.3632812000001</v>
      </c>
      <c r="H1853">
        <v>1371.4953613</v>
      </c>
      <c r="I1853">
        <v>1288.9528809000001</v>
      </c>
      <c r="J1853">
        <v>1269.8725586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1466.9833000000001</v>
      </c>
      <c r="B1854" s="1">
        <f>DATE(2014,5,6) + TIME(23,35,57)</f>
        <v>41765.983298611114</v>
      </c>
      <c r="C1854">
        <v>80</v>
      </c>
      <c r="D1854">
        <v>79.955650329999997</v>
      </c>
      <c r="E1854">
        <v>50</v>
      </c>
      <c r="F1854">
        <v>49.545513153000002</v>
      </c>
      <c r="G1854">
        <v>1386.3007812000001</v>
      </c>
      <c r="H1854">
        <v>1371.4459228999999</v>
      </c>
      <c r="I1854">
        <v>1288.9490966999999</v>
      </c>
      <c r="J1854">
        <v>1269.8675536999999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1467.2242429999999</v>
      </c>
      <c r="B1855" s="1">
        <f>DATE(2014,5,7) + TIME(5,22,54)</f>
        <v>41766.224236111113</v>
      </c>
      <c r="C1855">
        <v>80</v>
      </c>
      <c r="D1855">
        <v>79.957237243999998</v>
      </c>
      <c r="E1855">
        <v>50</v>
      </c>
      <c r="F1855">
        <v>49.530849457000002</v>
      </c>
      <c r="G1855">
        <v>1386.2380370999999</v>
      </c>
      <c r="H1855">
        <v>1371.3961182</v>
      </c>
      <c r="I1855">
        <v>1288.9451904</v>
      </c>
      <c r="J1855">
        <v>1269.8624268000001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1467.467169</v>
      </c>
      <c r="B1856" s="1">
        <f>DATE(2014,5,7) + TIME(11,12,43)</f>
        <v>41766.467164351852</v>
      </c>
      <c r="C1856">
        <v>80</v>
      </c>
      <c r="D1856">
        <v>79.958465575999995</v>
      </c>
      <c r="E1856">
        <v>50</v>
      </c>
      <c r="F1856">
        <v>49.516056061</v>
      </c>
      <c r="G1856">
        <v>1386.177124</v>
      </c>
      <c r="H1856">
        <v>1371.3476562000001</v>
      </c>
      <c r="I1856">
        <v>1288.9411620999999</v>
      </c>
      <c r="J1856">
        <v>1269.8572998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1467.7128</v>
      </c>
      <c r="B1857" s="1">
        <f>DATE(2014,5,7) + TIME(17,6,25)</f>
        <v>41766.712789351855</v>
      </c>
      <c r="C1857">
        <v>80</v>
      </c>
      <c r="D1857">
        <v>79.959419249999996</v>
      </c>
      <c r="E1857">
        <v>50</v>
      </c>
      <c r="F1857">
        <v>49.501113891999999</v>
      </c>
      <c r="G1857">
        <v>1386.1175536999999</v>
      </c>
      <c r="H1857">
        <v>1371.3005370999999</v>
      </c>
      <c r="I1857">
        <v>1288.9371338000001</v>
      </c>
      <c r="J1857">
        <v>1269.8520507999999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1467.9618519999999</v>
      </c>
      <c r="B1858" s="1">
        <f>DATE(2014,5,7) + TIME(23,5,3)</f>
        <v>41766.961840277778</v>
      </c>
      <c r="C1858">
        <v>80</v>
      </c>
      <c r="D1858">
        <v>79.960174561000002</v>
      </c>
      <c r="E1858">
        <v>50</v>
      </c>
      <c r="F1858">
        <v>49.485996245999999</v>
      </c>
      <c r="G1858">
        <v>1386.0592041</v>
      </c>
      <c r="H1858">
        <v>1371.2542725000001</v>
      </c>
      <c r="I1858">
        <v>1288.9331055</v>
      </c>
      <c r="J1858">
        <v>1269.8466797000001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1468.2150449999999</v>
      </c>
      <c r="B1859" s="1">
        <f>DATE(2014,5,8) + TIME(5,9,39)</f>
        <v>41767.21503472222</v>
      </c>
      <c r="C1859">
        <v>80</v>
      </c>
      <c r="D1859">
        <v>79.960769653</v>
      </c>
      <c r="E1859">
        <v>50</v>
      </c>
      <c r="F1859">
        <v>49.470680237000003</v>
      </c>
      <c r="G1859">
        <v>1386.0018310999999</v>
      </c>
      <c r="H1859">
        <v>1371.2088623</v>
      </c>
      <c r="I1859">
        <v>1288.9290771000001</v>
      </c>
      <c r="J1859">
        <v>1269.8413086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1468.4731220000001</v>
      </c>
      <c r="B1860" s="1">
        <f>DATE(2014,5,8) + TIME(11,21,17)</f>
        <v>41767.473113425927</v>
      </c>
      <c r="C1860">
        <v>80</v>
      </c>
      <c r="D1860">
        <v>79.961235045999999</v>
      </c>
      <c r="E1860">
        <v>50</v>
      </c>
      <c r="F1860">
        <v>49.455131530999999</v>
      </c>
      <c r="G1860">
        <v>1385.9451904</v>
      </c>
      <c r="H1860">
        <v>1371.1641846</v>
      </c>
      <c r="I1860">
        <v>1288.9249268000001</v>
      </c>
      <c r="J1860">
        <v>1269.8358154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1468.736866</v>
      </c>
      <c r="B1861" s="1">
        <f>DATE(2014,5,8) + TIME(17,41,5)</f>
        <v>41767.736863425926</v>
      </c>
      <c r="C1861">
        <v>80</v>
      </c>
      <c r="D1861">
        <v>79.961608886999997</v>
      </c>
      <c r="E1861">
        <v>50</v>
      </c>
      <c r="F1861">
        <v>49.439319611000002</v>
      </c>
      <c r="G1861">
        <v>1385.8890381000001</v>
      </c>
      <c r="H1861">
        <v>1371.1198730000001</v>
      </c>
      <c r="I1861">
        <v>1288.9206543</v>
      </c>
      <c r="J1861">
        <v>1269.8302002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1469.0071109999999</v>
      </c>
      <c r="B1862" s="1">
        <f>DATE(2014,5,9) + TIME(0,10,14)</f>
        <v>41768.007106481484</v>
      </c>
      <c r="C1862">
        <v>80</v>
      </c>
      <c r="D1862">
        <v>79.961914062000005</v>
      </c>
      <c r="E1862">
        <v>50</v>
      </c>
      <c r="F1862">
        <v>49.423202515</v>
      </c>
      <c r="G1862">
        <v>1385.833374</v>
      </c>
      <c r="H1862">
        <v>1371.0759277</v>
      </c>
      <c r="I1862">
        <v>1288.9162598</v>
      </c>
      <c r="J1862">
        <v>1269.8245850000001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1469.284762</v>
      </c>
      <c r="B1863" s="1">
        <f>DATE(2014,5,9) + TIME(6,50,3)</f>
        <v>41768.284756944442</v>
      </c>
      <c r="C1863">
        <v>80</v>
      </c>
      <c r="D1863">
        <v>79.962150574000006</v>
      </c>
      <c r="E1863">
        <v>50</v>
      </c>
      <c r="F1863">
        <v>49.406738281000003</v>
      </c>
      <c r="G1863">
        <v>1385.777832</v>
      </c>
      <c r="H1863">
        <v>1371.0321045000001</v>
      </c>
      <c r="I1863">
        <v>1288.9118652</v>
      </c>
      <c r="J1863">
        <v>1269.8186035000001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1469.570935</v>
      </c>
      <c r="B1864" s="1">
        <f>DATE(2014,5,9) + TIME(13,42,8)</f>
        <v>41768.570925925924</v>
      </c>
      <c r="C1864">
        <v>80</v>
      </c>
      <c r="D1864">
        <v>79.962348938000005</v>
      </c>
      <c r="E1864">
        <v>50</v>
      </c>
      <c r="F1864">
        <v>49.389877319</v>
      </c>
      <c r="G1864">
        <v>1385.7224120999999</v>
      </c>
      <c r="H1864">
        <v>1370.9884033000001</v>
      </c>
      <c r="I1864">
        <v>1288.9072266000001</v>
      </c>
      <c r="J1864">
        <v>1269.8126221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1469.865865</v>
      </c>
      <c r="B1865" s="1">
        <f>DATE(2014,5,9) + TIME(20,46,50)</f>
        <v>41768.865856481483</v>
      </c>
      <c r="C1865">
        <v>80</v>
      </c>
      <c r="D1865">
        <v>79.962509155000006</v>
      </c>
      <c r="E1865">
        <v>50</v>
      </c>
      <c r="F1865">
        <v>49.372596741000002</v>
      </c>
      <c r="G1865">
        <v>1385.6667480000001</v>
      </c>
      <c r="H1865">
        <v>1370.9447021000001</v>
      </c>
      <c r="I1865">
        <v>1288.9025879000001</v>
      </c>
      <c r="J1865">
        <v>1269.8063964999999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1470.166606</v>
      </c>
      <c r="B1866" s="1">
        <f>DATE(2014,5,10) + TIME(3,59,54)</f>
        <v>41769.166597222225</v>
      </c>
      <c r="C1866">
        <v>80</v>
      </c>
      <c r="D1866">
        <v>79.962631225999999</v>
      </c>
      <c r="E1866">
        <v>50</v>
      </c>
      <c r="F1866">
        <v>49.355026244999998</v>
      </c>
      <c r="G1866">
        <v>1385.6108397999999</v>
      </c>
      <c r="H1866">
        <v>1370.9007568</v>
      </c>
      <c r="I1866">
        <v>1288.8975829999999</v>
      </c>
      <c r="J1866">
        <v>1269.7999268000001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1470.473984</v>
      </c>
      <c r="B1867" s="1">
        <f>DATE(2014,5,10) + TIME(11,22,32)</f>
        <v>41769.473981481482</v>
      </c>
      <c r="C1867">
        <v>80</v>
      </c>
      <c r="D1867">
        <v>79.962738036999994</v>
      </c>
      <c r="E1867">
        <v>50</v>
      </c>
      <c r="F1867">
        <v>49.337131499999998</v>
      </c>
      <c r="G1867">
        <v>1385.5554199000001</v>
      </c>
      <c r="H1867">
        <v>1370.8572998</v>
      </c>
      <c r="I1867">
        <v>1288.8925781</v>
      </c>
      <c r="J1867">
        <v>1269.793457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1470.788824</v>
      </c>
      <c r="B1868" s="1">
        <f>DATE(2014,5,10) + TIME(18,55,54)</f>
        <v>41769.788819444446</v>
      </c>
      <c r="C1868">
        <v>80</v>
      </c>
      <c r="D1868">
        <v>79.962814331000004</v>
      </c>
      <c r="E1868">
        <v>50</v>
      </c>
      <c r="F1868">
        <v>49.318885803000001</v>
      </c>
      <c r="G1868">
        <v>1385.5002440999999</v>
      </c>
      <c r="H1868">
        <v>1370.8139647999999</v>
      </c>
      <c r="I1868">
        <v>1288.8875731999999</v>
      </c>
      <c r="J1868">
        <v>1269.7867432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1471.112024</v>
      </c>
      <c r="B1869" s="1">
        <f>DATE(2014,5,11) + TIME(2,41,18)</f>
        <v>41770.112013888887</v>
      </c>
      <c r="C1869">
        <v>80</v>
      </c>
      <c r="D1869">
        <v>79.962882996000005</v>
      </c>
      <c r="E1869">
        <v>50</v>
      </c>
      <c r="F1869">
        <v>49.300251007</v>
      </c>
      <c r="G1869">
        <v>1385.4451904</v>
      </c>
      <c r="H1869">
        <v>1370.770874</v>
      </c>
      <c r="I1869">
        <v>1288.8823242000001</v>
      </c>
      <c r="J1869">
        <v>1269.7797852000001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1471.444569</v>
      </c>
      <c r="B1870" s="1">
        <f>DATE(2014,5,11) + TIME(10,40,10)</f>
        <v>41770.444560185184</v>
      </c>
      <c r="C1870">
        <v>80</v>
      </c>
      <c r="D1870">
        <v>79.962936400999993</v>
      </c>
      <c r="E1870">
        <v>50</v>
      </c>
      <c r="F1870">
        <v>49.281181334999999</v>
      </c>
      <c r="G1870">
        <v>1385.3901367000001</v>
      </c>
      <c r="H1870">
        <v>1370.7277832</v>
      </c>
      <c r="I1870">
        <v>1288.8768310999999</v>
      </c>
      <c r="J1870">
        <v>1269.7727050999999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1471.787558</v>
      </c>
      <c r="B1871" s="1">
        <f>DATE(2014,5,11) + TIME(18,54,4)</f>
        <v>41770.787546296298</v>
      </c>
      <c r="C1871">
        <v>80</v>
      </c>
      <c r="D1871">
        <v>79.962974548000005</v>
      </c>
      <c r="E1871">
        <v>50</v>
      </c>
      <c r="F1871">
        <v>49.261631012000002</v>
      </c>
      <c r="G1871">
        <v>1385.3349608999999</v>
      </c>
      <c r="H1871">
        <v>1370.6845702999999</v>
      </c>
      <c r="I1871">
        <v>1288.8713379000001</v>
      </c>
      <c r="J1871">
        <v>1269.7653809000001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1472.142417</v>
      </c>
      <c r="B1872" s="1">
        <f>DATE(2014,5,12) + TIME(3,25,4)</f>
        <v>41771.142407407409</v>
      </c>
      <c r="C1872">
        <v>80</v>
      </c>
      <c r="D1872">
        <v>79.963005065999994</v>
      </c>
      <c r="E1872">
        <v>50</v>
      </c>
      <c r="F1872">
        <v>49.241531371999997</v>
      </c>
      <c r="G1872">
        <v>1385.2794189000001</v>
      </c>
      <c r="H1872">
        <v>1370.6411132999999</v>
      </c>
      <c r="I1872">
        <v>1288.8656006000001</v>
      </c>
      <c r="J1872">
        <v>1269.7579346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1472.510417</v>
      </c>
      <c r="B1873" s="1">
        <f>DATE(2014,5,12) + TIME(12,14,59)</f>
        <v>41771.510405092595</v>
      </c>
      <c r="C1873">
        <v>80</v>
      </c>
      <c r="D1873">
        <v>79.963027953999998</v>
      </c>
      <c r="E1873">
        <v>50</v>
      </c>
      <c r="F1873">
        <v>49.220829010000003</v>
      </c>
      <c r="G1873">
        <v>1385.2233887</v>
      </c>
      <c r="H1873">
        <v>1370.5974120999999</v>
      </c>
      <c r="I1873">
        <v>1288.8596190999999</v>
      </c>
      <c r="J1873">
        <v>1269.7501221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1472.892276</v>
      </c>
      <c r="B1874" s="1">
        <f>DATE(2014,5,12) + TIME(21,24,52)</f>
        <v>41771.892268518517</v>
      </c>
      <c r="C1874">
        <v>80</v>
      </c>
      <c r="D1874">
        <v>79.963043213000006</v>
      </c>
      <c r="E1874">
        <v>50</v>
      </c>
      <c r="F1874">
        <v>49.199485779</v>
      </c>
      <c r="G1874">
        <v>1385.1667480000001</v>
      </c>
      <c r="H1874">
        <v>1370.5531006000001</v>
      </c>
      <c r="I1874">
        <v>1288.8535156</v>
      </c>
      <c r="J1874">
        <v>1269.7419434000001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1473.2765460000001</v>
      </c>
      <c r="B1875" s="1">
        <f>DATE(2014,5,13) + TIME(6,38,13)</f>
        <v>41772.276539351849</v>
      </c>
      <c r="C1875">
        <v>80</v>
      </c>
      <c r="D1875">
        <v>79.963058472</v>
      </c>
      <c r="E1875">
        <v>50</v>
      </c>
      <c r="F1875">
        <v>49.177921294999997</v>
      </c>
      <c r="G1875">
        <v>1385.109375</v>
      </c>
      <c r="H1875">
        <v>1370.5084228999999</v>
      </c>
      <c r="I1875">
        <v>1288.8470459</v>
      </c>
      <c r="J1875">
        <v>1269.7335204999999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1473.6643690000001</v>
      </c>
      <c r="B1876" s="1">
        <f>DATE(2014,5,13) + TIME(15,56,41)</f>
        <v>41772.664363425924</v>
      </c>
      <c r="C1876">
        <v>80</v>
      </c>
      <c r="D1876">
        <v>79.963058472</v>
      </c>
      <c r="E1876">
        <v>50</v>
      </c>
      <c r="F1876">
        <v>49.156154633</v>
      </c>
      <c r="G1876">
        <v>1385.0532227000001</v>
      </c>
      <c r="H1876">
        <v>1370.4645995999999</v>
      </c>
      <c r="I1876">
        <v>1288.8404541</v>
      </c>
      <c r="J1876">
        <v>1269.7250977000001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1474.0568350000001</v>
      </c>
      <c r="B1877" s="1">
        <f>DATE(2014,5,14) + TIME(1,21,50)</f>
        <v>41773.056828703702</v>
      </c>
      <c r="C1877">
        <v>80</v>
      </c>
      <c r="D1877">
        <v>79.963058472</v>
      </c>
      <c r="E1877">
        <v>50</v>
      </c>
      <c r="F1877">
        <v>49.134170531999999</v>
      </c>
      <c r="G1877">
        <v>1384.9978027</v>
      </c>
      <c r="H1877">
        <v>1370.4215088000001</v>
      </c>
      <c r="I1877">
        <v>1288.8338623</v>
      </c>
      <c r="J1877">
        <v>1269.7164307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1474.45505</v>
      </c>
      <c r="B1878" s="1">
        <f>DATE(2014,5,14) + TIME(10,55,16)</f>
        <v>41773.455046296294</v>
      </c>
      <c r="C1878">
        <v>80</v>
      </c>
      <c r="D1878">
        <v>79.963058472</v>
      </c>
      <c r="E1878">
        <v>50</v>
      </c>
      <c r="F1878">
        <v>49.111946105999998</v>
      </c>
      <c r="G1878">
        <v>1384.9432373</v>
      </c>
      <c r="H1878">
        <v>1370.3789062000001</v>
      </c>
      <c r="I1878">
        <v>1288.8272704999999</v>
      </c>
      <c r="J1878">
        <v>1269.7077637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1474.860154</v>
      </c>
      <c r="B1879" s="1">
        <f>DATE(2014,5,14) + TIME(20,38,37)</f>
        <v>41773.860150462962</v>
      </c>
      <c r="C1879">
        <v>80</v>
      </c>
      <c r="D1879">
        <v>79.963050842000001</v>
      </c>
      <c r="E1879">
        <v>50</v>
      </c>
      <c r="F1879">
        <v>49.089443207000002</v>
      </c>
      <c r="G1879">
        <v>1384.8890381000001</v>
      </c>
      <c r="H1879">
        <v>1370.3367920000001</v>
      </c>
      <c r="I1879">
        <v>1288.8204346</v>
      </c>
      <c r="J1879">
        <v>1269.6988524999999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1475.2733370000001</v>
      </c>
      <c r="B1880" s="1">
        <f>DATE(2014,5,15) + TIME(6,33,36)</f>
        <v>41774.273333333331</v>
      </c>
      <c r="C1880">
        <v>80</v>
      </c>
      <c r="D1880">
        <v>79.963043213000006</v>
      </c>
      <c r="E1880">
        <v>50</v>
      </c>
      <c r="F1880">
        <v>49.066619873</v>
      </c>
      <c r="G1880">
        <v>1384.8352050999999</v>
      </c>
      <c r="H1880">
        <v>1370.2949219</v>
      </c>
      <c r="I1880">
        <v>1288.8134766000001</v>
      </c>
      <c r="J1880">
        <v>1269.6898193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1475.695868</v>
      </c>
      <c r="B1881" s="1">
        <f>DATE(2014,5,15) + TIME(16,42,2)</f>
        <v>41774.695856481485</v>
      </c>
      <c r="C1881">
        <v>80</v>
      </c>
      <c r="D1881">
        <v>79.963035583000007</v>
      </c>
      <c r="E1881">
        <v>50</v>
      </c>
      <c r="F1881">
        <v>49.043418883999998</v>
      </c>
      <c r="G1881">
        <v>1384.7814940999999</v>
      </c>
      <c r="H1881">
        <v>1370.2531738</v>
      </c>
      <c r="I1881">
        <v>1288.8065185999999</v>
      </c>
      <c r="J1881">
        <v>1269.6806641000001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1476.1291180000001</v>
      </c>
      <c r="B1882" s="1">
        <f>DATE(2014,5,16) + TIME(3,5,55)</f>
        <v>41775.129108796296</v>
      </c>
      <c r="C1882">
        <v>80</v>
      </c>
      <c r="D1882">
        <v>79.963027953999998</v>
      </c>
      <c r="E1882">
        <v>50</v>
      </c>
      <c r="F1882">
        <v>49.019786834999998</v>
      </c>
      <c r="G1882">
        <v>1384.7277832</v>
      </c>
      <c r="H1882">
        <v>1370.2114257999999</v>
      </c>
      <c r="I1882">
        <v>1288.7991943</v>
      </c>
      <c r="J1882">
        <v>1269.6711425999999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1476.574595</v>
      </c>
      <c r="B1883" s="1">
        <f>DATE(2014,5,16) + TIME(13,47,25)</f>
        <v>41775.574594907404</v>
      </c>
      <c r="C1883">
        <v>80</v>
      </c>
      <c r="D1883">
        <v>79.963012695000003</v>
      </c>
      <c r="E1883">
        <v>50</v>
      </c>
      <c r="F1883">
        <v>48.995651244999998</v>
      </c>
      <c r="G1883">
        <v>1384.6740723</v>
      </c>
      <c r="H1883">
        <v>1370.1696777</v>
      </c>
      <c r="I1883">
        <v>1288.7917480000001</v>
      </c>
      <c r="J1883">
        <v>1269.6613769999999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1477.0342900000001</v>
      </c>
      <c r="B1884" s="1">
        <f>DATE(2014,5,17) + TIME(0,49,22)</f>
        <v>41776.034282407411</v>
      </c>
      <c r="C1884">
        <v>80</v>
      </c>
      <c r="D1884">
        <v>79.963005065999994</v>
      </c>
      <c r="E1884">
        <v>50</v>
      </c>
      <c r="F1884">
        <v>48.970932007000002</v>
      </c>
      <c r="G1884">
        <v>1384.6199951000001</v>
      </c>
      <c r="H1884">
        <v>1370.1276855000001</v>
      </c>
      <c r="I1884">
        <v>1288.7841797000001</v>
      </c>
      <c r="J1884">
        <v>1269.6513672000001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1477.5032180000001</v>
      </c>
      <c r="B1885" s="1">
        <f>DATE(2014,5,17) + TIME(12,4,38)</f>
        <v>41776.503217592595</v>
      </c>
      <c r="C1885">
        <v>80</v>
      </c>
      <c r="D1885">
        <v>79.962989807</v>
      </c>
      <c r="E1885">
        <v>50</v>
      </c>
      <c r="F1885">
        <v>48.945774077999999</v>
      </c>
      <c r="G1885">
        <v>1384.5654297000001</v>
      </c>
      <c r="H1885">
        <v>1370.0852050999999</v>
      </c>
      <c r="I1885">
        <v>1288.7762451000001</v>
      </c>
      <c r="J1885">
        <v>1269.6409911999999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1477.9819480000001</v>
      </c>
      <c r="B1886" s="1">
        <f>DATE(2014,5,17) + TIME(23,34,0)</f>
        <v>41776.981944444444</v>
      </c>
      <c r="C1886">
        <v>80</v>
      </c>
      <c r="D1886">
        <v>79.962974548000005</v>
      </c>
      <c r="E1886">
        <v>50</v>
      </c>
      <c r="F1886">
        <v>48.920185089</v>
      </c>
      <c r="G1886">
        <v>1384.5109863</v>
      </c>
      <c r="H1886">
        <v>1370.0429687999999</v>
      </c>
      <c r="I1886">
        <v>1288.7680664</v>
      </c>
      <c r="J1886">
        <v>1269.6303711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1478.468306</v>
      </c>
      <c r="B1887" s="1">
        <f>DATE(2014,5,18) + TIME(11,14,21)</f>
        <v>41777.468298611115</v>
      </c>
      <c r="C1887">
        <v>80</v>
      </c>
      <c r="D1887">
        <v>79.962959290000001</v>
      </c>
      <c r="E1887">
        <v>50</v>
      </c>
      <c r="F1887">
        <v>48.894241332999997</v>
      </c>
      <c r="G1887">
        <v>1384.456543</v>
      </c>
      <c r="H1887">
        <v>1370.0007324000001</v>
      </c>
      <c r="I1887">
        <v>1288.7597656</v>
      </c>
      <c r="J1887">
        <v>1269.6193848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1478.963546</v>
      </c>
      <c r="B1888" s="1">
        <f>DATE(2014,5,18) + TIME(23,7,30)</f>
        <v>41777.963541666664</v>
      </c>
      <c r="C1888">
        <v>80</v>
      </c>
      <c r="D1888">
        <v>79.962944031000006</v>
      </c>
      <c r="E1888">
        <v>50</v>
      </c>
      <c r="F1888">
        <v>48.867931366000001</v>
      </c>
      <c r="G1888">
        <v>1384.4025879000001</v>
      </c>
      <c r="H1888">
        <v>1369.9588623</v>
      </c>
      <c r="I1888">
        <v>1288.7512207</v>
      </c>
      <c r="J1888">
        <v>1269.6082764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1479.4689530000001</v>
      </c>
      <c r="B1889" s="1">
        <f>DATE(2014,5,19) + TIME(11,15,17)</f>
        <v>41778.468946759262</v>
      </c>
      <c r="C1889">
        <v>80</v>
      </c>
      <c r="D1889">
        <v>79.962928771999998</v>
      </c>
      <c r="E1889">
        <v>50</v>
      </c>
      <c r="F1889">
        <v>48.841213226000001</v>
      </c>
      <c r="G1889">
        <v>1384.3487548999999</v>
      </c>
      <c r="H1889">
        <v>1369.9169922000001</v>
      </c>
      <c r="I1889">
        <v>1288.7425536999999</v>
      </c>
      <c r="J1889">
        <v>1269.5970459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1479.985909</v>
      </c>
      <c r="B1890" s="1">
        <f>DATE(2014,5,19) + TIME(23,39,42)</f>
        <v>41778.985902777778</v>
      </c>
      <c r="C1890">
        <v>80</v>
      </c>
      <c r="D1890">
        <v>79.962913513000004</v>
      </c>
      <c r="E1890">
        <v>50</v>
      </c>
      <c r="F1890">
        <v>48.814044952000003</v>
      </c>
      <c r="G1890">
        <v>1384.2949219</v>
      </c>
      <c r="H1890">
        <v>1369.8752440999999</v>
      </c>
      <c r="I1890">
        <v>1288.7336425999999</v>
      </c>
      <c r="J1890">
        <v>1269.5853271000001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1480.511626</v>
      </c>
      <c r="B1891" s="1">
        <f>DATE(2014,5,20) + TIME(12,16,44)</f>
        <v>41779.511620370373</v>
      </c>
      <c r="C1891">
        <v>80</v>
      </c>
      <c r="D1891">
        <v>79.962898253999995</v>
      </c>
      <c r="E1891">
        <v>50</v>
      </c>
      <c r="F1891">
        <v>48.786506653000004</v>
      </c>
      <c r="G1891">
        <v>1384.2410889</v>
      </c>
      <c r="H1891">
        <v>1369.8334961</v>
      </c>
      <c r="I1891">
        <v>1288.7246094</v>
      </c>
      <c r="J1891">
        <v>1269.5734863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1481.043171</v>
      </c>
      <c r="B1892" s="1">
        <f>DATE(2014,5,21) + TIME(1,2,10)</f>
        <v>41780.043171296296</v>
      </c>
      <c r="C1892">
        <v>80</v>
      </c>
      <c r="D1892">
        <v>79.962882996000005</v>
      </c>
      <c r="E1892">
        <v>50</v>
      </c>
      <c r="F1892">
        <v>48.758708953999999</v>
      </c>
      <c r="G1892">
        <v>1384.1873779</v>
      </c>
      <c r="H1892">
        <v>1369.7918701000001</v>
      </c>
      <c r="I1892">
        <v>1288.7152100000001</v>
      </c>
      <c r="J1892">
        <v>1269.5612793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1481.5821289999999</v>
      </c>
      <c r="B1893" s="1">
        <f>DATE(2014,5,21) + TIME(13,58,15)</f>
        <v>41780.582118055558</v>
      </c>
      <c r="C1893">
        <v>80</v>
      </c>
      <c r="D1893">
        <v>79.962860106999997</v>
      </c>
      <c r="E1893">
        <v>50</v>
      </c>
      <c r="F1893">
        <v>48.730632782000001</v>
      </c>
      <c r="G1893">
        <v>1384.1342772999999</v>
      </c>
      <c r="H1893">
        <v>1369.7506103999999</v>
      </c>
      <c r="I1893">
        <v>1288.7058105000001</v>
      </c>
      <c r="J1893">
        <v>1269.5489502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1482.1301080000001</v>
      </c>
      <c r="B1894" s="1">
        <f>DATE(2014,5,22) + TIME(3,7,21)</f>
        <v>41781.130104166667</v>
      </c>
      <c r="C1894">
        <v>80</v>
      </c>
      <c r="D1894">
        <v>79.962844849000007</v>
      </c>
      <c r="E1894">
        <v>50</v>
      </c>
      <c r="F1894">
        <v>48.702236176</v>
      </c>
      <c r="G1894">
        <v>1384.081543</v>
      </c>
      <c r="H1894">
        <v>1369.7095947</v>
      </c>
      <c r="I1894">
        <v>1288.6961670000001</v>
      </c>
      <c r="J1894">
        <v>1269.5362548999999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1482.688817</v>
      </c>
      <c r="B1895" s="1">
        <f>DATE(2014,5,22) + TIME(16,31,53)</f>
        <v>41781.688807870371</v>
      </c>
      <c r="C1895">
        <v>80</v>
      </c>
      <c r="D1895">
        <v>79.962829589999998</v>
      </c>
      <c r="E1895">
        <v>50</v>
      </c>
      <c r="F1895">
        <v>48.673461914000001</v>
      </c>
      <c r="G1895">
        <v>1384.0289307</v>
      </c>
      <c r="H1895">
        <v>1369.6688231999999</v>
      </c>
      <c r="I1895">
        <v>1288.6864014</v>
      </c>
      <c r="J1895">
        <v>1269.5234375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1483.2600789999999</v>
      </c>
      <c r="B1896" s="1">
        <f>DATE(2014,5,23) + TIME(6,14,30)</f>
        <v>41782.260069444441</v>
      </c>
      <c r="C1896">
        <v>80</v>
      </c>
      <c r="D1896">
        <v>79.962814331000004</v>
      </c>
      <c r="E1896">
        <v>50</v>
      </c>
      <c r="F1896">
        <v>48.644245148000003</v>
      </c>
      <c r="G1896">
        <v>1383.9763184000001</v>
      </c>
      <c r="H1896">
        <v>1369.6279297000001</v>
      </c>
      <c r="I1896">
        <v>1288.6763916</v>
      </c>
      <c r="J1896">
        <v>1269.5102539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1483.8459330000001</v>
      </c>
      <c r="B1897" s="1">
        <f>DATE(2014,5,23) + TIME(20,18,8)</f>
        <v>41782.845925925925</v>
      </c>
      <c r="C1897">
        <v>80</v>
      </c>
      <c r="D1897">
        <v>79.962799071999996</v>
      </c>
      <c r="E1897">
        <v>50</v>
      </c>
      <c r="F1897">
        <v>48.614494323999999</v>
      </c>
      <c r="G1897">
        <v>1383.9235839999999</v>
      </c>
      <c r="H1897">
        <v>1369.5870361</v>
      </c>
      <c r="I1897">
        <v>1288.6660156</v>
      </c>
      <c r="J1897">
        <v>1269.4967041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1484.4489229999999</v>
      </c>
      <c r="B1898" s="1">
        <f>DATE(2014,5,24) + TIME(10,46,26)</f>
        <v>41783.448912037034</v>
      </c>
      <c r="C1898">
        <v>80</v>
      </c>
      <c r="D1898">
        <v>79.962791443</v>
      </c>
      <c r="E1898">
        <v>50</v>
      </c>
      <c r="F1898">
        <v>48.584114075000002</v>
      </c>
      <c r="G1898">
        <v>1383.8706055</v>
      </c>
      <c r="H1898">
        <v>1369.5457764</v>
      </c>
      <c r="I1898">
        <v>1288.6553954999999</v>
      </c>
      <c r="J1898">
        <v>1269.4827881000001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1485.0712140000001</v>
      </c>
      <c r="B1899" s="1">
        <f>DATE(2014,5,25) + TIME(1,42,32)</f>
        <v>41784.071203703701</v>
      </c>
      <c r="C1899">
        <v>80</v>
      </c>
      <c r="D1899">
        <v>79.962776184000006</v>
      </c>
      <c r="E1899">
        <v>50</v>
      </c>
      <c r="F1899">
        <v>48.553001404</v>
      </c>
      <c r="G1899">
        <v>1383.8171387</v>
      </c>
      <c r="H1899">
        <v>1369.5042725000001</v>
      </c>
      <c r="I1899">
        <v>1288.6445312000001</v>
      </c>
      <c r="J1899">
        <v>1269.4682617000001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1485.7030789999999</v>
      </c>
      <c r="B1900" s="1">
        <f>DATE(2014,5,25) + TIME(16,52,26)</f>
        <v>41784.7030787037</v>
      </c>
      <c r="C1900">
        <v>80</v>
      </c>
      <c r="D1900">
        <v>79.962760924999998</v>
      </c>
      <c r="E1900">
        <v>50</v>
      </c>
      <c r="F1900">
        <v>48.521408080999997</v>
      </c>
      <c r="G1900">
        <v>1383.7630615</v>
      </c>
      <c r="H1900">
        <v>1369.4621582</v>
      </c>
      <c r="I1900">
        <v>1288.6330565999999</v>
      </c>
      <c r="J1900">
        <v>1269.4532471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1486.3444320000001</v>
      </c>
      <c r="B1901" s="1">
        <f>DATE(2014,5,26) + TIME(8,15,58)</f>
        <v>41785.344421296293</v>
      </c>
      <c r="C1901">
        <v>80</v>
      </c>
      <c r="D1901">
        <v>79.962745666999993</v>
      </c>
      <c r="E1901">
        <v>50</v>
      </c>
      <c r="F1901">
        <v>48.489395141999999</v>
      </c>
      <c r="G1901">
        <v>1383.7091064000001</v>
      </c>
      <c r="H1901">
        <v>1369.4202881000001</v>
      </c>
      <c r="I1901">
        <v>1288.6214600000001</v>
      </c>
      <c r="J1901">
        <v>1269.4379882999999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1486.9970269999999</v>
      </c>
      <c r="B1902" s="1">
        <f>DATE(2014,5,26) + TIME(23,55,43)</f>
        <v>41785.997025462966</v>
      </c>
      <c r="C1902">
        <v>80</v>
      </c>
      <c r="D1902">
        <v>79.962730407999999</v>
      </c>
      <c r="E1902">
        <v>50</v>
      </c>
      <c r="F1902">
        <v>48.456954955999997</v>
      </c>
      <c r="G1902">
        <v>1383.6555175999999</v>
      </c>
      <c r="H1902">
        <v>1369.3785399999999</v>
      </c>
      <c r="I1902">
        <v>1288.6094971</v>
      </c>
      <c r="J1902">
        <v>1269.4223632999999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1487.6627189999999</v>
      </c>
      <c r="B1903" s="1">
        <f>DATE(2014,5,27) + TIME(15,54,18)</f>
        <v>41786.662708333337</v>
      </c>
      <c r="C1903">
        <v>80</v>
      </c>
      <c r="D1903">
        <v>79.962715149000005</v>
      </c>
      <c r="E1903">
        <v>50</v>
      </c>
      <c r="F1903">
        <v>48.424053192000002</v>
      </c>
      <c r="G1903">
        <v>1383.6019286999999</v>
      </c>
      <c r="H1903">
        <v>1369.3367920000001</v>
      </c>
      <c r="I1903">
        <v>1288.5972899999999</v>
      </c>
      <c r="J1903">
        <v>1269.40625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1488.3415749999999</v>
      </c>
      <c r="B1904" s="1">
        <f>DATE(2014,5,28) + TIME(8,11,52)</f>
        <v>41787.341574074075</v>
      </c>
      <c r="C1904">
        <v>80</v>
      </c>
      <c r="D1904">
        <v>79.962699889999996</v>
      </c>
      <c r="E1904">
        <v>50</v>
      </c>
      <c r="F1904">
        <v>48.390670776</v>
      </c>
      <c r="G1904">
        <v>1383.5483397999999</v>
      </c>
      <c r="H1904">
        <v>1369.2950439000001</v>
      </c>
      <c r="I1904">
        <v>1288.5848389</v>
      </c>
      <c r="J1904">
        <v>1269.3897704999999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1489.029307</v>
      </c>
      <c r="B1905" s="1">
        <f>DATE(2014,5,29) + TIME(0,42,12)</f>
        <v>41788.029305555552</v>
      </c>
      <c r="C1905">
        <v>80</v>
      </c>
      <c r="D1905">
        <v>79.962692261000001</v>
      </c>
      <c r="E1905">
        <v>50</v>
      </c>
      <c r="F1905">
        <v>48.356925963999998</v>
      </c>
      <c r="G1905">
        <v>1383.494751</v>
      </c>
      <c r="H1905">
        <v>1369.2532959</v>
      </c>
      <c r="I1905">
        <v>1288.5720214999999</v>
      </c>
      <c r="J1905">
        <v>1269.3728027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1489.728073</v>
      </c>
      <c r="B1906" s="1">
        <f>DATE(2014,5,29) + TIME(17,28,25)</f>
        <v>41788.728067129632</v>
      </c>
      <c r="C1906">
        <v>80</v>
      </c>
      <c r="D1906">
        <v>79.962677002000007</v>
      </c>
      <c r="E1906">
        <v>50</v>
      </c>
      <c r="F1906">
        <v>48.322795868</v>
      </c>
      <c r="G1906">
        <v>1383.4414062000001</v>
      </c>
      <c r="H1906">
        <v>1369.2116699000001</v>
      </c>
      <c r="I1906">
        <v>1288.5589600000001</v>
      </c>
      <c r="J1906">
        <v>1269.3554687999999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1490.4368810000001</v>
      </c>
      <c r="B1907" s="1">
        <f>DATE(2014,5,30) + TIME(10,29,6)</f>
        <v>41789.436874999999</v>
      </c>
      <c r="C1907">
        <v>80</v>
      </c>
      <c r="D1907">
        <v>79.962669372999997</v>
      </c>
      <c r="E1907">
        <v>50</v>
      </c>
      <c r="F1907">
        <v>48.288314819</v>
      </c>
      <c r="G1907">
        <v>1383.3881836</v>
      </c>
      <c r="H1907">
        <v>1369.1701660000001</v>
      </c>
      <c r="I1907">
        <v>1288.5455322</v>
      </c>
      <c r="J1907">
        <v>1269.3377685999999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1491.1580260000001</v>
      </c>
      <c r="B1908" s="1">
        <f>DATE(2014,5,31) + TIME(3,47,33)</f>
        <v>41790.158020833333</v>
      </c>
      <c r="C1908">
        <v>80</v>
      </c>
      <c r="D1908">
        <v>79.962654114000003</v>
      </c>
      <c r="E1908">
        <v>50</v>
      </c>
      <c r="F1908">
        <v>48.253433227999999</v>
      </c>
      <c r="G1908">
        <v>1383.3352050999999</v>
      </c>
      <c r="H1908">
        <v>1369.1287841999999</v>
      </c>
      <c r="I1908">
        <v>1288.5318603999999</v>
      </c>
      <c r="J1908">
        <v>1269.3195800999999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1491.893912</v>
      </c>
      <c r="B1909" s="1">
        <f>DATE(2014,5,31) + TIME(21,27,14)</f>
        <v>41790.893912037034</v>
      </c>
      <c r="C1909">
        <v>80</v>
      </c>
      <c r="D1909">
        <v>79.962646484000004</v>
      </c>
      <c r="E1909">
        <v>50</v>
      </c>
      <c r="F1909">
        <v>48.218078613000003</v>
      </c>
      <c r="G1909">
        <v>1383.2822266000001</v>
      </c>
      <c r="H1909">
        <v>1369.0874022999999</v>
      </c>
      <c r="I1909">
        <v>1288.5179443</v>
      </c>
      <c r="J1909">
        <v>1269.3009033000001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1492</v>
      </c>
      <c r="B1910" s="1">
        <f>DATE(2014,6,1) + TIME(0,0,0)</f>
        <v>41791</v>
      </c>
      <c r="C1910">
        <v>80</v>
      </c>
      <c r="D1910">
        <v>79.962631225999999</v>
      </c>
      <c r="E1910">
        <v>50</v>
      </c>
      <c r="F1910">
        <v>48.209625244000001</v>
      </c>
      <c r="G1910">
        <v>1383.2290039</v>
      </c>
      <c r="H1910">
        <v>1369.0457764</v>
      </c>
      <c r="I1910">
        <v>1288.5006103999999</v>
      </c>
      <c r="J1910">
        <v>1269.2844238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1492.7511890000001</v>
      </c>
      <c r="B1911" s="1">
        <f>DATE(2014,6,1) + TIME(18,1,42)</f>
        <v>41791.751180555555</v>
      </c>
      <c r="C1911">
        <v>80</v>
      </c>
      <c r="D1911">
        <v>79.962631225999999</v>
      </c>
      <c r="E1911">
        <v>50</v>
      </c>
      <c r="F1911">
        <v>48.175300598</v>
      </c>
      <c r="G1911">
        <v>1383.2215576000001</v>
      </c>
      <c r="H1911">
        <v>1369.0400391000001</v>
      </c>
      <c r="I1911">
        <v>1288.5014647999999</v>
      </c>
      <c r="J1911">
        <v>1269.2786865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1493.5191580000001</v>
      </c>
      <c r="B1912" s="1">
        <f>DATE(2014,6,2) + TIME(12,27,35)</f>
        <v>41792.519155092596</v>
      </c>
      <c r="C1912">
        <v>80</v>
      </c>
      <c r="D1912">
        <v>79.962615967000005</v>
      </c>
      <c r="E1912">
        <v>50</v>
      </c>
      <c r="F1912">
        <v>48.139694214000002</v>
      </c>
      <c r="G1912">
        <v>1383.1685791</v>
      </c>
      <c r="H1912">
        <v>1368.9985352000001</v>
      </c>
      <c r="I1912">
        <v>1288.4865723</v>
      </c>
      <c r="J1912">
        <v>1269.2589111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1494.304414</v>
      </c>
      <c r="B1913" s="1">
        <f>DATE(2014,6,3) + TIME(7,18,21)</f>
        <v>41793.304409722223</v>
      </c>
      <c r="C1913">
        <v>80</v>
      </c>
      <c r="D1913">
        <v>79.962608337000006</v>
      </c>
      <c r="E1913">
        <v>50</v>
      </c>
      <c r="F1913">
        <v>48.103088378999999</v>
      </c>
      <c r="G1913">
        <v>1383.1152344</v>
      </c>
      <c r="H1913">
        <v>1368.9567870999999</v>
      </c>
      <c r="I1913">
        <v>1288.4713135</v>
      </c>
      <c r="J1913">
        <v>1269.2385254000001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1495.1051849999999</v>
      </c>
      <c r="B1914" s="1">
        <f>DATE(2014,6,4) + TIME(2,31,27)</f>
        <v>41794.105173611111</v>
      </c>
      <c r="C1914">
        <v>80</v>
      </c>
      <c r="D1914">
        <v>79.962600707999997</v>
      </c>
      <c r="E1914">
        <v>50</v>
      </c>
      <c r="F1914">
        <v>48.065689087000003</v>
      </c>
      <c r="G1914">
        <v>1383.0617675999999</v>
      </c>
      <c r="H1914">
        <v>1368.9147949000001</v>
      </c>
      <c r="I1914">
        <v>1288.4554443</v>
      </c>
      <c r="J1914">
        <v>1269.2174072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1495.910378</v>
      </c>
      <c r="B1915" s="1">
        <f>DATE(2014,6,4) + TIME(21,50,56)</f>
        <v>41794.910370370373</v>
      </c>
      <c r="C1915">
        <v>80</v>
      </c>
      <c r="D1915">
        <v>79.962593079000001</v>
      </c>
      <c r="E1915">
        <v>50</v>
      </c>
      <c r="F1915">
        <v>48.027870178000001</v>
      </c>
      <c r="G1915">
        <v>1383.0080565999999</v>
      </c>
      <c r="H1915">
        <v>1368.8726807</v>
      </c>
      <c r="I1915">
        <v>1288.4390868999999</v>
      </c>
      <c r="J1915">
        <v>1269.1955565999999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1496.7225330000001</v>
      </c>
      <c r="B1916" s="1">
        <f>DATE(2014,6,5) + TIME(17,20,26)</f>
        <v>41795.72252314815</v>
      </c>
      <c r="C1916">
        <v>80</v>
      </c>
      <c r="D1916">
        <v>79.962585449000002</v>
      </c>
      <c r="E1916">
        <v>50</v>
      </c>
      <c r="F1916">
        <v>47.989757537999999</v>
      </c>
      <c r="G1916">
        <v>1382.9549560999999</v>
      </c>
      <c r="H1916">
        <v>1368.8310547000001</v>
      </c>
      <c r="I1916">
        <v>1288.4226074000001</v>
      </c>
      <c r="J1916">
        <v>1269.1733397999999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1497.544171</v>
      </c>
      <c r="B1917" s="1">
        <f>DATE(2014,6,6) + TIME(13,3,36)</f>
        <v>41796.544166666667</v>
      </c>
      <c r="C1917">
        <v>80</v>
      </c>
      <c r="D1917">
        <v>79.962570189999994</v>
      </c>
      <c r="E1917">
        <v>50</v>
      </c>
      <c r="F1917">
        <v>47.951351166000002</v>
      </c>
      <c r="G1917">
        <v>1382.9024658000001</v>
      </c>
      <c r="H1917">
        <v>1368.7896728999999</v>
      </c>
      <c r="I1917">
        <v>1288.4057617000001</v>
      </c>
      <c r="J1917">
        <v>1269.1506348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1498.3778709999999</v>
      </c>
      <c r="B1918" s="1">
        <f>DATE(2014,6,7) + TIME(9,4,8)</f>
        <v>41797.377870370372</v>
      </c>
      <c r="C1918">
        <v>80</v>
      </c>
      <c r="D1918">
        <v>79.962562560999999</v>
      </c>
      <c r="E1918">
        <v>50</v>
      </c>
      <c r="F1918">
        <v>47.912597656000003</v>
      </c>
      <c r="G1918">
        <v>1382.8500977000001</v>
      </c>
      <c r="H1918">
        <v>1368.7485352000001</v>
      </c>
      <c r="I1918">
        <v>1288.3885498</v>
      </c>
      <c r="J1918">
        <v>1269.1273193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1499.22632</v>
      </c>
      <c r="B1919" s="1">
        <f>DATE(2014,6,8) + TIME(5,25,54)</f>
        <v>41798.226319444446</v>
      </c>
      <c r="C1919">
        <v>80</v>
      </c>
      <c r="D1919">
        <v>79.962554932000003</v>
      </c>
      <c r="E1919">
        <v>50</v>
      </c>
      <c r="F1919">
        <v>47.873413085999999</v>
      </c>
      <c r="G1919">
        <v>1382.7978516000001</v>
      </c>
      <c r="H1919">
        <v>1368.7075195</v>
      </c>
      <c r="I1919">
        <v>1288.3708495999999</v>
      </c>
      <c r="J1919">
        <v>1269.1033935999999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1500.0924</v>
      </c>
      <c r="B1920" s="1">
        <f>DATE(2014,6,9) + TIME(2,13,3)</f>
        <v>41799.092395833337</v>
      </c>
      <c r="C1920">
        <v>80</v>
      </c>
      <c r="D1920">
        <v>79.962547302000004</v>
      </c>
      <c r="E1920">
        <v>50</v>
      </c>
      <c r="F1920">
        <v>47.833686829000001</v>
      </c>
      <c r="G1920">
        <v>1382.7456055</v>
      </c>
      <c r="H1920">
        <v>1368.6662598</v>
      </c>
      <c r="I1920">
        <v>1288.3526611</v>
      </c>
      <c r="J1920">
        <v>1269.0787353999999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1500.9797920000001</v>
      </c>
      <c r="B1921" s="1">
        <f>DATE(2014,6,9) + TIME(23,30,54)</f>
        <v>41799.979791666665</v>
      </c>
      <c r="C1921">
        <v>80</v>
      </c>
      <c r="D1921">
        <v>79.962547302000004</v>
      </c>
      <c r="E1921">
        <v>50</v>
      </c>
      <c r="F1921">
        <v>47.793281555</v>
      </c>
      <c r="G1921">
        <v>1382.6931152</v>
      </c>
      <c r="H1921">
        <v>1368.6248779</v>
      </c>
      <c r="I1921">
        <v>1288.3339844</v>
      </c>
      <c r="J1921">
        <v>1269.0532227000001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1501.8835959999999</v>
      </c>
      <c r="B1922" s="1">
        <f>DATE(2014,6,10) + TIME(21,12,22)</f>
        <v>41800.883587962962</v>
      </c>
      <c r="C1922">
        <v>80</v>
      </c>
      <c r="D1922">
        <v>79.962539672999995</v>
      </c>
      <c r="E1922">
        <v>50</v>
      </c>
      <c r="F1922">
        <v>47.752239226999997</v>
      </c>
      <c r="G1922">
        <v>1382.6402588000001</v>
      </c>
      <c r="H1922">
        <v>1368.5831298999999</v>
      </c>
      <c r="I1922">
        <v>1288.3145752</v>
      </c>
      <c r="J1922">
        <v>1269.0267334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1502.8015869999999</v>
      </c>
      <c r="B1923" s="1">
        <f>DATE(2014,6,11) + TIME(19,14,17)</f>
        <v>41801.801585648151</v>
      </c>
      <c r="C1923">
        <v>80</v>
      </c>
      <c r="D1923">
        <v>79.962532042999996</v>
      </c>
      <c r="E1923">
        <v>50</v>
      </c>
      <c r="F1923">
        <v>47.710632324000002</v>
      </c>
      <c r="G1923">
        <v>1382.5871582</v>
      </c>
      <c r="H1923">
        <v>1368.5412598</v>
      </c>
      <c r="I1923">
        <v>1288.2944336</v>
      </c>
      <c r="J1923">
        <v>1268.9992675999999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1503.736697</v>
      </c>
      <c r="B1924" s="1">
        <f>DATE(2014,6,12) + TIME(17,40,50)</f>
        <v>41802.736689814818</v>
      </c>
      <c r="C1924">
        <v>80</v>
      </c>
      <c r="D1924">
        <v>79.962524414000001</v>
      </c>
      <c r="E1924">
        <v>50</v>
      </c>
      <c r="F1924">
        <v>47.668437957999998</v>
      </c>
      <c r="G1924">
        <v>1382.5341797000001</v>
      </c>
      <c r="H1924">
        <v>1368.4992675999999</v>
      </c>
      <c r="I1924">
        <v>1288.2739257999999</v>
      </c>
      <c r="J1924">
        <v>1268.9710693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1504.6914079999999</v>
      </c>
      <c r="B1925" s="1">
        <f>DATE(2014,6,13) + TIME(16,35,37)</f>
        <v>41803.691400462965</v>
      </c>
      <c r="C1925">
        <v>80</v>
      </c>
      <c r="D1925">
        <v>79.962524414000001</v>
      </c>
      <c r="E1925">
        <v>50</v>
      </c>
      <c r="F1925">
        <v>47.625583648999999</v>
      </c>
      <c r="G1925">
        <v>1382.4810791</v>
      </c>
      <c r="H1925">
        <v>1368.4572754000001</v>
      </c>
      <c r="I1925">
        <v>1288.2525635</v>
      </c>
      <c r="J1925">
        <v>1268.9417725000001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1505.65083</v>
      </c>
      <c r="B1926" s="1">
        <f>DATE(2014,6,14) + TIME(15,37,11)</f>
        <v>41804.650821759256</v>
      </c>
      <c r="C1926">
        <v>80</v>
      </c>
      <c r="D1926">
        <v>79.962516785000005</v>
      </c>
      <c r="E1926">
        <v>50</v>
      </c>
      <c r="F1926">
        <v>47.582355499000002</v>
      </c>
      <c r="G1926">
        <v>1382.4277344</v>
      </c>
      <c r="H1926">
        <v>1368.4149170000001</v>
      </c>
      <c r="I1926">
        <v>1288.2305908000001</v>
      </c>
      <c r="J1926">
        <v>1268.911499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1506.618039</v>
      </c>
      <c r="B1927" s="1">
        <f>DATE(2014,6,15) + TIME(14,49,58)</f>
        <v>41805.618032407408</v>
      </c>
      <c r="C1927">
        <v>80</v>
      </c>
      <c r="D1927">
        <v>79.962509155000006</v>
      </c>
      <c r="E1927">
        <v>50</v>
      </c>
      <c r="F1927">
        <v>47.538845062</v>
      </c>
      <c r="G1927">
        <v>1382.3748779</v>
      </c>
      <c r="H1927">
        <v>1368.3729248</v>
      </c>
      <c r="I1927">
        <v>1288.2081298999999</v>
      </c>
      <c r="J1927">
        <v>1268.8804932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1507.59609</v>
      </c>
      <c r="B1928" s="1">
        <f>DATE(2014,6,16) + TIME(14,18,22)</f>
        <v>41806.596087962964</v>
      </c>
      <c r="C1928">
        <v>80</v>
      </c>
      <c r="D1928">
        <v>79.962509155000006</v>
      </c>
      <c r="E1928">
        <v>50</v>
      </c>
      <c r="F1928">
        <v>47.495033264</v>
      </c>
      <c r="G1928">
        <v>1382.3225098</v>
      </c>
      <c r="H1928">
        <v>1368.3312988</v>
      </c>
      <c r="I1928">
        <v>1288.1853027</v>
      </c>
      <c r="J1928">
        <v>1268.8486327999999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1508.588115</v>
      </c>
      <c r="B1929" s="1">
        <f>DATE(2014,6,17) + TIME(14,6,53)</f>
        <v>41807.588113425925</v>
      </c>
      <c r="C1929">
        <v>80</v>
      </c>
      <c r="D1929">
        <v>79.962509155000006</v>
      </c>
      <c r="E1929">
        <v>50</v>
      </c>
      <c r="F1929">
        <v>47.450832366999997</v>
      </c>
      <c r="G1929">
        <v>1382.2703856999999</v>
      </c>
      <c r="H1929">
        <v>1368.2897949000001</v>
      </c>
      <c r="I1929">
        <v>1288.1617432</v>
      </c>
      <c r="J1929">
        <v>1268.815918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1509.597383</v>
      </c>
      <c r="B1930" s="1">
        <f>DATE(2014,6,18) + TIME(14,20,13)</f>
        <v>41808.597372685188</v>
      </c>
      <c r="C1930">
        <v>80</v>
      </c>
      <c r="D1930">
        <v>79.962501525999997</v>
      </c>
      <c r="E1930">
        <v>50</v>
      </c>
      <c r="F1930">
        <v>47.406124114999997</v>
      </c>
      <c r="G1930">
        <v>1382.2182617000001</v>
      </c>
      <c r="H1930">
        <v>1368.2482910000001</v>
      </c>
      <c r="I1930">
        <v>1288.1375731999999</v>
      </c>
      <c r="J1930">
        <v>1268.7821045000001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1510.6274020000001</v>
      </c>
      <c r="B1931" s="1">
        <f>DATE(2014,6,19) + TIME(15,3,27)</f>
        <v>41809.627395833333</v>
      </c>
      <c r="C1931">
        <v>80</v>
      </c>
      <c r="D1931">
        <v>79.962501525999997</v>
      </c>
      <c r="E1931">
        <v>50</v>
      </c>
      <c r="F1931">
        <v>47.360767365000001</v>
      </c>
      <c r="G1931">
        <v>1382.1660156</v>
      </c>
      <c r="H1931">
        <v>1368.206543</v>
      </c>
      <c r="I1931">
        <v>1288.1126709</v>
      </c>
      <c r="J1931">
        <v>1268.7471923999999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1511.6751420000001</v>
      </c>
      <c r="B1932" s="1">
        <f>DATE(2014,6,20) + TIME(16,12,12)</f>
        <v>41810.675138888888</v>
      </c>
      <c r="C1932">
        <v>80</v>
      </c>
      <c r="D1932">
        <v>79.962501525999997</v>
      </c>
      <c r="E1932">
        <v>50</v>
      </c>
      <c r="F1932">
        <v>47.314750670999999</v>
      </c>
      <c r="G1932">
        <v>1382.1134033000001</v>
      </c>
      <c r="H1932">
        <v>1368.1646728999999</v>
      </c>
      <c r="I1932">
        <v>1288.0869141000001</v>
      </c>
      <c r="J1932">
        <v>1268.7108154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1512.741524</v>
      </c>
      <c r="B1933" s="1">
        <f>DATE(2014,6,21) + TIME(17,47,47)</f>
        <v>41811.741516203707</v>
      </c>
      <c r="C1933">
        <v>80</v>
      </c>
      <c r="D1933">
        <v>79.962493895999998</v>
      </c>
      <c r="E1933">
        <v>50</v>
      </c>
      <c r="F1933">
        <v>47.268058777</v>
      </c>
      <c r="G1933">
        <v>1382.0607910000001</v>
      </c>
      <c r="H1933">
        <v>1368.1225586</v>
      </c>
      <c r="I1933">
        <v>1288.0601807</v>
      </c>
      <c r="J1933">
        <v>1268.6732178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1513.830052</v>
      </c>
      <c r="B1934" s="1">
        <f>DATE(2014,6,22) + TIME(19,55,16)</f>
        <v>41812.830046296294</v>
      </c>
      <c r="C1934">
        <v>80</v>
      </c>
      <c r="D1934">
        <v>79.962493895999998</v>
      </c>
      <c r="E1934">
        <v>50</v>
      </c>
      <c r="F1934">
        <v>47.220607758</v>
      </c>
      <c r="G1934">
        <v>1382.0080565999999</v>
      </c>
      <c r="H1934">
        <v>1368.0803223</v>
      </c>
      <c r="I1934">
        <v>1288.0327147999999</v>
      </c>
      <c r="J1934">
        <v>1268.6342772999999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1514.944489</v>
      </c>
      <c r="B1935" s="1">
        <f>DATE(2014,6,23) + TIME(22,40,3)</f>
        <v>41813.944479166668</v>
      </c>
      <c r="C1935">
        <v>80</v>
      </c>
      <c r="D1935">
        <v>79.962493895999998</v>
      </c>
      <c r="E1935">
        <v>50</v>
      </c>
      <c r="F1935">
        <v>47.172279357999997</v>
      </c>
      <c r="G1935">
        <v>1381.9549560999999</v>
      </c>
      <c r="H1935">
        <v>1368.0377197</v>
      </c>
      <c r="I1935">
        <v>1288.0041504000001</v>
      </c>
      <c r="J1935">
        <v>1268.5936279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1516.0733720000001</v>
      </c>
      <c r="B1936" s="1">
        <f>DATE(2014,6,25) + TIME(1,45,39)</f>
        <v>41815.073368055557</v>
      </c>
      <c r="C1936">
        <v>80</v>
      </c>
      <c r="D1936">
        <v>79.962493895999998</v>
      </c>
      <c r="E1936">
        <v>50</v>
      </c>
      <c r="F1936">
        <v>47.123207092000001</v>
      </c>
      <c r="G1936">
        <v>1381.9013672000001</v>
      </c>
      <c r="H1936">
        <v>1367.994751</v>
      </c>
      <c r="I1936">
        <v>1287.9744873</v>
      </c>
      <c r="J1936">
        <v>1268.5513916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1517.2089579999999</v>
      </c>
      <c r="B1937" s="1">
        <f>DATE(2014,6,26) + TIME(5,0,53)</f>
        <v>41816.20894675926</v>
      </c>
      <c r="C1937">
        <v>80</v>
      </c>
      <c r="D1937">
        <v>79.962493895999998</v>
      </c>
      <c r="E1937">
        <v>50</v>
      </c>
      <c r="F1937">
        <v>47.073665619000003</v>
      </c>
      <c r="G1937">
        <v>1381.8479004000001</v>
      </c>
      <c r="H1937">
        <v>1367.9517822</v>
      </c>
      <c r="I1937">
        <v>1287.9438477000001</v>
      </c>
      <c r="J1937">
        <v>1268.5076904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1518.3549410000001</v>
      </c>
      <c r="B1938" s="1">
        <f>DATE(2014,6,27) + TIME(8,31,6)</f>
        <v>41817.354930555557</v>
      </c>
      <c r="C1938">
        <v>80</v>
      </c>
      <c r="D1938">
        <v>79.962501525999997</v>
      </c>
      <c r="E1938">
        <v>50</v>
      </c>
      <c r="F1938">
        <v>47.023742675999998</v>
      </c>
      <c r="G1938">
        <v>1381.7949219</v>
      </c>
      <c r="H1938">
        <v>1367.9090576000001</v>
      </c>
      <c r="I1938">
        <v>1287.9125977000001</v>
      </c>
      <c r="J1938">
        <v>1268.4628906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1519.5110119999999</v>
      </c>
      <c r="B1939" s="1">
        <f>DATE(2014,6,28) + TIME(12,15,51)</f>
        <v>41818.511006944442</v>
      </c>
      <c r="C1939">
        <v>80</v>
      </c>
      <c r="D1939">
        <v>79.962501525999997</v>
      </c>
      <c r="E1939">
        <v>50</v>
      </c>
      <c r="F1939">
        <v>46.973468781000001</v>
      </c>
      <c r="G1939">
        <v>1381.7421875</v>
      </c>
      <c r="H1939">
        <v>1367.8665771000001</v>
      </c>
      <c r="I1939">
        <v>1287.8806152</v>
      </c>
      <c r="J1939">
        <v>1268.4167480000001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1520.6772060000001</v>
      </c>
      <c r="B1940" s="1">
        <f>DATE(2014,6,29) + TIME(16,15,10)</f>
        <v>41819.677199074074</v>
      </c>
      <c r="C1940">
        <v>80</v>
      </c>
      <c r="D1940">
        <v>79.962501525999997</v>
      </c>
      <c r="E1940">
        <v>50</v>
      </c>
      <c r="F1940">
        <v>46.922843933000003</v>
      </c>
      <c r="G1940">
        <v>1381.6898193</v>
      </c>
      <c r="H1940">
        <v>1367.8242187999999</v>
      </c>
      <c r="I1940">
        <v>1287.8477783000001</v>
      </c>
      <c r="J1940">
        <v>1268.3692627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1521.856996</v>
      </c>
      <c r="B1941" s="1">
        <f>DATE(2014,6,30) + TIME(20,34,4)</f>
        <v>41820.856990740744</v>
      </c>
      <c r="C1941">
        <v>80</v>
      </c>
      <c r="D1941">
        <v>79.962501525999997</v>
      </c>
      <c r="E1941">
        <v>50</v>
      </c>
      <c r="F1941">
        <v>46.871810912999997</v>
      </c>
      <c r="G1941">
        <v>1381.6375731999999</v>
      </c>
      <c r="H1941">
        <v>1367.7821045000001</v>
      </c>
      <c r="I1941">
        <v>1287.8140868999999</v>
      </c>
      <c r="J1941">
        <v>1268.3203125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1522</v>
      </c>
      <c r="B1942" s="1">
        <f>DATE(2014,7,1) + TIME(0,0,0)</f>
        <v>41821</v>
      </c>
      <c r="C1942">
        <v>80</v>
      </c>
      <c r="D1942">
        <v>79.962493895999998</v>
      </c>
      <c r="E1942">
        <v>50</v>
      </c>
      <c r="F1942">
        <v>46.859233856000003</v>
      </c>
      <c r="G1942">
        <v>1381.5854492000001</v>
      </c>
      <c r="H1942">
        <v>1367.7397461</v>
      </c>
      <c r="I1942">
        <v>1287.7786865</v>
      </c>
      <c r="J1942">
        <v>1268.2799072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1523.1969529999999</v>
      </c>
      <c r="B1943" s="1">
        <f>DATE(2014,7,2) + TIME(4,43,36)</f>
        <v>41822.196944444448</v>
      </c>
      <c r="C1943">
        <v>80</v>
      </c>
      <c r="D1943">
        <v>79.962509155000006</v>
      </c>
      <c r="E1943">
        <v>50</v>
      </c>
      <c r="F1943">
        <v>46.811351776000002</v>
      </c>
      <c r="G1943">
        <v>1381.5792236</v>
      </c>
      <c r="H1943">
        <v>1367.7348632999999</v>
      </c>
      <c r="I1943">
        <v>1287.7751464999999</v>
      </c>
      <c r="J1943">
        <v>1268.2626952999999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1524.417725</v>
      </c>
      <c r="B1944" s="1">
        <f>DATE(2014,7,3) + TIME(10,1,31)</f>
        <v>41823.417719907404</v>
      </c>
      <c r="C1944">
        <v>80</v>
      </c>
      <c r="D1944">
        <v>79.962509155000006</v>
      </c>
      <c r="E1944">
        <v>50</v>
      </c>
      <c r="F1944">
        <v>46.760635376000003</v>
      </c>
      <c r="G1944">
        <v>1381.5273437999999</v>
      </c>
      <c r="H1944">
        <v>1367.692749</v>
      </c>
      <c r="I1944">
        <v>1287.7395019999999</v>
      </c>
      <c r="J1944">
        <v>1268.2110596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1525.663857</v>
      </c>
      <c r="B1945" s="1">
        <f>DATE(2014,7,4) + TIME(15,55,57)</f>
        <v>41824.663854166669</v>
      </c>
      <c r="C1945">
        <v>80</v>
      </c>
      <c r="D1945">
        <v>79.962516785000005</v>
      </c>
      <c r="E1945">
        <v>50</v>
      </c>
      <c r="F1945">
        <v>46.708145141999999</v>
      </c>
      <c r="G1945">
        <v>1381.4749756000001</v>
      </c>
      <c r="H1945">
        <v>1367.6501464999999</v>
      </c>
      <c r="I1945">
        <v>1287.7026367000001</v>
      </c>
      <c r="J1945">
        <v>1268.1569824000001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1526.9399579999999</v>
      </c>
      <c r="B1946" s="1">
        <f>DATE(2014,7,5) + TIME(22,33,32)</f>
        <v>41825.939953703702</v>
      </c>
      <c r="C1946">
        <v>80</v>
      </c>
      <c r="D1946">
        <v>79.962516785000005</v>
      </c>
      <c r="E1946">
        <v>50</v>
      </c>
      <c r="F1946">
        <v>46.654247284</v>
      </c>
      <c r="G1946">
        <v>1381.4223632999999</v>
      </c>
      <c r="H1946">
        <v>1367.6072998</v>
      </c>
      <c r="I1946">
        <v>1287.6643065999999</v>
      </c>
      <c r="J1946">
        <v>1268.1004639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1528.251469</v>
      </c>
      <c r="B1947" s="1">
        <f>DATE(2014,7,7) + TIME(6,2,6)</f>
        <v>41827.251458333332</v>
      </c>
      <c r="C1947">
        <v>80</v>
      </c>
      <c r="D1947">
        <v>79.962524414000001</v>
      </c>
      <c r="E1947">
        <v>50</v>
      </c>
      <c r="F1947">
        <v>46.598968505999999</v>
      </c>
      <c r="G1947">
        <v>1381.3691406</v>
      </c>
      <c r="H1947">
        <v>1367.5639647999999</v>
      </c>
      <c r="I1947">
        <v>1287.6243896000001</v>
      </c>
      <c r="J1947">
        <v>1268.0415039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1529.564257</v>
      </c>
      <c r="B1948" s="1">
        <f>DATE(2014,7,8) + TIME(13,32,31)</f>
        <v>41828.564247685186</v>
      </c>
      <c r="C1948">
        <v>80</v>
      </c>
      <c r="D1948">
        <v>79.962532042999996</v>
      </c>
      <c r="E1948">
        <v>50</v>
      </c>
      <c r="F1948">
        <v>46.542858123999999</v>
      </c>
      <c r="G1948">
        <v>1381.3151855000001</v>
      </c>
      <c r="H1948">
        <v>1367.5200195</v>
      </c>
      <c r="I1948">
        <v>1287.5827637</v>
      </c>
      <c r="J1948">
        <v>1267.9798584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1530.88141</v>
      </c>
      <c r="B1949" s="1">
        <f>DATE(2014,7,9) + TIME(21,9,13)</f>
        <v>41829.88140046296</v>
      </c>
      <c r="C1949">
        <v>80</v>
      </c>
      <c r="D1949">
        <v>79.962539672999995</v>
      </c>
      <c r="E1949">
        <v>50</v>
      </c>
      <c r="F1949">
        <v>46.486381530999999</v>
      </c>
      <c r="G1949">
        <v>1381.2618408000001</v>
      </c>
      <c r="H1949">
        <v>1367.4764404</v>
      </c>
      <c r="I1949">
        <v>1287.5404053</v>
      </c>
      <c r="J1949">
        <v>1267.9167480000001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1532.206866</v>
      </c>
      <c r="B1950" s="1">
        <f>DATE(2014,7,11) + TIME(4,57,53)</f>
        <v>41831.206863425927</v>
      </c>
      <c r="C1950">
        <v>80</v>
      </c>
      <c r="D1950">
        <v>79.962539672999995</v>
      </c>
      <c r="E1950">
        <v>50</v>
      </c>
      <c r="F1950">
        <v>46.429645538000003</v>
      </c>
      <c r="G1950">
        <v>1381.2091064000001</v>
      </c>
      <c r="H1950">
        <v>1367.4332274999999</v>
      </c>
      <c r="I1950">
        <v>1287.4971923999999</v>
      </c>
      <c r="J1950">
        <v>1267.8521728999999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1533.5445609999999</v>
      </c>
      <c r="B1951" s="1">
        <f>DATE(2014,7,12) + TIME(13,4,10)</f>
        <v>41832.544560185182</v>
      </c>
      <c r="C1951">
        <v>80</v>
      </c>
      <c r="D1951">
        <v>79.962547302000004</v>
      </c>
      <c r="E1951">
        <v>50</v>
      </c>
      <c r="F1951">
        <v>46.372581482000001</v>
      </c>
      <c r="G1951">
        <v>1381.1566161999999</v>
      </c>
      <c r="H1951">
        <v>1367.3902588000001</v>
      </c>
      <c r="I1951">
        <v>1287.4530029</v>
      </c>
      <c r="J1951">
        <v>1267.7858887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1534.8985110000001</v>
      </c>
      <c r="B1952" s="1">
        <f>DATE(2014,7,13) + TIME(21,33,51)</f>
        <v>41833.898506944446</v>
      </c>
      <c r="C1952">
        <v>80</v>
      </c>
      <c r="D1952">
        <v>79.962554932000003</v>
      </c>
      <c r="E1952">
        <v>50</v>
      </c>
      <c r="F1952">
        <v>46.315071105999998</v>
      </c>
      <c r="G1952">
        <v>1381.1043701000001</v>
      </c>
      <c r="H1952">
        <v>1367.3474120999999</v>
      </c>
      <c r="I1952">
        <v>1287.4078368999999</v>
      </c>
      <c r="J1952">
        <v>1267.7176514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1536.272913</v>
      </c>
      <c r="B1953" s="1">
        <f>DATE(2014,7,15) + TIME(6,32,59)</f>
        <v>41835.272905092592</v>
      </c>
      <c r="C1953">
        <v>80</v>
      </c>
      <c r="D1953">
        <v>79.962562560999999</v>
      </c>
      <c r="E1953">
        <v>50</v>
      </c>
      <c r="F1953">
        <v>46.256969452</v>
      </c>
      <c r="G1953">
        <v>1381.0522461</v>
      </c>
      <c r="H1953">
        <v>1367.3045654</v>
      </c>
      <c r="I1953">
        <v>1287.3614502</v>
      </c>
      <c r="J1953">
        <v>1267.6474608999999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1537.672186</v>
      </c>
      <c r="B1954" s="1">
        <f>DATE(2014,7,16) + TIME(16,7,56)</f>
        <v>41836.672175925924</v>
      </c>
      <c r="C1954">
        <v>80</v>
      </c>
      <c r="D1954">
        <v>79.962570189999994</v>
      </c>
      <c r="E1954">
        <v>50</v>
      </c>
      <c r="F1954">
        <v>46.198112488</v>
      </c>
      <c r="G1954">
        <v>1380.9998779</v>
      </c>
      <c r="H1954">
        <v>1367.2614745999999</v>
      </c>
      <c r="I1954">
        <v>1287.3135986</v>
      </c>
      <c r="J1954">
        <v>1267.5748291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1539.101079</v>
      </c>
      <c r="B1955" s="1">
        <f>DATE(2014,7,18) + TIME(2,25,33)</f>
        <v>41838.101076388892</v>
      </c>
      <c r="C1955">
        <v>80</v>
      </c>
      <c r="D1955">
        <v>79.962585449000002</v>
      </c>
      <c r="E1955">
        <v>50</v>
      </c>
      <c r="F1955">
        <v>46.138328551999997</v>
      </c>
      <c r="G1955">
        <v>1380.9473877</v>
      </c>
      <c r="H1955">
        <v>1367.2181396000001</v>
      </c>
      <c r="I1955">
        <v>1287.2642822</v>
      </c>
      <c r="J1955">
        <v>1267.4996338000001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1540.5649969999999</v>
      </c>
      <c r="B1956" s="1">
        <f>DATE(2014,7,19) + TIME(13,33,35)</f>
        <v>41839.564988425926</v>
      </c>
      <c r="C1956">
        <v>80</v>
      </c>
      <c r="D1956">
        <v>79.962593079000001</v>
      </c>
      <c r="E1956">
        <v>50</v>
      </c>
      <c r="F1956">
        <v>46.077430724999999</v>
      </c>
      <c r="G1956">
        <v>1380.8942870999999</v>
      </c>
      <c r="H1956">
        <v>1367.1743164</v>
      </c>
      <c r="I1956">
        <v>1287.2132568</v>
      </c>
      <c r="J1956">
        <v>1267.4215088000001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1542.054654</v>
      </c>
      <c r="B1957" s="1">
        <f>DATE(2014,7,21) + TIME(1,18,42)</f>
        <v>41841.054652777777</v>
      </c>
      <c r="C1957">
        <v>80</v>
      </c>
      <c r="D1957">
        <v>79.962600707999997</v>
      </c>
      <c r="E1957">
        <v>50</v>
      </c>
      <c r="F1957">
        <v>46.015449523999997</v>
      </c>
      <c r="G1957">
        <v>1380.8406981999999</v>
      </c>
      <c r="H1957">
        <v>1367.1298827999999</v>
      </c>
      <c r="I1957">
        <v>1287.1602783000001</v>
      </c>
      <c r="J1957">
        <v>1267.3402100000001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1543.5552620000001</v>
      </c>
      <c r="B1958" s="1">
        <f>DATE(2014,7,22) + TIME(13,19,34)</f>
        <v>41842.555254629631</v>
      </c>
      <c r="C1958">
        <v>80</v>
      </c>
      <c r="D1958">
        <v>79.962615967000005</v>
      </c>
      <c r="E1958">
        <v>50</v>
      </c>
      <c r="F1958">
        <v>45.952739716000004</v>
      </c>
      <c r="G1958">
        <v>1380.7867432</v>
      </c>
      <c r="H1958">
        <v>1367.0852050999999</v>
      </c>
      <c r="I1958">
        <v>1287.1055908000001</v>
      </c>
      <c r="J1958">
        <v>1267.2561035000001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1545.062179</v>
      </c>
      <c r="B1959" s="1">
        <f>DATE(2014,7,24) + TIME(1,29,32)</f>
        <v>41844.062175925923</v>
      </c>
      <c r="C1959">
        <v>80</v>
      </c>
      <c r="D1959">
        <v>79.962623596</v>
      </c>
      <c r="E1959">
        <v>50</v>
      </c>
      <c r="F1959">
        <v>45.889690399000003</v>
      </c>
      <c r="G1959">
        <v>1380.7330322</v>
      </c>
      <c r="H1959">
        <v>1367.0406493999999</v>
      </c>
      <c r="I1959">
        <v>1287.0498047000001</v>
      </c>
      <c r="J1959">
        <v>1267.1697998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1546.5799489999999</v>
      </c>
      <c r="B1960" s="1">
        <f>DATE(2014,7,25) + TIME(13,55,7)</f>
        <v>41845.579942129632</v>
      </c>
      <c r="C1960">
        <v>80</v>
      </c>
      <c r="D1960">
        <v>79.962638854999994</v>
      </c>
      <c r="E1960">
        <v>50</v>
      </c>
      <c r="F1960">
        <v>45.826442718999999</v>
      </c>
      <c r="G1960">
        <v>1380.6798096</v>
      </c>
      <c r="H1960">
        <v>1366.9963379000001</v>
      </c>
      <c r="I1960">
        <v>1286.9930420000001</v>
      </c>
      <c r="J1960">
        <v>1267.0817870999999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1548.1131559999999</v>
      </c>
      <c r="B1961" s="1">
        <f>DATE(2014,7,27) + TIME(2,42,56)</f>
        <v>41847.11314814815</v>
      </c>
      <c r="C1961">
        <v>80</v>
      </c>
      <c r="D1961">
        <v>79.962646484000004</v>
      </c>
      <c r="E1961">
        <v>50</v>
      </c>
      <c r="F1961">
        <v>45.762954712000003</v>
      </c>
      <c r="G1961">
        <v>1380.6268310999999</v>
      </c>
      <c r="H1961">
        <v>1366.9522704999999</v>
      </c>
      <c r="I1961">
        <v>1286.9353027</v>
      </c>
      <c r="J1961">
        <v>1266.9916992000001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1549.6665230000001</v>
      </c>
      <c r="B1962" s="1">
        <f>DATE(2014,7,28) + TIME(15,59,47)</f>
        <v>41848.666516203702</v>
      </c>
      <c r="C1962">
        <v>80</v>
      </c>
      <c r="D1962">
        <v>79.962661742999998</v>
      </c>
      <c r="E1962">
        <v>50</v>
      </c>
      <c r="F1962">
        <v>45.699111938000001</v>
      </c>
      <c r="G1962">
        <v>1380.5738524999999</v>
      </c>
      <c r="H1962">
        <v>1366.9082031</v>
      </c>
      <c r="I1962">
        <v>1286.8762207</v>
      </c>
      <c r="J1962">
        <v>1266.8992920000001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1551.2450220000001</v>
      </c>
      <c r="B1963" s="1">
        <f>DATE(2014,7,30) + TIME(5,52,49)</f>
        <v>41850.245011574072</v>
      </c>
      <c r="C1963">
        <v>80</v>
      </c>
      <c r="D1963">
        <v>79.962677002000007</v>
      </c>
      <c r="E1963">
        <v>50</v>
      </c>
      <c r="F1963">
        <v>45.634777069000002</v>
      </c>
      <c r="G1963">
        <v>1380.5209961</v>
      </c>
      <c r="H1963">
        <v>1366.8638916</v>
      </c>
      <c r="I1963">
        <v>1286.8157959</v>
      </c>
      <c r="J1963">
        <v>1266.8044434000001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1552.853263</v>
      </c>
      <c r="B1964" s="1">
        <f>DATE(2014,7,31) + TIME(20,28,41)</f>
        <v>41851.853252314817</v>
      </c>
      <c r="C1964">
        <v>80</v>
      </c>
      <c r="D1964">
        <v>79.962684631000002</v>
      </c>
      <c r="E1964">
        <v>50</v>
      </c>
      <c r="F1964">
        <v>45.569808960000003</v>
      </c>
      <c r="G1964">
        <v>1380.4677733999999</v>
      </c>
      <c r="H1964">
        <v>1366.8193358999999</v>
      </c>
      <c r="I1964">
        <v>1286.7536620999999</v>
      </c>
      <c r="J1964">
        <v>1266.7066649999999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1553</v>
      </c>
      <c r="B1965" s="1">
        <f>DATE(2014,8,1) + TIME(0,0,0)</f>
        <v>41852</v>
      </c>
      <c r="C1965">
        <v>80</v>
      </c>
      <c r="D1965">
        <v>79.962684631000002</v>
      </c>
      <c r="E1965">
        <v>50</v>
      </c>
      <c r="F1965">
        <v>45.555255889999998</v>
      </c>
      <c r="G1965">
        <v>1380.4140625</v>
      </c>
      <c r="H1965">
        <v>1366.7744141000001</v>
      </c>
      <c r="I1965">
        <v>1286.6951904</v>
      </c>
      <c r="J1965">
        <v>1266.6312256000001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1554.6289569999999</v>
      </c>
      <c r="B1966" s="1">
        <f>DATE(2014,8,2) + TIME(15,5,41)</f>
        <v>41853.628946759258</v>
      </c>
      <c r="C1966">
        <v>80</v>
      </c>
      <c r="D1966">
        <v>79.962699889999996</v>
      </c>
      <c r="E1966">
        <v>50</v>
      </c>
      <c r="F1966">
        <v>45.495357513000002</v>
      </c>
      <c r="G1966">
        <v>1380.4093018000001</v>
      </c>
      <c r="H1966">
        <v>1366.7703856999999</v>
      </c>
      <c r="I1966">
        <v>1286.6831055</v>
      </c>
      <c r="J1966">
        <v>1266.5941161999999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1556.2863589999999</v>
      </c>
      <c r="B1967" s="1">
        <f>DATE(2014,8,4) + TIME(6,52,21)</f>
        <v>41855.286354166667</v>
      </c>
      <c r="C1967">
        <v>80</v>
      </c>
      <c r="D1967">
        <v>79.962715149000005</v>
      </c>
      <c r="E1967">
        <v>50</v>
      </c>
      <c r="F1967">
        <v>45.431324005</v>
      </c>
      <c r="G1967">
        <v>1380.3557129000001</v>
      </c>
      <c r="H1967">
        <v>1366.7253418</v>
      </c>
      <c r="I1967">
        <v>1286.6185303</v>
      </c>
      <c r="J1967">
        <v>1266.4923096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1557.9751490000001</v>
      </c>
      <c r="B1968" s="1">
        <f>DATE(2014,8,5) + TIME(23,24,12)</f>
        <v>41856.975138888891</v>
      </c>
      <c r="C1968">
        <v>80</v>
      </c>
      <c r="D1968">
        <v>79.962730407999999</v>
      </c>
      <c r="E1968">
        <v>50</v>
      </c>
      <c r="F1968">
        <v>45.365474700999997</v>
      </c>
      <c r="G1968">
        <v>1380.3017577999999</v>
      </c>
      <c r="H1968">
        <v>1366.6800536999999</v>
      </c>
      <c r="I1968">
        <v>1286.5518798999999</v>
      </c>
      <c r="J1968">
        <v>1266.3863524999999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1559.688549</v>
      </c>
      <c r="B1969" s="1">
        <f>DATE(2014,8,7) + TIME(16,31,30)</f>
        <v>41858.68854166667</v>
      </c>
      <c r="C1969">
        <v>80</v>
      </c>
      <c r="D1969">
        <v>79.962753296000002</v>
      </c>
      <c r="E1969">
        <v>50</v>
      </c>
      <c r="F1969">
        <v>45.298736572000003</v>
      </c>
      <c r="G1969">
        <v>1380.2474365</v>
      </c>
      <c r="H1969">
        <v>1366.6342772999999</v>
      </c>
      <c r="I1969">
        <v>1286.4832764</v>
      </c>
      <c r="J1969">
        <v>1266.2768555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1561.412677</v>
      </c>
      <c r="B1970" s="1">
        <f>DATE(2014,8,9) + TIME(9,54,15)</f>
        <v>41860.412673611114</v>
      </c>
      <c r="C1970">
        <v>80</v>
      </c>
      <c r="D1970">
        <v>79.962768554999997</v>
      </c>
      <c r="E1970">
        <v>50</v>
      </c>
      <c r="F1970">
        <v>45.231761931999998</v>
      </c>
      <c r="G1970">
        <v>1380.1929932</v>
      </c>
      <c r="H1970">
        <v>1366.5882568</v>
      </c>
      <c r="I1970">
        <v>1286.4133300999999</v>
      </c>
      <c r="J1970">
        <v>1266.1646728999999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1563.1528760000001</v>
      </c>
      <c r="B1971" s="1">
        <f>DATE(2014,8,11) + TIME(3,40,8)</f>
        <v>41862.152870370373</v>
      </c>
      <c r="C1971">
        <v>80</v>
      </c>
      <c r="D1971">
        <v>79.962783813000001</v>
      </c>
      <c r="E1971">
        <v>50</v>
      </c>
      <c r="F1971">
        <v>45.164962768999999</v>
      </c>
      <c r="G1971">
        <v>1380.1387939000001</v>
      </c>
      <c r="H1971">
        <v>1366.5423584</v>
      </c>
      <c r="I1971">
        <v>1286.3422852000001</v>
      </c>
      <c r="J1971">
        <v>1266.0505370999999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1564.9145599999999</v>
      </c>
      <c r="B1972" s="1">
        <f>DATE(2014,8,12) + TIME(21,56,57)</f>
        <v>41863.914548611108</v>
      </c>
      <c r="C1972">
        <v>80</v>
      </c>
      <c r="D1972">
        <v>79.962799071999996</v>
      </c>
      <c r="E1972">
        <v>50</v>
      </c>
      <c r="F1972">
        <v>45.098396301000001</v>
      </c>
      <c r="G1972">
        <v>1380.0845947</v>
      </c>
      <c r="H1972">
        <v>1366.496582</v>
      </c>
      <c r="I1972">
        <v>1286.2703856999999</v>
      </c>
      <c r="J1972">
        <v>1265.9342041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1566.6978429999999</v>
      </c>
      <c r="B1973" s="1">
        <f>DATE(2014,8,14) + TIME(16,44,53)</f>
        <v>41865.697835648149</v>
      </c>
      <c r="C1973">
        <v>80</v>
      </c>
      <c r="D1973">
        <v>79.962814331000004</v>
      </c>
      <c r="E1973">
        <v>50</v>
      </c>
      <c r="F1973">
        <v>45.032108307000001</v>
      </c>
      <c r="G1973">
        <v>1380.0303954999999</v>
      </c>
      <c r="H1973">
        <v>1366.4505615</v>
      </c>
      <c r="I1973">
        <v>1286.1972656</v>
      </c>
      <c r="J1973">
        <v>1265.8157959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1568.498689</v>
      </c>
      <c r="B1974" s="1">
        <f>DATE(2014,8,16) + TIME(11,58,6)</f>
        <v>41867.498680555553</v>
      </c>
      <c r="C1974">
        <v>80</v>
      </c>
      <c r="D1974">
        <v>79.962837218999994</v>
      </c>
      <c r="E1974">
        <v>50</v>
      </c>
      <c r="F1974">
        <v>44.966243744000003</v>
      </c>
      <c r="G1974">
        <v>1379.9760742000001</v>
      </c>
      <c r="H1974">
        <v>1366.4044189000001</v>
      </c>
      <c r="I1974">
        <v>1286.1231689000001</v>
      </c>
      <c r="J1974">
        <v>1265.6950684000001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1570.322437</v>
      </c>
      <c r="B1975" s="1">
        <f>DATE(2014,8,18) + TIME(7,44,18)</f>
        <v>41869.322430555556</v>
      </c>
      <c r="C1975">
        <v>80</v>
      </c>
      <c r="D1975">
        <v>79.962852478000002</v>
      </c>
      <c r="E1975">
        <v>50</v>
      </c>
      <c r="F1975">
        <v>44.900955199999999</v>
      </c>
      <c r="G1975">
        <v>1379.9217529</v>
      </c>
      <c r="H1975">
        <v>1366.3581543</v>
      </c>
      <c r="I1975">
        <v>1286.0480957</v>
      </c>
      <c r="J1975">
        <v>1265.5725098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1572.174681</v>
      </c>
      <c r="B1976" s="1">
        <f>DATE(2014,8,20) + TIME(4,11,32)</f>
        <v>41871.174675925926</v>
      </c>
      <c r="C1976">
        <v>80</v>
      </c>
      <c r="D1976">
        <v>79.962875366000006</v>
      </c>
      <c r="E1976">
        <v>50</v>
      </c>
      <c r="F1976">
        <v>44.836269379000001</v>
      </c>
      <c r="G1976">
        <v>1379.8673096</v>
      </c>
      <c r="H1976">
        <v>1366.3117675999999</v>
      </c>
      <c r="I1976">
        <v>1285.9720459</v>
      </c>
      <c r="J1976">
        <v>1265.447876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1574.06132</v>
      </c>
      <c r="B1977" s="1">
        <f>DATE(2014,8,22) + TIME(1,28,18)</f>
        <v>41873.061319444445</v>
      </c>
      <c r="C1977">
        <v>80</v>
      </c>
      <c r="D1977">
        <v>79.962890625</v>
      </c>
      <c r="E1977">
        <v>50</v>
      </c>
      <c r="F1977">
        <v>44.772193909000002</v>
      </c>
      <c r="G1977">
        <v>1379.8127440999999</v>
      </c>
      <c r="H1977">
        <v>1366.2650146000001</v>
      </c>
      <c r="I1977">
        <v>1285.8947754000001</v>
      </c>
      <c r="J1977">
        <v>1265.3209228999999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1575.9887719999999</v>
      </c>
      <c r="B1978" s="1">
        <f>DATE(2014,8,23) + TIME(23,43,49)</f>
        <v>41874.988761574074</v>
      </c>
      <c r="C1978">
        <v>80</v>
      </c>
      <c r="D1978">
        <v>79.962913513000004</v>
      </c>
      <c r="E1978">
        <v>50</v>
      </c>
      <c r="F1978">
        <v>44.708755492999998</v>
      </c>
      <c r="G1978">
        <v>1379.7575684000001</v>
      </c>
      <c r="H1978">
        <v>1366.2178954999999</v>
      </c>
      <c r="I1978">
        <v>1285.8162841999999</v>
      </c>
      <c r="J1978">
        <v>1265.1914062000001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1577.945995</v>
      </c>
      <c r="B1979" s="1">
        <f>DATE(2014,8,25) + TIME(22,42,13)</f>
        <v>41876.945983796293</v>
      </c>
      <c r="C1979">
        <v>80</v>
      </c>
      <c r="D1979">
        <v>79.962936400999993</v>
      </c>
      <c r="E1979">
        <v>50</v>
      </c>
      <c r="F1979">
        <v>44.646163940000001</v>
      </c>
      <c r="G1979">
        <v>1379.7017822</v>
      </c>
      <c r="H1979">
        <v>1366.1700439000001</v>
      </c>
      <c r="I1979">
        <v>1285.7364502</v>
      </c>
      <c r="J1979">
        <v>1265.0592041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1579.921028</v>
      </c>
      <c r="B1980" s="1">
        <f>DATE(2014,8,27) + TIME(22,6,16)</f>
        <v>41878.921018518522</v>
      </c>
      <c r="C1980">
        <v>80</v>
      </c>
      <c r="D1980">
        <v>79.962959290000001</v>
      </c>
      <c r="E1980">
        <v>50</v>
      </c>
      <c r="F1980">
        <v>44.584922790999997</v>
      </c>
      <c r="G1980">
        <v>1379.6457519999999</v>
      </c>
      <c r="H1980">
        <v>1366.1219481999999</v>
      </c>
      <c r="I1980">
        <v>1285.6557617000001</v>
      </c>
      <c r="J1980">
        <v>1264.9251709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1581.910648</v>
      </c>
      <c r="B1981" s="1">
        <f>DATE(2014,8,29) + TIME(21,51,20)</f>
        <v>41880.91064814815</v>
      </c>
      <c r="C1981">
        <v>80</v>
      </c>
      <c r="D1981">
        <v>79.962982178000004</v>
      </c>
      <c r="E1981">
        <v>50</v>
      </c>
      <c r="F1981">
        <v>44.525543212999999</v>
      </c>
      <c r="G1981">
        <v>1379.5897216999999</v>
      </c>
      <c r="H1981">
        <v>1366.0737305</v>
      </c>
      <c r="I1981">
        <v>1285.574707</v>
      </c>
      <c r="J1981">
        <v>1264.7900391000001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1582.955324</v>
      </c>
      <c r="B1982" s="1">
        <f>DATE(2014,8,30) + TIME(22,55,40)</f>
        <v>41881.955324074072</v>
      </c>
      <c r="C1982">
        <v>80</v>
      </c>
      <c r="D1982">
        <v>79.962982178000004</v>
      </c>
      <c r="E1982">
        <v>50</v>
      </c>
      <c r="F1982">
        <v>44.480686188</v>
      </c>
      <c r="G1982">
        <v>1379.5335693</v>
      </c>
      <c r="H1982">
        <v>1366.0252685999999</v>
      </c>
      <c r="I1982">
        <v>1285.4973144999999</v>
      </c>
      <c r="J1982">
        <v>1264.6650391000001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1584</v>
      </c>
      <c r="B1983" s="1">
        <f>DATE(2014,9,1) + TIME(0,0,0)</f>
        <v>41883</v>
      </c>
      <c r="C1983">
        <v>80</v>
      </c>
      <c r="D1983">
        <v>79.962997436999999</v>
      </c>
      <c r="E1983">
        <v>50</v>
      </c>
      <c r="F1983">
        <v>44.445178986000002</v>
      </c>
      <c r="G1983">
        <v>1379.5045166</v>
      </c>
      <c r="H1983">
        <v>1366.0001221</v>
      </c>
      <c r="I1983">
        <v>1285.4515381000001</v>
      </c>
      <c r="J1983">
        <v>1264.5858154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1585.034046</v>
      </c>
      <c r="B1984" s="1">
        <f>DATE(2014,9,2) + TIME(0,49,1)</f>
        <v>41884.034039351849</v>
      </c>
      <c r="C1984">
        <v>80</v>
      </c>
      <c r="D1984">
        <v>79.963005065999994</v>
      </c>
      <c r="E1984">
        <v>50</v>
      </c>
      <c r="F1984">
        <v>44.414489746000001</v>
      </c>
      <c r="G1984">
        <v>1379.4754639</v>
      </c>
      <c r="H1984">
        <v>1365.9750977000001</v>
      </c>
      <c r="I1984">
        <v>1285.4080810999999</v>
      </c>
      <c r="J1984">
        <v>1264.5115966999999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1586.0680910000001</v>
      </c>
      <c r="B1985" s="1">
        <f>DATE(2014,9,3) + TIME(1,38,3)</f>
        <v>41885.068090277775</v>
      </c>
      <c r="C1985">
        <v>80</v>
      </c>
      <c r="D1985">
        <v>79.963020325000002</v>
      </c>
      <c r="E1985">
        <v>50</v>
      </c>
      <c r="F1985">
        <v>44.386463165000002</v>
      </c>
      <c r="G1985">
        <v>1379.4470214999999</v>
      </c>
      <c r="H1985">
        <v>1365.9504394999999</v>
      </c>
      <c r="I1985">
        <v>1285.3659668</v>
      </c>
      <c r="J1985">
        <v>1264.4403076000001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1587.1021370000001</v>
      </c>
      <c r="B1986" s="1">
        <f>DATE(2014,9,4) + TIME(2,27,4)</f>
        <v>41886.102129629631</v>
      </c>
      <c r="C1986">
        <v>80</v>
      </c>
      <c r="D1986">
        <v>79.963027953999998</v>
      </c>
      <c r="E1986">
        <v>50</v>
      </c>
      <c r="F1986">
        <v>44.360153197999999</v>
      </c>
      <c r="G1986">
        <v>1379.4185791</v>
      </c>
      <c r="H1986">
        <v>1365.9257812000001</v>
      </c>
      <c r="I1986">
        <v>1285.324707</v>
      </c>
      <c r="J1986">
        <v>1264.3703613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1589.170228</v>
      </c>
      <c r="B1987" s="1">
        <f>DATE(2014,9,6) + TIME(4,5,7)</f>
        <v>41888.170219907406</v>
      </c>
      <c r="C1987">
        <v>80</v>
      </c>
      <c r="D1987">
        <v>79.963058472</v>
      </c>
      <c r="E1987">
        <v>50</v>
      </c>
      <c r="F1987">
        <v>44.327854156000001</v>
      </c>
      <c r="G1987">
        <v>1379.390625</v>
      </c>
      <c r="H1987">
        <v>1365.9016113</v>
      </c>
      <c r="I1987">
        <v>1285.2810059000001</v>
      </c>
      <c r="J1987">
        <v>1264.2937012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1591.2509640000001</v>
      </c>
      <c r="B1988" s="1">
        <f>DATE(2014,9,8) + TIME(6,1,23)</f>
        <v>41890.250960648147</v>
      </c>
      <c r="C1988">
        <v>80</v>
      </c>
      <c r="D1988">
        <v>79.963088988999999</v>
      </c>
      <c r="E1988">
        <v>50</v>
      </c>
      <c r="F1988">
        <v>44.285984038999999</v>
      </c>
      <c r="G1988">
        <v>1379.3344727000001</v>
      </c>
      <c r="H1988">
        <v>1365.8529053</v>
      </c>
      <c r="I1988">
        <v>1285.2042236</v>
      </c>
      <c r="J1988">
        <v>1264.1656493999999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1593.3767230000001</v>
      </c>
      <c r="B1989" s="1">
        <f>DATE(2014,9,10) + TIME(9,2,28)</f>
        <v>41892.376712962963</v>
      </c>
      <c r="C1989">
        <v>80</v>
      </c>
      <c r="D1989">
        <v>79.963111877000003</v>
      </c>
      <c r="E1989">
        <v>50</v>
      </c>
      <c r="F1989">
        <v>44.243938446000001</v>
      </c>
      <c r="G1989">
        <v>1379.2785644999999</v>
      </c>
      <c r="H1989">
        <v>1365.8043213000001</v>
      </c>
      <c r="I1989">
        <v>1285.1253661999999</v>
      </c>
      <c r="J1989">
        <v>1264.0322266000001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1595.5404779999999</v>
      </c>
      <c r="B1990" s="1">
        <f>DATE(2014,9,12) + TIME(12,58,17)</f>
        <v>41894.54047453704</v>
      </c>
      <c r="C1990">
        <v>80</v>
      </c>
      <c r="D1990">
        <v>79.963134765999996</v>
      </c>
      <c r="E1990">
        <v>50</v>
      </c>
      <c r="F1990">
        <v>44.204540252999998</v>
      </c>
      <c r="G1990">
        <v>1379.2219238</v>
      </c>
      <c r="H1990">
        <v>1365.7550048999999</v>
      </c>
      <c r="I1990">
        <v>1285.0455322</v>
      </c>
      <c r="J1990">
        <v>1263.8964844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1597.717582</v>
      </c>
      <c r="B1991" s="1">
        <f>DATE(2014,9,14) + TIME(17,13,19)</f>
        <v>41896.717581018522</v>
      </c>
      <c r="C1991">
        <v>80</v>
      </c>
      <c r="D1991">
        <v>79.963165282999995</v>
      </c>
      <c r="E1991">
        <v>50</v>
      </c>
      <c r="F1991">
        <v>44.169189453000001</v>
      </c>
      <c r="G1991">
        <v>1379.1646728999999</v>
      </c>
      <c r="H1991">
        <v>1365.7050781</v>
      </c>
      <c r="I1991">
        <v>1284.9656981999999</v>
      </c>
      <c r="J1991">
        <v>1263.760376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1599.9161899999999</v>
      </c>
      <c r="B1992" s="1">
        <f>DATE(2014,9,16) + TIME(21,59,18)</f>
        <v>41898.916180555556</v>
      </c>
      <c r="C1992">
        <v>80</v>
      </c>
      <c r="D1992">
        <v>79.963188170999999</v>
      </c>
      <c r="E1992">
        <v>50</v>
      </c>
      <c r="F1992">
        <v>44.138786316000001</v>
      </c>
      <c r="G1992">
        <v>1379.1076660000001</v>
      </c>
      <c r="H1992">
        <v>1365.6552733999999</v>
      </c>
      <c r="I1992">
        <v>1284.8870850000001</v>
      </c>
      <c r="J1992">
        <v>1263.6259766000001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1602.1584130000001</v>
      </c>
      <c r="B1993" s="1">
        <f>DATE(2014,9,19) + TIME(3,48,6)</f>
        <v>41901.158402777779</v>
      </c>
      <c r="C1993">
        <v>80</v>
      </c>
      <c r="D1993">
        <v>79.963218689000001</v>
      </c>
      <c r="E1993">
        <v>50</v>
      </c>
      <c r="F1993">
        <v>44.113819122000002</v>
      </c>
      <c r="G1993">
        <v>1379.0506591999999</v>
      </c>
      <c r="H1993">
        <v>1365.6053466999999</v>
      </c>
      <c r="I1993">
        <v>1284.8096923999999</v>
      </c>
      <c r="J1993">
        <v>1263.4934082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1604.446565</v>
      </c>
      <c r="B1994" s="1">
        <f>DATE(2014,9,21) + TIME(10,43,3)</f>
        <v>41903.446562500001</v>
      </c>
      <c r="C1994">
        <v>80</v>
      </c>
      <c r="D1994">
        <v>79.963241577000005</v>
      </c>
      <c r="E1994">
        <v>50</v>
      </c>
      <c r="F1994">
        <v>44.094795226999999</v>
      </c>
      <c r="G1994">
        <v>1378.9930420000001</v>
      </c>
      <c r="H1994">
        <v>1365.5548096</v>
      </c>
      <c r="I1994">
        <v>1284.7331543</v>
      </c>
      <c r="J1994">
        <v>1263.3620605000001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1606.7589889999999</v>
      </c>
      <c r="B1995" s="1">
        <f>DATE(2014,9,23) + TIME(18,12,56)</f>
        <v>41905.758981481478</v>
      </c>
      <c r="C1995">
        <v>80</v>
      </c>
      <c r="D1995">
        <v>79.963272094999994</v>
      </c>
      <c r="E1995">
        <v>50</v>
      </c>
      <c r="F1995">
        <v>44.082447051999999</v>
      </c>
      <c r="G1995">
        <v>1378.9346923999999</v>
      </c>
      <c r="H1995">
        <v>1365.5036620999999</v>
      </c>
      <c r="I1995">
        <v>1284.6577147999999</v>
      </c>
      <c r="J1995">
        <v>1263.2324219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1609.1034</v>
      </c>
      <c r="B1996" s="1">
        <f>DATE(2014,9,26) + TIME(2,28,53)</f>
        <v>41908.103391203702</v>
      </c>
      <c r="C1996">
        <v>80</v>
      </c>
      <c r="D1996">
        <v>79.963302612000007</v>
      </c>
      <c r="E1996">
        <v>50</v>
      </c>
      <c r="F1996">
        <v>44.077548981</v>
      </c>
      <c r="G1996">
        <v>1378.8762207</v>
      </c>
      <c r="H1996">
        <v>1365.4521483999999</v>
      </c>
      <c r="I1996">
        <v>1284.5839844</v>
      </c>
      <c r="J1996">
        <v>1263.105957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1611.4875400000001</v>
      </c>
      <c r="B1997" s="1">
        <f>DATE(2014,9,28) + TIME(11,42,3)</f>
        <v>41910.487534722219</v>
      </c>
      <c r="C1997">
        <v>80</v>
      </c>
      <c r="D1997">
        <v>79.963333129999995</v>
      </c>
      <c r="E1997">
        <v>50</v>
      </c>
      <c r="F1997">
        <v>44.080814361999998</v>
      </c>
      <c r="G1997">
        <v>1378.8175048999999</v>
      </c>
      <c r="H1997">
        <v>1365.4003906</v>
      </c>
      <c r="I1997">
        <v>1284.5123291</v>
      </c>
      <c r="J1997">
        <v>1262.9829102000001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1612.74377</v>
      </c>
      <c r="B1998" s="1">
        <f>DATE(2014,9,29) + TIME(17,51,1)</f>
        <v>41911.743761574071</v>
      </c>
      <c r="C1998">
        <v>80</v>
      </c>
      <c r="D1998">
        <v>79.963340759000005</v>
      </c>
      <c r="E1998">
        <v>50</v>
      </c>
      <c r="F1998">
        <v>44.090724944999998</v>
      </c>
      <c r="G1998">
        <v>1378.7580565999999</v>
      </c>
      <c r="H1998">
        <v>1365.3479004000001</v>
      </c>
      <c r="I1998">
        <v>1284.4489745999999</v>
      </c>
      <c r="J1998">
        <v>1262.8730469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1614</v>
      </c>
      <c r="B1999" s="1">
        <f>DATE(2014,10,1) + TIME(0,0,0)</f>
        <v>41913</v>
      </c>
      <c r="C1999">
        <v>80</v>
      </c>
      <c r="D1999">
        <v>79.963356017999999</v>
      </c>
      <c r="E1999">
        <v>50</v>
      </c>
      <c r="F1999">
        <v>44.102485657000003</v>
      </c>
      <c r="G1999">
        <v>1378.7270507999999</v>
      </c>
      <c r="H1999">
        <v>1365.3205565999999</v>
      </c>
      <c r="I1999">
        <v>1284.4093018000001</v>
      </c>
      <c r="J1999">
        <v>1262.8057861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1615.226334</v>
      </c>
      <c r="B2000" s="1">
        <f>DATE(2014,10,2) + TIME(5,25,55)</f>
        <v>41914.226331018515</v>
      </c>
      <c r="C2000">
        <v>80</v>
      </c>
      <c r="D2000">
        <v>79.963371276999993</v>
      </c>
      <c r="E2000">
        <v>50</v>
      </c>
      <c r="F2000">
        <v>44.116493224999999</v>
      </c>
      <c r="G2000">
        <v>1378.6961670000001</v>
      </c>
      <c r="H2000">
        <v>1365.2932129000001</v>
      </c>
      <c r="I2000">
        <v>1284.3736572</v>
      </c>
      <c r="J2000">
        <v>1262.7451172000001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1616.452667</v>
      </c>
      <c r="B2001" s="1">
        <f>DATE(2014,10,3) + TIME(10,51,50)</f>
        <v>41915.452662037038</v>
      </c>
      <c r="C2001">
        <v>80</v>
      </c>
      <c r="D2001">
        <v>79.963386536000002</v>
      </c>
      <c r="E2001">
        <v>50</v>
      </c>
      <c r="F2001">
        <v>44.132904052999997</v>
      </c>
      <c r="G2001">
        <v>1378.6662598</v>
      </c>
      <c r="H2001">
        <v>1365.2667236</v>
      </c>
      <c r="I2001">
        <v>1284.3406981999999</v>
      </c>
      <c r="J2001">
        <v>1262.6890868999999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1617.679001</v>
      </c>
      <c r="B2002" s="1">
        <f>DATE(2014,10,4) + TIME(16,17,45)</f>
        <v>41916.678993055553</v>
      </c>
      <c r="C2002">
        <v>80</v>
      </c>
      <c r="D2002">
        <v>79.963401794000006</v>
      </c>
      <c r="E2002">
        <v>50</v>
      </c>
      <c r="F2002">
        <v>44.151889801000003</v>
      </c>
      <c r="G2002">
        <v>1378.6364745999999</v>
      </c>
      <c r="H2002">
        <v>1365.2402344</v>
      </c>
      <c r="I2002">
        <v>1284.3092041</v>
      </c>
      <c r="J2002">
        <v>1262.6357422000001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1618.905334</v>
      </c>
      <c r="B2003" s="1">
        <f>DATE(2014,10,5) + TIME(21,43,40)</f>
        <v>41917.905324074076</v>
      </c>
      <c r="C2003">
        <v>80</v>
      </c>
      <c r="D2003">
        <v>79.963417053000001</v>
      </c>
      <c r="E2003">
        <v>50</v>
      </c>
      <c r="F2003">
        <v>44.173542023000003</v>
      </c>
      <c r="G2003">
        <v>1378.6068115</v>
      </c>
      <c r="H2003">
        <v>1365.2138672000001</v>
      </c>
      <c r="I2003">
        <v>1284.2789307</v>
      </c>
      <c r="J2003">
        <v>1262.5845947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1621.3580019999999</v>
      </c>
      <c r="B2004" s="1">
        <f>DATE(2014,10,8) + TIME(8,35,31)</f>
        <v>41920.357997685183</v>
      </c>
      <c r="C2004">
        <v>80</v>
      </c>
      <c r="D2004">
        <v>79.963455199999999</v>
      </c>
      <c r="E2004">
        <v>50</v>
      </c>
      <c r="F2004">
        <v>44.203998566000003</v>
      </c>
      <c r="G2004">
        <v>1378.5775146000001</v>
      </c>
      <c r="H2004">
        <v>1365.1879882999999</v>
      </c>
      <c r="I2004">
        <v>1284.2451172000001</v>
      </c>
      <c r="J2004">
        <v>1262.5301514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1623.8124800000001</v>
      </c>
      <c r="B2005" s="1">
        <f>DATE(2014,10,10) + TIME(19,29,58)</f>
        <v>41922.812476851854</v>
      </c>
      <c r="C2005">
        <v>80</v>
      </c>
      <c r="D2005">
        <v>79.963485718000001</v>
      </c>
      <c r="E2005">
        <v>50</v>
      </c>
      <c r="F2005">
        <v>44.255222320999998</v>
      </c>
      <c r="G2005">
        <v>1378.5187988</v>
      </c>
      <c r="H2005">
        <v>1365.1357422000001</v>
      </c>
      <c r="I2005">
        <v>1284.1933594</v>
      </c>
      <c r="J2005">
        <v>1262.4420166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1626.3084160000001</v>
      </c>
      <c r="B2006" s="1">
        <f>DATE(2014,10,13) + TIME(7,24,7)</f>
        <v>41925.30841435185</v>
      </c>
      <c r="C2006">
        <v>80</v>
      </c>
      <c r="D2006">
        <v>79.963516235</v>
      </c>
      <c r="E2006">
        <v>50</v>
      </c>
      <c r="F2006">
        <v>44.320518493999998</v>
      </c>
      <c r="G2006">
        <v>1378.4605713000001</v>
      </c>
      <c r="H2006">
        <v>1365.0839844</v>
      </c>
      <c r="I2006">
        <v>1284.1420897999999</v>
      </c>
      <c r="J2006">
        <v>1262.3569336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1628.853243</v>
      </c>
      <c r="B2007" s="1">
        <f>DATE(2014,10,15) + TIME(20,28,40)</f>
        <v>41927.85324074074</v>
      </c>
      <c r="C2007">
        <v>80</v>
      </c>
      <c r="D2007">
        <v>79.963546753000003</v>
      </c>
      <c r="E2007">
        <v>50</v>
      </c>
      <c r="F2007">
        <v>44.399055480999998</v>
      </c>
      <c r="G2007">
        <v>1378.4019774999999</v>
      </c>
      <c r="H2007">
        <v>1365.0317382999999</v>
      </c>
      <c r="I2007">
        <v>1284.0932617000001</v>
      </c>
      <c r="J2007">
        <v>1262.2777100000001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1631.4559139999999</v>
      </c>
      <c r="B2008" s="1">
        <f>DATE(2014,10,18) + TIME(10,56,30)</f>
        <v>41930.45590277778</v>
      </c>
      <c r="C2008">
        <v>80</v>
      </c>
      <c r="D2008">
        <v>79.963584900000001</v>
      </c>
      <c r="E2008">
        <v>50</v>
      </c>
      <c r="F2008">
        <v>44.491344452</v>
      </c>
      <c r="G2008">
        <v>1378.3427733999999</v>
      </c>
      <c r="H2008">
        <v>1364.9788818</v>
      </c>
      <c r="I2008">
        <v>1284.0476074000001</v>
      </c>
      <c r="J2008">
        <v>1262.2050781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1634.1242589999999</v>
      </c>
      <c r="B2009" s="1">
        <f>DATE(2014,10,21) + TIME(2,58,55)</f>
        <v>41933.124247685184</v>
      </c>
      <c r="C2009">
        <v>80</v>
      </c>
      <c r="D2009">
        <v>79.963615417</v>
      </c>
      <c r="E2009">
        <v>50</v>
      </c>
      <c r="F2009">
        <v>44.598148346000002</v>
      </c>
      <c r="G2009">
        <v>1378.2828368999999</v>
      </c>
      <c r="H2009">
        <v>1364.925293</v>
      </c>
      <c r="I2009">
        <v>1284.0054932</v>
      </c>
      <c r="J2009">
        <v>1262.1400146000001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1636.8211140000001</v>
      </c>
      <c r="B2010" s="1">
        <f>DATE(2014,10,23) + TIME(19,42,24)</f>
        <v>41935.821111111109</v>
      </c>
      <c r="C2010">
        <v>80</v>
      </c>
      <c r="D2010">
        <v>79.963653563999998</v>
      </c>
      <c r="E2010">
        <v>50</v>
      </c>
      <c r="F2010">
        <v>44.719924927000001</v>
      </c>
      <c r="G2010">
        <v>1378.2220459</v>
      </c>
      <c r="H2010">
        <v>1364.8708495999999</v>
      </c>
      <c r="I2010">
        <v>1283.9670410000001</v>
      </c>
      <c r="J2010">
        <v>1262.0828856999999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1639.5551680000001</v>
      </c>
      <c r="B2011" s="1">
        <f>DATE(2014,10,26) + TIME(13,19,26)</f>
        <v>41938.555162037039</v>
      </c>
      <c r="C2011">
        <v>80</v>
      </c>
      <c r="D2011">
        <v>79.963684082</v>
      </c>
      <c r="E2011">
        <v>50</v>
      </c>
      <c r="F2011">
        <v>44.856052398999999</v>
      </c>
      <c r="G2011">
        <v>1378.1612548999999</v>
      </c>
      <c r="H2011">
        <v>1364.8164062000001</v>
      </c>
      <c r="I2011">
        <v>1283.9328613</v>
      </c>
      <c r="J2011">
        <v>1262.0349120999999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1642.3280480000001</v>
      </c>
      <c r="B2012" s="1">
        <f>DATE(2014,10,29) + TIME(7,52,23)</f>
        <v>41941.328043981484</v>
      </c>
      <c r="C2012">
        <v>80</v>
      </c>
      <c r="D2012">
        <v>79.963722228999998</v>
      </c>
      <c r="E2012">
        <v>50</v>
      </c>
      <c r="F2012">
        <v>45.006523131999998</v>
      </c>
      <c r="G2012">
        <v>1378.1003418</v>
      </c>
      <c r="H2012">
        <v>1364.7617187999999</v>
      </c>
      <c r="I2012">
        <v>1283.9030762</v>
      </c>
      <c r="J2012">
        <v>1261.9962158000001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1645</v>
      </c>
      <c r="B2013" s="1">
        <f>DATE(2014,11,1) + TIME(0,0,0)</f>
        <v>41944</v>
      </c>
      <c r="C2013">
        <v>80</v>
      </c>
      <c r="D2013">
        <v>79.963752747000001</v>
      </c>
      <c r="E2013">
        <v>50</v>
      </c>
      <c r="F2013">
        <v>45.169170379999997</v>
      </c>
      <c r="G2013">
        <v>1378.0393065999999</v>
      </c>
      <c r="H2013">
        <v>1364.7069091999999</v>
      </c>
      <c r="I2013">
        <v>1283.8782959</v>
      </c>
      <c r="J2013">
        <v>1261.9671631000001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1645.0000010000001</v>
      </c>
      <c r="B2014" s="1">
        <f>DATE(2014,11,1) + TIME(0,0,0)</f>
        <v>41944</v>
      </c>
      <c r="C2014">
        <v>80</v>
      </c>
      <c r="D2014">
        <v>79.963279724000003</v>
      </c>
      <c r="E2014">
        <v>50</v>
      </c>
      <c r="F2014">
        <v>45.169704437</v>
      </c>
      <c r="G2014">
        <v>1360.6046143000001</v>
      </c>
      <c r="H2014">
        <v>1348.6214600000001</v>
      </c>
      <c r="I2014">
        <v>1310.2960204999999</v>
      </c>
      <c r="J2014">
        <v>1288.5877685999999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1645.000004</v>
      </c>
      <c r="B2015" s="1">
        <f>DATE(2014,11,1) + TIME(0,0,0)</f>
        <v>41944</v>
      </c>
      <c r="C2015">
        <v>80</v>
      </c>
      <c r="D2015">
        <v>79.962524414000001</v>
      </c>
      <c r="E2015">
        <v>50</v>
      </c>
      <c r="F2015">
        <v>45.170726776000002</v>
      </c>
      <c r="G2015">
        <v>1354.0340576000001</v>
      </c>
      <c r="H2015">
        <v>1342.0500488</v>
      </c>
      <c r="I2015">
        <v>1319.0469971</v>
      </c>
      <c r="J2015">
        <v>1297.5358887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1645.0000130000001</v>
      </c>
      <c r="B2016" s="1">
        <f>DATE(2014,11,1) + TIME(0,0,1)</f>
        <v>41944.000011574077</v>
      </c>
      <c r="C2016">
        <v>80</v>
      </c>
      <c r="D2016">
        <v>79.961647033999995</v>
      </c>
      <c r="E2016">
        <v>50</v>
      </c>
      <c r="F2016">
        <v>45.172138214</v>
      </c>
      <c r="G2016">
        <v>1346.4343262</v>
      </c>
      <c r="H2016">
        <v>1334.4542236</v>
      </c>
      <c r="I2016">
        <v>1331.1003418</v>
      </c>
      <c r="J2016">
        <v>1309.6361084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1645.0000399999999</v>
      </c>
      <c r="B2017" s="1">
        <f>DATE(2014,11,1) + TIME(0,0,3)</f>
        <v>41944.000034722223</v>
      </c>
      <c r="C2017">
        <v>80</v>
      </c>
      <c r="D2017">
        <v>79.960777282999999</v>
      </c>
      <c r="E2017">
        <v>50</v>
      </c>
      <c r="F2017">
        <v>45.173751830999997</v>
      </c>
      <c r="G2017">
        <v>1338.9432373</v>
      </c>
      <c r="H2017">
        <v>1326.9689940999999</v>
      </c>
      <c r="I2017">
        <v>1344.0440673999999</v>
      </c>
      <c r="J2017">
        <v>1322.5581055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1645.000121</v>
      </c>
      <c r="B2018" s="1">
        <f>DATE(2014,11,1) + TIME(0,0,10)</f>
        <v>41944.000115740739</v>
      </c>
      <c r="C2018">
        <v>80</v>
      </c>
      <c r="D2018">
        <v>79.959922790999997</v>
      </c>
      <c r="E2018">
        <v>50</v>
      </c>
      <c r="F2018">
        <v>45.175682068</v>
      </c>
      <c r="G2018">
        <v>1331.5959473</v>
      </c>
      <c r="H2018">
        <v>1319.6152344</v>
      </c>
      <c r="I2018">
        <v>1356.9903564000001</v>
      </c>
      <c r="J2018">
        <v>1335.4768065999999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1645.000364</v>
      </c>
      <c r="B2019" s="1">
        <f>DATE(2014,11,1) + TIME(0,0,31)</f>
        <v>41944.000358796293</v>
      </c>
      <c r="C2019">
        <v>80</v>
      </c>
      <c r="D2019">
        <v>79.959014893000003</v>
      </c>
      <c r="E2019">
        <v>50</v>
      </c>
      <c r="F2019">
        <v>45.178585052000003</v>
      </c>
      <c r="G2019">
        <v>1324.1212158000001</v>
      </c>
      <c r="H2019">
        <v>1312.0605469</v>
      </c>
      <c r="I2019">
        <v>1370.0643310999999</v>
      </c>
      <c r="J2019">
        <v>1348.4697266000001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1645.0010930000001</v>
      </c>
      <c r="B2020" s="1">
        <f>DATE(2014,11,1) + TIME(0,1,34)</f>
        <v>41944.001087962963</v>
      </c>
      <c r="C2020">
        <v>80</v>
      </c>
      <c r="D2020">
        <v>79.958007812000005</v>
      </c>
      <c r="E2020">
        <v>50</v>
      </c>
      <c r="F2020">
        <v>45.184356688999998</v>
      </c>
      <c r="G2020">
        <v>1316.4403076000001</v>
      </c>
      <c r="H2020">
        <v>1304.2214355000001</v>
      </c>
      <c r="I2020">
        <v>1382.7730713000001</v>
      </c>
      <c r="J2020">
        <v>1361.0148925999999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1645.0032799999999</v>
      </c>
      <c r="B2021" s="1">
        <f>DATE(2014,11,1) + TIME(0,4,43)</f>
        <v>41944.003275462965</v>
      </c>
      <c r="C2021">
        <v>80</v>
      </c>
      <c r="D2021">
        <v>79.956832886000001</v>
      </c>
      <c r="E2021">
        <v>50</v>
      </c>
      <c r="F2021">
        <v>45.198646545000003</v>
      </c>
      <c r="G2021">
        <v>1309.5262451000001</v>
      </c>
      <c r="H2021">
        <v>1297.1920166</v>
      </c>
      <c r="I2021">
        <v>1393.0897216999999</v>
      </c>
      <c r="J2021">
        <v>1371.159668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1645.0098410000001</v>
      </c>
      <c r="B2022" s="1">
        <f>DATE(2014,11,1) + TIME(0,14,10)</f>
        <v>41944.009837962964</v>
      </c>
      <c r="C2022">
        <v>80</v>
      </c>
      <c r="D2022">
        <v>79.955200195000003</v>
      </c>
      <c r="E2022">
        <v>50</v>
      </c>
      <c r="F2022">
        <v>45.238563538000001</v>
      </c>
      <c r="G2022">
        <v>1305.1856689000001</v>
      </c>
      <c r="H2022">
        <v>1292.8101807</v>
      </c>
      <c r="I2022">
        <v>1398.6715088000001</v>
      </c>
      <c r="J2022">
        <v>1376.6584473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1645.029524</v>
      </c>
      <c r="B2023" s="1">
        <f>DATE(2014,11,1) + TIME(0,42,30)</f>
        <v>41944.029513888891</v>
      </c>
      <c r="C2023">
        <v>80</v>
      </c>
      <c r="D2023">
        <v>79.951690674000005</v>
      </c>
      <c r="E2023">
        <v>50</v>
      </c>
      <c r="F2023">
        <v>45.353866576999998</v>
      </c>
      <c r="G2023">
        <v>1303.7406006000001</v>
      </c>
      <c r="H2023">
        <v>1291.355957</v>
      </c>
      <c r="I2023">
        <v>1400.0456543</v>
      </c>
      <c r="J2023">
        <v>1378.0548096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1645.088573</v>
      </c>
      <c r="B2024" s="1">
        <f>DATE(2014,11,1) + TIME(2,7,32)</f>
        <v>41944.088564814818</v>
      </c>
      <c r="C2024">
        <v>80</v>
      </c>
      <c r="D2024">
        <v>79.942153931000007</v>
      </c>
      <c r="E2024">
        <v>50</v>
      </c>
      <c r="F2024">
        <v>45.675117493000002</v>
      </c>
      <c r="G2024">
        <v>1303.5263672000001</v>
      </c>
      <c r="H2024">
        <v>1291.1400146000001</v>
      </c>
      <c r="I2024">
        <v>1399.9086914</v>
      </c>
      <c r="J2024">
        <v>1378.0517577999999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1645.152417</v>
      </c>
      <c r="B2025" s="1">
        <f>DATE(2014,11,1) + TIME(3,39,28)</f>
        <v>41944.152407407404</v>
      </c>
      <c r="C2025">
        <v>80</v>
      </c>
      <c r="D2025">
        <v>79.932098389000004</v>
      </c>
      <c r="E2025">
        <v>50</v>
      </c>
      <c r="F2025">
        <v>45.99641037</v>
      </c>
      <c r="G2025">
        <v>1303.5112305</v>
      </c>
      <c r="H2025">
        <v>1291.1243896000001</v>
      </c>
      <c r="I2025">
        <v>1399.6633300999999</v>
      </c>
      <c r="J2025">
        <v>1377.9354248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1645.2197880000001</v>
      </c>
      <c r="B2026" s="1">
        <f>DATE(2014,11,1) + TIME(5,16,29)</f>
        <v>41944.219780092593</v>
      </c>
      <c r="C2026">
        <v>80</v>
      </c>
      <c r="D2026">
        <v>79.921737671000002</v>
      </c>
      <c r="E2026">
        <v>50</v>
      </c>
      <c r="F2026">
        <v>46.308761597</v>
      </c>
      <c r="G2026">
        <v>1303.5078125</v>
      </c>
      <c r="H2026">
        <v>1291.1204834</v>
      </c>
      <c r="I2026">
        <v>1399.4245605000001</v>
      </c>
      <c r="J2026">
        <v>1377.8210449000001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1645.29115</v>
      </c>
      <c r="B2027" s="1">
        <f>DATE(2014,11,1) + TIME(6,59,15)</f>
        <v>41944.291145833333</v>
      </c>
      <c r="C2027">
        <v>80</v>
      </c>
      <c r="D2027">
        <v>79.911003113000007</v>
      </c>
      <c r="E2027">
        <v>50</v>
      </c>
      <c r="F2027">
        <v>46.612163543999998</v>
      </c>
      <c r="G2027">
        <v>1303.5050048999999</v>
      </c>
      <c r="H2027">
        <v>1291.1173096</v>
      </c>
      <c r="I2027">
        <v>1399.1926269999999</v>
      </c>
      <c r="J2027">
        <v>1377.7093506000001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1645.3670649999999</v>
      </c>
      <c r="B2028" s="1">
        <f>DATE(2014,11,1) + TIME(8,48,34)</f>
        <v>41944.367060185185</v>
      </c>
      <c r="C2028">
        <v>80</v>
      </c>
      <c r="D2028">
        <v>79.899856567</v>
      </c>
      <c r="E2028">
        <v>50</v>
      </c>
      <c r="F2028">
        <v>46.906585692999997</v>
      </c>
      <c r="G2028">
        <v>1303.5021973</v>
      </c>
      <c r="H2028">
        <v>1291.1138916</v>
      </c>
      <c r="I2028">
        <v>1398.9672852000001</v>
      </c>
      <c r="J2028">
        <v>1377.5999756000001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1645.448216</v>
      </c>
      <c r="B2029" s="1">
        <f>DATE(2014,11,1) + TIME(10,45,25)</f>
        <v>41944.448206018518</v>
      </c>
      <c r="C2029">
        <v>80</v>
      </c>
      <c r="D2029">
        <v>79.888229370000005</v>
      </c>
      <c r="E2029">
        <v>50</v>
      </c>
      <c r="F2029">
        <v>47.191951752000001</v>
      </c>
      <c r="G2029">
        <v>1303.4990233999999</v>
      </c>
      <c r="H2029">
        <v>1291.1103516000001</v>
      </c>
      <c r="I2029">
        <v>1398.7479248</v>
      </c>
      <c r="J2029">
        <v>1377.4926757999999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1645.5354400000001</v>
      </c>
      <c r="B2030" s="1">
        <f>DATE(2014,11,1) + TIME(12,51,2)</f>
        <v>41944.535439814812</v>
      </c>
      <c r="C2030">
        <v>80</v>
      </c>
      <c r="D2030">
        <v>79.876029967999997</v>
      </c>
      <c r="E2030">
        <v>50</v>
      </c>
      <c r="F2030">
        <v>47.468132019000002</v>
      </c>
      <c r="G2030">
        <v>1303.4957274999999</v>
      </c>
      <c r="H2030">
        <v>1291.1065673999999</v>
      </c>
      <c r="I2030">
        <v>1398.5343018000001</v>
      </c>
      <c r="J2030">
        <v>1377.387207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1645.629784</v>
      </c>
      <c r="B2031" s="1">
        <f>DATE(2014,11,1) + TIME(15,6,53)</f>
        <v>41944.629780092589</v>
      </c>
      <c r="C2031">
        <v>80</v>
      </c>
      <c r="D2031">
        <v>79.863159179999997</v>
      </c>
      <c r="E2031">
        <v>50</v>
      </c>
      <c r="F2031">
        <v>47.734947204999997</v>
      </c>
      <c r="G2031">
        <v>1303.4921875</v>
      </c>
      <c r="H2031">
        <v>1291.1024170000001</v>
      </c>
      <c r="I2031">
        <v>1398.3262939000001</v>
      </c>
      <c r="J2031">
        <v>1377.2834473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1645.732565</v>
      </c>
      <c r="B2032" s="1">
        <f>DATE(2014,11,1) + TIME(17,34,53)</f>
        <v>41944.732557870368</v>
      </c>
      <c r="C2032">
        <v>80</v>
      </c>
      <c r="D2032">
        <v>79.849510193</v>
      </c>
      <c r="E2032">
        <v>50</v>
      </c>
      <c r="F2032">
        <v>47.992118834999999</v>
      </c>
      <c r="G2032">
        <v>1303.4884033000001</v>
      </c>
      <c r="H2032">
        <v>1291.0980225000001</v>
      </c>
      <c r="I2032">
        <v>1398.1235352000001</v>
      </c>
      <c r="J2032">
        <v>1377.1810303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1645.8454939999999</v>
      </c>
      <c r="B2033" s="1">
        <f>DATE(2014,11,1) + TIME(20,17,30)</f>
        <v>41944.845486111109</v>
      </c>
      <c r="C2033">
        <v>80</v>
      </c>
      <c r="D2033">
        <v>79.834907532000003</v>
      </c>
      <c r="E2033">
        <v>50</v>
      </c>
      <c r="F2033">
        <v>48.239315032999997</v>
      </c>
      <c r="G2033">
        <v>1303.4842529</v>
      </c>
      <c r="H2033">
        <v>1291.0932617000001</v>
      </c>
      <c r="I2033">
        <v>1397.9257812000001</v>
      </c>
      <c r="J2033">
        <v>1377.0799560999999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1645.9708519999999</v>
      </c>
      <c r="B2034" s="1">
        <f>DATE(2014,11,1) + TIME(23,18,1)</f>
        <v>41944.97084490741</v>
      </c>
      <c r="C2034">
        <v>80</v>
      </c>
      <c r="D2034">
        <v>79.819152832</v>
      </c>
      <c r="E2034">
        <v>50</v>
      </c>
      <c r="F2034">
        <v>48.476116179999998</v>
      </c>
      <c r="G2034">
        <v>1303.4797363</v>
      </c>
      <c r="H2034">
        <v>1291.0880127</v>
      </c>
      <c r="I2034">
        <v>1397.7325439000001</v>
      </c>
      <c r="J2034">
        <v>1376.9797363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1646.1117200000001</v>
      </c>
      <c r="B2035" s="1">
        <f>DATE(2014,11,2) + TIME(2,40,52)</f>
        <v>41945.111712962964</v>
      </c>
      <c r="C2035">
        <v>80</v>
      </c>
      <c r="D2035">
        <v>79.801979064999998</v>
      </c>
      <c r="E2035">
        <v>50</v>
      </c>
      <c r="F2035">
        <v>48.701946259000003</v>
      </c>
      <c r="G2035">
        <v>1303.4747314000001</v>
      </c>
      <c r="H2035">
        <v>1291.0821533000001</v>
      </c>
      <c r="I2035">
        <v>1397.5438231999999</v>
      </c>
      <c r="J2035">
        <v>1376.8801269999999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1646.272416</v>
      </c>
      <c r="B2036" s="1">
        <f>DATE(2014,11,2) + TIME(6,32,16)</f>
        <v>41945.272407407407</v>
      </c>
      <c r="C2036">
        <v>80</v>
      </c>
      <c r="D2036">
        <v>79.783012389999996</v>
      </c>
      <c r="E2036">
        <v>50</v>
      </c>
      <c r="F2036">
        <v>48.916030884000001</v>
      </c>
      <c r="G2036">
        <v>1303.4691161999999</v>
      </c>
      <c r="H2036">
        <v>1291.0756836</v>
      </c>
      <c r="I2036">
        <v>1397.3591309000001</v>
      </c>
      <c r="J2036">
        <v>1376.7807617000001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1646.459218</v>
      </c>
      <c r="B2037" s="1">
        <f>DATE(2014,11,2) + TIME(11,1,16)</f>
        <v>41945.45921296296</v>
      </c>
      <c r="C2037">
        <v>80</v>
      </c>
      <c r="D2037">
        <v>79.761741638000004</v>
      </c>
      <c r="E2037">
        <v>50</v>
      </c>
      <c r="F2037">
        <v>49.117355347</v>
      </c>
      <c r="G2037">
        <v>1303.4627685999999</v>
      </c>
      <c r="H2037">
        <v>1291.0684814000001</v>
      </c>
      <c r="I2037">
        <v>1397.1782227000001</v>
      </c>
      <c r="J2037">
        <v>1376.6812743999999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1646.6817020000001</v>
      </c>
      <c r="B2038" s="1">
        <f>DATE(2014,11,2) + TIME(16,21,39)</f>
        <v>41945.681701388887</v>
      </c>
      <c r="C2038">
        <v>80</v>
      </c>
      <c r="D2038">
        <v>79.737403869999994</v>
      </c>
      <c r="E2038">
        <v>50</v>
      </c>
      <c r="F2038">
        <v>49.304546356000003</v>
      </c>
      <c r="G2038">
        <v>1303.4554443</v>
      </c>
      <c r="H2038">
        <v>1291.0600586</v>
      </c>
      <c r="I2038">
        <v>1397.0004882999999</v>
      </c>
      <c r="J2038">
        <v>1376.5809326000001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1646.9202990000001</v>
      </c>
      <c r="B2039" s="1">
        <f>DATE(2014,11,2) + TIME(22,5,13)</f>
        <v>41945.920289351852</v>
      </c>
      <c r="C2039">
        <v>80</v>
      </c>
      <c r="D2039">
        <v>79.711692810000002</v>
      </c>
      <c r="E2039">
        <v>50</v>
      </c>
      <c r="F2039">
        <v>49.458858489999997</v>
      </c>
      <c r="G2039">
        <v>1303.4466553</v>
      </c>
      <c r="H2039">
        <v>1291.050293</v>
      </c>
      <c r="I2039">
        <v>1396.8406981999999</v>
      </c>
      <c r="J2039">
        <v>1376.4865723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1647.16283</v>
      </c>
      <c r="B2040" s="1">
        <f>DATE(2014,11,3) + TIME(3,54,28)</f>
        <v>41946.162824074076</v>
      </c>
      <c r="C2040">
        <v>80</v>
      </c>
      <c r="D2040">
        <v>79.685615540000001</v>
      </c>
      <c r="E2040">
        <v>50</v>
      </c>
      <c r="F2040">
        <v>49.579013824</v>
      </c>
      <c r="G2040">
        <v>1303.4373779</v>
      </c>
      <c r="H2040">
        <v>1291.0397949000001</v>
      </c>
      <c r="I2040">
        <v>1396.7030029</v>
      </c>
      <c r="J2040">
        <v>1376.4019774999999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1647.414055</v>
      </c>
      <c r="B2041" s="1">
        <f>DATE(2014,11,3) + TIME(9,56,14)</f>
        <v>41946.414050925923</v>
      </c>
      <c r="C2041">
        <v>80</v>
      </c>
      <c r="D2041">
        <v>79.658821106000005</v>
      </c>
      <c r="E2041">
        <v>50</v>
      </c>
      <c r="F2041">
        <v>49.673603057999998</v>
      </c>
      <c r="G2041">
        <v>1303.4278564000001</v>
      </c>
      <c r="H2041">
        <v>1291.0291748</v>
      </c>
      <c r="I2041">
        <v>1396.5831298999999</v>
      </c>
      <c r="J2041">
        <v>1376.3260498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1647.6771309999999</v>
      </c>
      <c r="B2042" s="1">
        <f>DATE(2014,11,3) + TIME(16,15,4)</f>
        <v>41946.677129629628</v>
      </c>
      <c r="C2042">
        <v>80</v>
      </c>
      <c r="D2042">
        <v>79.631057738999999</v>
      </c>
      <c r="E2042">
        <v>50</v>
      </c>
      <c r="F2042">
        <v>49.748065947999997</v>
      </c>
      <c r="G2042">
        <v>1303.4182129000001</v>
      </c>
      <c r="H2042">
        <v>1291.0183105000001</v>
      </c>
      <c r="I2042">
        <v>1396.4769286999999</v>
      </c>
      <c r="J2042">
        <v>1376.2567139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1647.9556869999999</v>
      </c>
      <c r="B2043" s="1">
        <f>DATE(2014,11,3) + TIME(22,56,11)</f>
        <v>41946.955682870372</v>
      </c>
      <c r="C2043">
        <v>80</v>
      </c>
      <c r="D2043">
        <v>79.602066039999997</v>
      </c>
      <c r="E2043">
        <v>50</v>
      </c>
      <c r="F2043">
        <v>49.806522369</v>
      </c>
      <c r="G2043">
        <v>1303.4080810999999</v>
      </c>
      <c r="H2043">
        <v>1291.0069579999999</v>
      </c>
      <c r="I2043">
        <v>1396.3813477000001</v>
      </c>
      <c r="J2043">
        <v>1376.1922606999999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1648.253954</v>
      </c>
      <c r="B2044" s="1">
        <f>DATE(2014,11,4) + TIME(6,5,41)</f>
        <v>41947.253946759258</v>
      </c>
      <c r="C2044">
        <v>80</v>
      </c>
      <c r="D2044">
        <v>79.571502686000002</v>
      </c>
      <c r="E2044">
        <v>50</v>
      </c>
      <c r="F2044">
        <v>49.852130889999998</v>
      </c>
      <c r="G2044">
        <v>1303.3975829999999</v>
      </c>
      <c r="H2044">
        <v>1290.9949951000001</v>
      </c>
      <c r="I2044">
        <v>1396.2941894999999</v>
      </c>
      <c r="J2044">
        <v>1376.1317139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1648.575597</v>
      </c>
      <c r="B2045" s="1">
        <f>DATE(2014,11,4) + TIME(13,48,51)</f>
        <v>41947.575590277775</v>
      </c>
      <c r="C2045">
        <v>80</v>
      </c>
      <c r="D2045">
        <v>79.539085388000004</v>
      </c>
      <c r="E2045">
        <v>50</v>
      </c>
      <c r="F2045">
        <v>49.887256622000002</v>
      </c>
      <c r="G2045">
        <v>1303.3862305</v>
      </c>
      <c r="H2045">
        <v>1290.9822998</v>
      </c>
      <c r="I2045">
        <v>1396.2133789</v>
      </c>
      <c r="J2045">
        <v>1376.0739745999999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1648.9210350000001</v>
      </c>
      <c r="B2046" s="1">
        <f>DATE(2014,11,4) + TIME(22,6,17)</f>
        <v>41947.921030092592</v>
      </c>
      <c r="C2046">
        <v>80</v>
      </c>
      <c r="D2046">
        <v>79.504760742000002</v>
      </c>
      <c r="E2046">
        <v>50</v>
      </c>
      <c r="F2046">
        <v>49.913677216000004</v>
      </c>
      <c r="G2046">
        <v>1303.3741454999999</v>
      </c>
      <c r="H2046">
        <v>1290.9686279</v>
      </c>
      <c r="I2046">
        <v>1396.1376952999999</v>
      </c>
      <c r="J2046">
        <v>1376.0183105000001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1649.296525</v>
      </c>
      <c r="B2047" s="1">
        <f>DATE(2014,11,5) + TIME(7,6,59)</f>
        <v>41948.296516203707</v>
      </c>
      <c r="C2047">
        <v>80</v>
      </c>
      <c r="D2047">
        <v>79.468078613000003</v>
      </c>
      <c r="E2047">
        <v>50</v>
      </c>
      <c r="F2047">
        <v>49.933307648000003</v>
      </c>
      <c r="G2047">
        <v>1303.3612060999999</v>
      </c>
      <c r="H2047">
        <v>1290.9538574000001</v>
      </c>
      <c r="I2047">
        <v>1396.0662841999999</v>
      </c>
      <c r="J2047">
        <v>1375.9644774999999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1649.7094790000001</v>
      </c>
      <c r="B2048" s="1">
        <f>DATE(2014,11,5) + TIME(17,1,39)</f>
        <v>41948.709479166668</v>
      </c>
      <c r="C2048">
        <v>80</v>
      </c>
      <c r="D2048">
        <v>79.428512573000006</v>
      </c>
      <c r="E2048">
        <v>50</v>
      </c>
      <c r="F2048">
        <v>49.947654724000003</v>
      </c>
      <c r="G2048">
        <v>1303.347168</v>
      </c>
      <c r="H2048">
        <v>1290.9379882999999</v>
      </c>
      <c r="I2048">
        <v>1395.9973144999999</v>
      </c>
      <c r="J2048">
        <v>1375.9117432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1650.1698819999999</v>
      </c>
      <c r="B2049" s="1">
        <f>DATE(2014,11,6) + TIME(4,4,37)</f>
        <v>41949.169872685183</v>
      </c>
      <c r="C2049">
        <v>80</v>
      </c>
      <c r="D2049">
        <v>79.385375976999995</v>
      </c>
      <c r="E2049">
        <v>50</v>
      </c>
      <c r="F2049">
        <v>49.957927703999999</v>
      </c>
      <c r="G2049">
        <v>1303.3317870999999</v>
      </c>
      <c r="H2049">
        <v>1290.9206543</v>
      </c>
      <c r="I2049">
        <v>1395.9298096</v>
      </c>
      <c r="J2049">
        <v>1375.8590088000001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1650.676702</v>
      </c>
      <c r="B2050" s="1">
        <f>DATE(2014,11,6) + TIME(16,14,27)</f>
        <v>41949.676701388889</v>
      </c>
      <c r="C2050">
        <v>80</v>
      </c>
      <c r="D2050">
        <v>79.338569641000007</v>
      </c>
      <c r="E2050">
        <v>50</v>
      </c>
      <c r="F2050">
        <v>49.964969635000003</v>
      </c>
      <c r="G2050">
        <v>1303.3146973</v>
      </c>
      <c r="H2050">
        <v>1290.9013672000001</v>
      </c>
      <c r="I2050">
        <v>1395.8623047000001</v>
      </c>
      <c r="J2050">
        <v>1375.8057861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1651.18631</v>
      </c>
      <c r="B2051" s="1">
        <f>DATE(2014,11,7) + TIME(4,28,17)</f>
        <v>41950.186307870368</v>
      </c>
      <c r="C2051">
        <v>80</v>
      </c>
      <c r="D2051">
        <v>79.290496825999995</v>
      </c>
      <c r="E2051">
        <v>50</v>
      </c>
      <c r="F2051">
        <v>49.969394684000001</v>
      </c>
      <c r="G2051">
        <v>1303.2956543</v>
      </c>
      <c r="H2051">
        <v>1290.880249</v>
      </c>
      <c r="I2051">
        <v>1395.7955322</v>
      </c>
      <c r="J2051">
        <v>1375.7525635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1651.7061739999999</v>
      </c>
      <c r="B2052" s="1">
        <f>DATE(2014,11,7) + TIME(16,56,53)</f>
        <v>41950.70616898148</v>
      </c>
      <c r="C2052">
        <v>80</v>
      </c>
      <c r="D2052">
        <v>79.241287231000001</v>
      </c>
      <c r="E2052">
        <v>50</v>
      </c>
      <c r="F2052">
        <v>49.972221374999997</v>
      </c>
      <c r="G2052">
        <v>1303.2767334</v>
      </c>
      <c r="H2052">
        <v>1290.8588867000001</v>
      </c>
      <c r="I2052">
        <v>1395.7342529</v>
      </c>
      <c r="J2052">
        <v>1375.7036132999999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1652.2434450000001</v>
      </c>
      <c r="B2053" s="1">
        <f>DATE(2014,11,8) + TIME(5,50,33)</f>
        <v>41951.243437500001</v>
      </c>
      <c r="C2053">
        <v>80</v>
      </c>
      <c r="D2053">
        <v>79.190788268999995</v>
      </c>
      <c r="E2053">
        <v>50</v>
      </c>
      <c r="F2053">
        <v>49.974044800000001</v>
      </c>
      <c r="G2053">
        <v>1303.2574463000001</v>
      </c>
      <c r="H2053">
        <v>1290.8371582</v>
      </c>
      <c r="I2053">
        <v>1395.6767577999999</v>
      </c>
      <c r="J2053">
        <v>1375.6575928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1652.8051869999999</v>
      </c>
      <c r="B2054" s="1">
        <f>DATE(2014,11,8) + TIME(19,19,28)</f>
        <v>41951.805185185185</v>
      </c>
      <c r="C2054">
        <v>80</v>
      </c>
      <c r="D2054">
        <v>79.138687133999994</v>
      </c>
      <c r="E2054">
        <v>50</v>
      </c>
      <c r="F2054">
        <v>49.975227355999998</v>
      </c>
      <c r="G2054">
        <v>1303.2375488</v>
      </c>
      <c r="H2054">
        <v>1290.8148193</v>
      </c>
      <c r="I2054">
        <v>1395.6218262</v>
      </c>
      <c r="J2054">
        <v>1375.6136475000001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1653.3990389999999</v>
      </c>
      <c r="B2055" s="1">
        <f>DATE(2014,11,9) + TIME(9,34,36)</f>
        <v>41952.399027777778</v>
      </c>
      <c r="C2055">
        <v>80</v>
      </c>
      <c r="D2055">
        <v>79.084510803000001</v>
      </c>
      <c r="E2055">
        <v>50</v>
      </c>
      <c r="F2055">
        <v>49.976001740000001</v>
      </c>
      <c r="G2055">
        <v>1303.2169189000001</v>
      </c>
      <c r="H2055">
        <v>1290.7912598</v>
      </c>
      <c r="I2055">
        <v>1395.5683594</v>
      </c>
      <c r="J2055">
        <v>1375.5709228999999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1654.0341739999999</v>
      </c>
      <c r="B2056" s="1">
        <f>DATE(2014,11,10) + TIME(0,49,12)</f>
        <v>41953.034166666665</v>
      </c>
      <c r="C2056">
        <v>80</v>
      </c>
      <c r="D2056">
        <v>79.027702332000004</v>
      </c>
      <c r="E2056">
        <v>50</v>
      </c>
      <c r="F2056">
        <v>49.976512909</v>
      </c>
      <c r="G2056">
        <v>1303.1950684000001</v>
      </c>
      <c r="H2056">
        <v>1290.7664795000001</v>
      </c>
      <c r="I2056">
        <v>1395.5157471</v>
      </c>
      <c r="J2056">
        <v>1375.5289307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1654.7220159999999</v>
      </c>
      <c r="B2057" s="1">
        <f>DATE(2014,11,10) + TIME(17,19,42)</f>
        <v>41953.722013888888</v>
      </c>
      <c r="C2057">
        <v>80</v>
      </c>
      <c r="D2057">
        <v>78.967506408999995</v>
      </c>
      <c r="E2057">
        <v>50</v>
      </c>
      <c r="F2057">
        <v>49.976856232000003</v>
      </c>
      <c r="G2057">
        <v>1303.1716309000001</v>
      </c>
      <c r="H2057">
        <v>1290.7399902</v>
      </c>
      <c r="I2057">
        <v>1395.4631348</v>
      </c>
      <c r="J2057">
        <v>1375.4870605000001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1655.4686160000001</v>
      </c>
      <c r="B2058" s="1">
        <f>DATE(2014,11,11) + TIME(11,14,48)</f>
        <v>41954.468611111108</v>
      </c>
      <c r="C2058">
        <v>80</v>
      </c>
      <c r="D2058">
        <v>78.903381347999996</v>
      </c>
      <c r="E2058">
        <v>50</v>
      </c>
      <c r="F2058">
        <v>49.977081298999998</v>
      </c>
      <c r="G2058">
        <v>1303.1462402</v>
      </c>
      <c r="H2058">
        <v>1290.7111815999999</v>
      </c>
      <c r="I2058">
        <v>1395.4099120999999</v>
      </c>
      <c r="J2058">
        <v>1375.4448242000001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1656.2658899999999</v>
      </c>
      <c r="B2059" s="1">
        <f>DATE(2014,11,12) + TIME(6,22,52)</f>
        <v>41955.265879629631</v>
      </c>
      <c r="C2059">
        <v>80</v>
      </c>
      <c r="D2059">
        <v>78.835441588999998</v>
      </c>
      <c r="E2059">
        <v>50</v>
      </c>
      <c r="F2059">
        <v>49.977230071999998</v>
      </c>
      <c r="G2059">
        <v>1303.1186522999999</v>
      </c>
      <c r="H2059">
        <v>1290.6799315999999</v>
      </c>
      <c r="I2059">
        <v>1395.3560791</v>
      </c>
      <c r="J2059">
        <v>1375.4020995999999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1657.0899710000001</v>
      </c>
      <c r="B2060" s="1">
        <f>DATE(2014,11,13) + TIME(2,9,33)</f>
        <v>41956.089965277781</v>
      </c>
      <c r="C2060">
        <v>80</v>
      </c>
      <c r="D2060">
        <v>78.764778136999993</v>
      </c>
      <c r="E2060">
        <v>50</v>
      </c>
      <c r="F2060">
        <v>49.977329253999997</v>
      </c>
      <c r="G2060">
        <v>1303.0891113</v>
      </c>
      <c r="H2060">
        <v>1290.6464844</v>
      </c>
      <c r="I2060">
        <v>1395.3022461</v>
      </c>
      <c r="J2060">
        <v>1375.3596190999999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1657.92436</v>
      </c>
      <c r="B2061" s="1">
        <f>DATE(2014,11,13) + TIME(22,11,4)</f>
        <v>41956.924351851849</v>
      </c>
      <c r="C2061">
        <v>80</v>
      </c>
      <c r="D2061">
        <v>78.692687988000003</v>
      </c>
      <c r="E2061">
        <v>50</v>
      </c>
      <c r="F2061">
        <v>49.977394103999998</v>
      </c>
      <c r="G2061">
        <v>1303.0583495999999</v>
      </c>
      <c r="H2061">
        <v>1290.6116943</v>
      </c>
      <c r="I2061">
        <v>1395.2503661999999</v>
      </c>
      <c r="J2061">
        <v>1375.3187256000001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1658.780293</v>
      </c>
      <c r="B2062" s="1">
        <f>DATE(2014,11,14) + TIME(18,43,37)</f>
        <v>41957.780289351853</v>
      </c>
      <c r="C2062">
        <v>80</v>
      </c>
      <c r="D2062">
        <v>78.619377135999997</v>
      </c>
      <c r="E2062">
        <v>50</v>
      </c>
      <c r="F2062">
        <v>49.977436066000003</v>
      </c>
      <c r="G2062">
        <v>1303.0273437999999</v>
      </c>
      <c r="H2062">
        <v>1290.5762939000001</v>
      </c>
      <c r="I2062">
        <v>1395.2010498</v>
      </c>
      <c r="J2062">
        <v>1375.2800293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1659.6688650000001</v>
      </c>
      <c r="B2063" s="1">
        <f>DATE(2014,11,15) + TIME(16,3,9)</f>
        <v>41958.668854166666</v>
      </c>
      <c r="C2063">
        <v>80</v>
      </c>
      <c r="D2063">
        <v>78.544502257999994</v>
      </c>
      <c r="E2063">
        <v>50</v>
      </c>
      <c r="F2063">
        <v>49.977470398000001</v>
      </c>
      <c r="G2063">
        <v>1302.9952393000001</v>
      </c>
      <c r="H2063">
        <v>1290.5396728999999</v>
      </c>
      <c r="I2063">
        <v>1395.1535644999999</v>
      </c>
      <c r="J2063">
        <v>1375.2427978999999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1660.60194</v>
      </c>
      <c r="B2064" s="1">
        <f>DATE(2014,11,16) + TIME(14,26,47)</f>
        <v>41959.60193287037</v>
      </c>
      <c r="C2064">
        <v>80</v>
      </c>
      <c r="D2064">
        <v>78.467445373999993</v>
      </c>
      <c r="E2064">
        <v>50</v>
      </c>
      <c r="F2064">
        <v>49.977493285999998</v>
      </c>
      <c r="G2064">
        <v>1302.9619141000001</v>
      </c>
      <c r="H2064">
        <v>1290.5015868999999</v>
      </c>
      <c r="I2064">
        <v>1395.1071777</v>
      </c>
      <c r="J2064">
        <v>1375.2064209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1661.5933339999999</v>
      </c>
      <c r="B2065" s="1">
        <f>DATE(2014,11,17) + TIME(14,14,24)</f>
        <v>41960.593333333331</v>
      </c>
      <c r="C2065">
        <v>80</v>
      </c>
      <c r="D2065">
        <v>78.387397766000007</v>
      </c>
      <c r="E2065">
        <v>50</v>
      </c>
      <c r="F2065">
        <v>49.977508544999999</v>
      </c>
      <c r="G2065">
        <v>1302.9267577999999</v>
      </c>
      <c r="H2065">
        <v>1290.4611815999999</v>
      </c>
      <c r="I2065">
        <v>1395.0610352000001</v>
      </c>
      <c r="J2065">
        <v>1375.1704102000001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1662.6602499999999</v>
      </c>
      <c r="B2066" s="1">
        <f>DATE(2014,11,18) + TIME(15,50,45)</f>
        <v>41961.660243055558</v>
      </c>
      <c r="C2066">
        <v>80</v>
      </c>
      <c r="D2066">
        <v>78.303329468000001</v>
      </c>
      <c r="E2066">
        <v>50</v>
      </c>
      <c r="F2066">
        <v>49.977523804</v>
      </c>
      <c r="G2066">
        <v>1302.8891602000001</v>
      </c>
      <c r="H2066">
        <v>1290.4179687999999</v>
      </c>
      <c r="I2066">
        <v>1395.0147704999999</v>
      </c>
      <c r="J2066">
        <v>1375.1342772999999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1663.81809</v>
      </c>
      <c r="B2067" s="1">
        <f>DATE(2014,11,19) + TIME(19,38,2)</f>
        <v>41962.818078703705</v>
      </c>
      <c r="C2067">
        <v>80</v>
      </c>
      <c r="D2067">
        <v>78.214195251000007</v>
      </c>
      <c r="E2067">
        <v>50</v>
      </c>
      <c r="F2067">
        <v>49.977539061999998</v>
      </c>
      <c r="G2067">
        <v>1302.8483887</v>
      </c>
      <c r="H2067">
        <v>1290.3709716999999</v>
      </c>
      <c r="I2067">
        <v>1394.9677733999999</v>
      </c>
      <c r="J2067">
        <v>1375.0977783000001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1664.9844049999999</v>
      </c>
      <c r="B2068" s="1">
        <f>DATE(2014,11,20) + TIME(23,37,32)</f>
        <v>41963.984398148146</v>
      </c>
      <c r="C2068">
        <v>80</v>
      </c>
      <c r="D2068">
        <v>78.122070312000005</v>
      </c>
      <c r="E2068">
        <v>50</v>
      </c>
      <c r="F2068">
        <v>49.977546691999997</v>
      </c>
      <c r="G2068">
        <v>1302.8037108999999</v>
      </c>
      <c r="H2068">
        <v>1290.3195800999999</v>
      </c>
      <c r="I2068">
        <v>1394.9195557</v>
      </c>
      <c r="J2068">
        <v>1375.0601807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1666.167375</v>
      </c>
      <c r="B2069" s="1">
        <f>DATE(2014,11,22) + TIME(4,1,1)</f>
        <v>41965.167372685188</v>
      </c>
      <c r="C2069">
        <v>80</v>
      </c>
      <c r="D2069">
        <v>78.028739928999997</v>
      </c>
      <c r="E2069">
        <v>50</v>
      </c>
      <c r="F2069">
        <v>49.977558135999999</v>
      </c>
      <c r="G2069">
        <v>1302.7581786999999</v>
      </c>
      <c r="H2069">
        <v>1290.2670897999999</v>
      </c>
      <c r="I2069">
        <v>1394.8736572</v>
      </c>
      <c r="J2069">
        <v>1375.0246582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1667.382762</v>
      </c>
      <c r="B2070" s="1">
        <f>DATE(2014,11,23) + TIME(9,11,10)</f>
        <v>41966.382754629631</v>
      </c>
      <c r="C2070">
        <v>80</v>
      </c>
      <c r="D2070">
        <v>77.934364318999997</v>
      </c>
      <c r="E2070">
        <v>50</v>
      </c>
      <c r="F2070">
        <v>49.977569580000001</v>
      </c>
      <c r="G2070">
        <v>1302.7116699000001</v>
      </c>
      <c r="H2070">
        <v>1290.2128906</v>
      </c>
      <c r="I2070">
        <v>1394.8297118999999</v>
      </c>
      <c r="J2070">
        <v>1374.9904785000001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1668.646604</v>
      </c>
      <c r="B2071" s="1">
        <f>DATE(2014,11,24) + TIME(15,31,6)</f>
        <v>41967.646597222221</v>
      </c>
      <c r="C2071">
        <v>80</v>
      </c>
      <c r="D2071">
        <v>77.838317871000001</v>
      </c>
      <c r="E2071">
        <v>50</v>
      </c>
      <c r="F2071">
        <v>49.977577209000003</v>
      </c>
      <c r="G2071">
        <v>1302.6633300999999</v>
      </c>
      <c r="H2071">
        <v>1290.1564940999999</v>
      </c>
      <c r="I2071">
        <v>1394.7867432</v>
      </c>
      <c r="J2071">
        <v>1374.9571533000001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1669.9764769999999</v>
      </c>
      <c r="B2072" s="1">
        <f>DATE(2014,11,25) + TIME(23,26,7)</f>
        <v>41968.976469907408</v>
      </c>
      <c r="C2072">
        <v>80</v>
      </c>
      <c r="D2072">
        <v>77.739662170000003</v>
      </c>
      <c r="E2072">
        <v>50</v>
      </c>
      <c r="F2072">
        <v>49.977588654000002</v>
      </c>
      <c r="G2072">
        <v>1302.6124268000001</v>
      </c>
      <c r="H2072">
        <v>1290.0969238</v>
      </c>
      <c r="I2072">
        <v>1394.7443848</v>
      </c>
      <c r="J2072">
        <v>1374.9243164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1671.39366</v>
      </c>
      <c r="B2073" s="1">
        <f>DATE(2014,11,27) + TIME(9,26,52)</f>
        <v>41970.393657407411</v>
      </c>
      <c r="C2073">
        <v>80</v>
      </c>
      <c r="D2073">
        <v>77.637222289999997</v>
      </c>
      <c r="E2073">
        <v>50</v>
      </c>
      <c r="F2073">
        <v>49.977600098000003</v>
      </c>
      <c r="G2073">
        <v>1302.5583495999999</v>
      </c>
      <c r="H2073">
        <v>1290.0332031</v>
      </c>
      <c r="I2073">
        <v>1394.7019043</v>
      </c>
      <c r="J2073">
        <v>1374.8914795000001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1672.910159</v>
      </c>
      <c r="B2074" s="1">
        <f>DATE(2014,11,28) + TIME(21,50,37)</f>
        <v>41971.910150462965</v>
      </c>
      <c r="C2074">
        <v>80</v>
      </c>
      <c r="D2074">
        <v>77.529937743999994</v>
      </c>
      <c r="E2074">
        <v>50</v>
      </c>
      <c r="F2074">
        <v>49.977615356000001</v>
      </c>
      <c r="G2074">
        <v>1302.4997559000001</v>
      </c>
      <c r="H2074">
        <v>1289.9639893000001</v>
      </c>
      <c r="I2074">
        <v>1394.6588135</v>
      </c>
      <c r="J2074">
        <v>1374.8581543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1674.4730199999999</v>
      </c>
      <c r="B2075" s="1">
        <f>DATE(2014,11,30) + TIME(11,21,8)</f>
        <v>41973.473009259258</v>
      </c>
      <c r="C2075">
        <v>80</v>
      </c>
      <c r="D2075">
        <v>77.418586731000005</v>
      </c>
      <c r="E2075">
        <v>50</v>
      </c>
      <c r="F2075">
        <v>49.977630615000002</v>
      </c>
      <c r="G2075">
        <v>1302.4360352000001</v>
      </c>
      <c r="H2075">
        <v>1289.8886719</v>
      </c>
      <c r="I2075">
        <v>1394.6149902</v>
      </c>
      <c r="J2075">
        <v>1374.8242187999999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1675</v>
      </c>
      <c r="B2076" s="1">
        <f>DATE(2014,12,1) + TIME(0,0,0)</f>
        <v>41974</v>
      </c>
      <c r="C2076">
        <v>80</v>
      </c>
      <c r="D2076">
        <v>77.351928710999999</v>
      </c>
      <c r="E2076">
        <v>50</v>
      </c>
      <c r="F2076">
        <v>49.977630615000002</v>
      </c>
      <c r="G2076">
        <v>1302.3676757999999</v>
      </c>
      <c r="H2076">
        <v>1289.8128661999999</v>
      </c>
      <c r="I2076">
        <v>1394.5714111</v>
      </c>
      <c r="J2076">
        <v>1374.7904053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1676.5761359999999</v>
      </c>
      <c r="B2077" s="1">
        <f>DATE(2014,12,2) + TIME(13,49,38)</f>
        <v>41975.57613425926</v>
      </c>
      <c r="C2077">
        <v>80</v>
      </c>
      <c r="D2077">
        <v>77.257591247999997</v>
      </c>
      <c r="E2077">
        <v>50</v>
      </c>
      <c r="F2077">
        <v>49.977645873999997</v>
      </c>
      <c r="G2077">
        <v>1302.3457031</v>
      </c>
      <c r="H2077">
        <v>1289.7795410000001</v>
      </c>
      <c r="I2077">
        <v>1394.5581055</v>
      </c>
      <c r="J2077">
        <v>1374.7802733999999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1678.2035639999999</v>
      </c>
      <c r="B2078" s="1">
        <f>DATE(2014,12,4) + TIME(4,53,7)</f>
        <v>41977.203553240739</v>
      </c>
      <c r="C2078">
        <v>80</v>
      </c>
      <c r="D2078">
        <v>77.150382996000005</v>
      </c>
      <c r="E2078">
        <v>50</v>
      </c>
      <c r="F2078">
        <v>49.977661132999998</v>
      </c>
      <c r="G2078">
        <v>1302.2768555</v>
      </c>
      <c r="H2078">
        <v>1289.697876</v>
      </c>
      <c r="I2078">
        <v>1394.5174560999999</v>
      </c>
      <c r="J2078">
        <v>1374.7487793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1679.8918759999999</v>
      </c>
      <c r="B2079" s="1">
        <f>DATE(2014,12,5) + TIME(21,24,18)</f>
        <v>41978.891875000001</v>
      </c>
      <c r="C2079">
        <v>80</v>
      </c>
      <c r="D2079">
        <v>77.037132263000004</v>
      </c>
      <c r="E2079">
        <v>50</v>
      </c>
      <c r="F2079">
        <v>49.977680206000002</v>
      </c>
      <c r="G2079">
        <v>1302.2042236</v>
      </c>
      <c r="H2079">
        <v>1289.6104736</v>
      </c>
      <c r="I2079">
        <v>1394.4772949000001</v>
      </c>
      <c r="J2079">
        <v>1374.7177733999999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1681.664507</v>
      </c>
      <c r="B2080" s="1">
        <f>DATE(2014,12,7) + TIME(15,56,53)</f>
        <v>41980.664502314816</v>
      </c>
      <c r="C2080">
        <v>80</v>
      </c>
      <c r="D2080">
        <v>76.919609070000007</v>
      </c>
      <c r="E2080">
        <v>50</v>
      </c>
      <c r="F2080">
        <v>49.977695464999996</v>
      </c>
      <c r="G2080">
        <v>1302.1271973</v>
      </c>
      <c r="H2080">
        <v>1289.5172118999999</v>
      </c>
      <c r="I2080">
        <v>1394.4375</v>
      </c>
      <c r="J2080">
        <v>1374.6868896000001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1683.4702319999999</v>
      </c>
      <c r="B2081" s="1">
        <f>DATE(2014,12,9) + TIME(11,17,8)</f>
        <v>41982.470231481479</v>
      </c>
      <c r="C2081">
        <v>80</v>
      </c>
      <c r="D2081">
        <v>76.799072265999996</v>
      </c>
      <c r="E2081">
        <v>50</v>
      </c>
      <c r="F2081">
        <v>49.977714538999997</v>
      </c>
      <c r="G2081">
        <v>1302.0446777</v>
      </c>
      <c r="H2081">
        <v>1289.4167480000001</v>
      </c>
      <c r="I2081">
        <v>1394.3974608999999</v>
      </c>
      <c r="J2081">
        <v>1374.6558838000001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1685.311522</v>
      </c>
      <c r="B2082" s="1">
        <f>DATE(2014,12,11) + TIME(7,28,35)</f>
        <v>41984.311516203707</v>
      </c>
      <c r="C2082">
        <v>80</v>
      </c>
      <c r="D2082">
        <v>76.677185058999996</v>
      </c>
      <c r="E2082">
        <v>50</v>
      </c>
      <c r="F2082">
        <v>49.977733612000002</v>
      </c>
      <c r="G2082">
        <v>1301.9586182</v>
      </c>
      <c r="H2082">
        <v>1289.3112793</v>
      </c>
      <c r="I2082">
        <v>1394.3583983999999</v>
      </c>
      <c r="J2082">
        <v>1374.6256103999999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1687.192693</v>
      </c>
      <c r="B2083" s="1">
        <f>DATE(2014,12,13) + TIME(4,37,28)</f>
        <v>41986.192685185182</v>
      </c>
      <c r="C2083">
        <v>80</v>
      </c>
      <c r="D2083">
        <v>76.554367064999994</v>
      </c>
      <c r="E2083">
        <v>50</v>
      </c>
      <c r="F2083">
        <v>49.977752686000002</v>
      </c>
      <c r="G2083">
        <v>1301.8687743999999</v>
      </c>
      <c r="H2083">
        <v>1289.2004394999999</v>
      </c>
      <c r="I2083">
        <v>1394.3203125</v>
      </c>
      <c r="J2083">
        <v>1374.5959473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1689.1111089999999</v>
      </c>
      <c r="B2084" s="1">
        <f>DATE(2014,12,15) + TIME(2,39,59)</f>
        <v>41988.11109953704</v>
      </c>
      <c r="C2084">
        <v>80</v>
      </c>
      <c r="D2084">
        <v>76.430702209000003</v>
      </c>
      <c r="E2084">
        <v>50</v>
      </c>
      <c r="F2084">
        <v>49.977771758999999</v>
      </c>
      <c r="G2084">
        <v>1301.7749022999999</v>
      </c>
      <c r="H2084">
        <v>1289.0839844</v>
      </c>
      <c r="I2084">
        <v>1394.2828368999999</v>
      </c>
      <c r="J2084">
        <v>1374.5668945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1691.0575060000001</v>
      </c>
      <c r="B2085" s="1">
        <f>DATE(2014,12,17) + TIME(1,22,48)</f>
        <v>41990.057500000003</v>
      </c>
      <c r="C2085">
        <v>80</v>
      </c>
      <c r="D2085">
        <v>76.306457519999995</v>
      </c>
      <c r="E2085">
        <v>50</v>
      </c>
      <c r="F2085">
        <v>49.977790833</v>
      </c>
      <c r="G2085">
        <v>1301.6767577999999</v>
      </c>
      <c r="H2085">
        <v>1288.9616699000001</v>
      </c>
      <c r="I2085">
        <v>1394.2460937999999</v>
      </c>
      <c r="J2085">
        <v>1374.5383300999999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1693.0383509999999</v>
      </c>
      <c r="B2086" s="1">
        <f>DATE(2014,12,19) + TIME(0,55,13)</f>
        <v>41992.038344907407</v>
      </c>
      <c r="C2086">
        <v>80</v>
      </c>
      <c r="D2086">
        <v>76.181823730000005</v>
      </c>
      <c r="E2086">
        <v>50</v>
      </c>
      <c r="F2086">
        <v>49.977813720999997</v>
      </c>
      <c r="G2086">
        <v>1301.574707</v>
      </c>
      <c r="H2086">
        <v>1288.8337402</v>
      </c>
      <c r="I2086">
        <v>1394.2103271000001</v>
      </c>
      <c r="J2086">
        <v>1374.510376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1695.0582939999999</v>
      </c>
      <c r="B2087" s="1">
        <f>DATE(2014,12,21) + TIME(1,23,56)</f>
        <v>41994.058287037034</v>
      </c>
      <c r="C2087">
        <v>80</v>
      </c>
      <c r="D2087">
        <v>76.056594849000007</v>
      </c>
      <c r="E2087">
        <v>50</v>
      </c>
      <c r="F2087">
        <v>49.977832794000001</v>
      </c>
      <c r="G2087">
        <v>1301.4683838000001</v>
      </c>
      <c r="H2087">
        <v>1288.6995850000001</v>
      </c>
      <c r="I2087">
        <v>1394.1751709</v>
      </c>
      <c r="J2087">
        <v>1374.4829102000001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1697.122024</v>
      </c>
      <c r="B2088" s="1">
        <f>DATE(2014,12,23) + TIME(2,55,42)</f>
        <v>41996.122013888889</v>
      </c>
      <c r="C2088">
        <v>80</v>
      </c>
      <c r="D2088">
        <v>75.930480957</v>
      </c>
      <c r="E2088">
        <v>50</v>
      </c>
      <c r="F2088">
        <v>49.977855681999998</v>
      </c>
      <c r="G2088">
        <v>1301.3572998</v>
      </c>
      <c r="H2088">
        <v>1288.5587158000001</v>
      </c>
      <c r="I2088">
        <v>1394.140625</v>
      </c>
      <c r="J2088">
        <v>1374.4559326000001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1699.234322</v>
      </c>
      <c r="B2089" s="1">
        <f>DATE(2014,12,25) + TIME(5,37,25)</f>
        <v>41998.234317129631</v>
      </c>
      <c r="C2089">
        <v>80</v>
      </c>
      <c r="D2089">
        <v>75.803192139000004</v>
      </c>
      <c r="E2089">
        <v>50</v>
      </c>
      <c r="F2089">
        <v>49.977878570999998</v>
      </c>
      <c r="G2089">
        <v>1301.2408447</v>
      </c>
      <c r="H2089">
        <v>1288.4104004000001</v>
      </c>
      <c r="I2089">
        <v>1394.1064452999999</v>
      </c>
      <c r="J2089">
        <v>1374.4291992000001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1701.374423</v>
      </c>
      <c r="B2090" s="1">
        <f>DATE(2014,12,27) + TIME(8,59,10)</f>
        <v>42000.374421296299</v>
      </c>
      <c r="C2090">
        <v>80</v>
      </c>
      <c r="D2090">
        <v>75.674850464000002</v>
      </c>
      <c r="E2090">
        <v>50</v>
      </c>
      <c r="F2090">
        <v>49.977901459000002</v>
      </c>
      <c r="G2090">
        <v>1301.1187743999999</v>
      </c>
      <c r="H2090">
        <v>1288.2541504000001</v>
      </c>
      <c r="I2090">
        <v>1394.0727539</v>
      </c>
      <c r="J2090">
        <v>1374.4027100000001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1703.5452700000001</v>
      </c>
      <c r="B2091" s="1">
        <f>DATE(2014,12,29) + TIME(13,5,11)</f>
        <v>42002.545266203706</v>
      </c>
      <c r="C2091">
        <v>80</v>
      </c>
      <c r="D2091">
        <v>75.545944214000002</v>
      </c>
      <c r="E2091">
        <v>50</v>
      </c>
      <c r="F2091">
        <v>49.977928161999998</v>
      </c>
      <c r="G2091">
        <v>1300.9920654</v>
      </c>
      <c r="H2091">
        <v>1288.0909423999999</v>
      </c>
      <c r="I2091">
        <v>1394.0396728999999</v>
      </c>
      <c r="J2091">
        <v>1374.3767089999999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1705.74965</v>
      </c>
      <c r="B2092" s="1">
        <f>DATE(2014,12,31) + TIME(17,59,29)</f>
        <v>42004.749641203707</v>
      </c>
      <c r="C2092">
        <v>80</v>
      </c>
      <c r="D2092">
        <v>75.416419982999997</v>
      </c>
      <c r="E2092">
        <v>50</v>
      </c>
      <c r="F2092">
        <v>49.977951050000001</v>
      </c>
      <c r="G2092">
        <v>1300.8602295000001</v>
      </c>
      <c r="H2092">
        <v>1287.9204102000001</v>
      </c>
      <c r="I2092">
        <v>1394.0072021000001</v>
      </c>
      <c r="J2092">
        <v>1374.3511963000001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1706</v>
      </c>
      <c r="B2093" s="1">
        <f>DATE(2015,1,1) + TIME(0,0,0)</f>
        <v>42005</v>
      </c>
      <c r="C2093">
        <v>80</v>
      </c>
      <c r="D2093">
        <v>75.375358582000004</v>
      </c>
      <c r="E2093">
        <v>50</v>
      </c>
      <c r="F2093">
        <v>49.977951050000001</v>
      </c>
      <c r="G2093">
        <v>1300.7302245999999</v>
      </c>
      <c r="H2093">
        <v>1287.7669678</v>
      </c>
      <c r="I2093">
        <v>1393.9741211</v>
      </c>
      <c r="J2093">
        <v>1374.3249512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1708.225778</v>
      </c>
      <c r="B2094" s="1">
        <f>DATE(2015,1,3) + TIME(5,25,7)</f>
        <v>42007.225775462961</v>
      </c>
      <c r="C2094">
        <v>80</v>
      </c>
      <c r="D2094">
        <v>75.264419556000007</v>
      </c>
      <c r="E2094">
        <v>50</v>
      </c>
      <c r="F2094">
        <v>49.977977752999998</v>
      </c>
      <c r="G2094">
        <v>1300.7043457</v>
      </c>
      <c r="H2094">
        <v>1287.7156981999999</v>
      </c>
      <c r="I2094">
        <v>1393.9718018000001</v>
      </c>
      <c r="J2094">
        <v>1374.3232422000001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1710.4808519999999</v>
      </c>
      <c r="B2095" s="1">
        <f>DATE(2015,1,5) + TIME(11,32,25)</f>
        <v>42009.480844907404</v>
      </c>
      <c r="C2095">
        <v>80</v>
      </c>
      <c r="D2095">
        <v>75.139244079999997</v>
      </c>
      <c r="E2095">
        <v>50</v>
      </c>
      <c r="F2095">
        <v>49.978004456000001</v>
      </c>
      <c r="G2095">
        <v>1300.5640868999999</v>
      </c>
      <c r="H2095">
        <v>1287.5339355000001</v>
      </c>
      <c r="I2095">
        <v>1393.9406738</v>
      </c>
      <c r="J2095">
        <v>1374.2985839999999</v>
      </c>
      <c r="K2095">
        <v>0</v>
      </c>
      <c r="L2095">
        <v>2400</v>
      </c>
      <c r="M2095">
        <v>2400</v>
      </c>
      <c r="N2095">
        <v>0</v>
      </c>
    </row>
    <row r="2096" spans="1:14" x14ac:dyDescent="0.25">
      <c r="A2096">
        <v>1712.76737</v>
      </c>
      <c r="B2096" s="1">
        <f>DATE(2015,1,7) + TIME(18,25,0)</f>
        <v>42011.767361111109</v>
      </c>
      <c r="C2096">
        <v>80</v>
      </c>
      <c r="D2096">
        <v>75.009620666999993</v>
      </c>
      <c r="E2096">
        <v>50</v>
      </c>
      <c r="F2096">
        <v>49.978031158</v>
      </c>
      <c r="G2096">
        <v>1300.4169922000001</v>
      </c>
      <c r="H2096">
        <v>1287.3414307</v>
      </c>
      <c r="I2096">
        <v>1393.9099120999999</v>
      </c>
      <c r="J2096">
        <v>1374.2742920000001</v>
      </c>
      <c r="K2096">
        <v>0</v>
      </c>
      <c r="L2096">
        <v>2400</v>
      </c>
      <c r="M2096">
        <v>2400</v>
      </c>
      <c r="N2096">
        <v>0</v>
      </c>
    </row>
    <row r="2097" spans="1:14" x14ac:dyDescent="0.25">
      <c r="A2097">
        <v>1715.0905809999999</v>
      </c>
      <c r="B2097" s="1">
        <f>DATE(2015,1,10) + TIME(2,10,26)</f>
        <v>42014.090578703705</v>
      </c>
      <c r="C2097">
        <v>80</v>
      </c>
      <c r="D2097">
        <v>74.877830505000006</v>
      </c>
      <c r="E2097">
        <v>50</v>
      </c>
      <c r="F2097">
        <v>49.978054047000001</v>
      </c>
      <c r="G2097">
        <v>1300.2640381000001</v>
      </c>
      <c r="H2097">
        <v>1287.1400146000001</v>
      </c>
      <c r="I2097">
        <v>1393.8797606999999</v>
      </c>
      <c r="J2097">
        <v>1374.2503661999999</v>
      </c>
      <c r="K2097">
        <v>0</v>
      </c>
      <c r="L2097">
        <v>2400</v>
      </c>
      <c r="M2097">
        <v>2400</v>
      </c>
      <c r="N2097">
        <v>0</v>
      </c>
    </row>
    <row r="2098" spans="1:14" x14ac:dyDescent="0.25">
      <c r="A2098">
        <v>1717.4559959999999</v>
      </c>
      <c r="B2098" s="1">
        <f>DATE(2015,1,12) + TIME(10,56,38)</f>
        <v>42016.455995370372</v>
      </c>
      <c r="C2098">
        <v>80</v>
      </c>
      <c r="D2098">
        <v>74.744316100999995</v>
      </c>
      <c r="E2098">
        <v>50</v>
      </c>
      <c r="F2098">
        <v>49.978080749999997</v>
      </c>
      <c r="G2098">
        <v>1300.1049805</v>
      </c>
      <c r="H2098">
        <v>1286.9294434000001</v>
      </c>
      <c r="I2098">
        <v>1393.8499756000001</v>
      </c>
      <c r="J2098">
        <v>1374.2266846</v>
      </c>
      <c r="K2098">
        <v>0</v>
      </c>
      <c r="L2098">
        <v>2400</v>
      </c>
      <c r="M2098">
        <v>2400</v>
      </c>
      <c r="N2098">
        <v>0</v>
      </c>
    </row>
    <row r="2099" spans="1:14" x14ac:dyDescent="0.25">
      <c r="A2099">
        <v>1719.8666780000001</v>
      </c>
      <c r="B2099" s="1">
        <f>DATE(2015,1,14) + TIME(20,48,0)</f>
        <v>42018.866666666669</v>
      </c>
      <c r="C2099">
        <v>80</v>
      </c>
      <c r="D2099">
        <v>74.608848571999999</v>
      </c>
      <c r="E2099">
        <v>50</v>
      </c>
      <c r="F2099">
        <v>49.978107452000003</v>
      </c>
      <c r="G2099">
        <v>1299.9392089999999</v>
      </c>
      <c r="H2099">
        <v>1286.7093506000001</v>
      </c>
      <c r="I2099">
        <v>1393.8203125</v>
      </c>
      <c r="J2099">
        <v>1374.203125</v>
      </c>
      <c r="K2099">
        <v>0</v>
      </c>
      <c r="L2099">
        <v>2400</v>
      </c>
      <c r="M2099">
        <v>2400</v>
      </c>
      <c r="N2099">
        <v>0</v>
      </c>
    </row>
    <row r="2100" spans="1:14" x14ac:dyDescent="0.25">
      <c r="A2100">
        <v>1722.309798</v>
      </c>
      <c r="B2100" s="1">
        <f>DATE(2015,1,17) + TIME(7,26,6)</f>
        <v>42021.309791666667</v>
      </c>
      <c r="C2100">
        <v>80</v>
      </c>
      <c r="D2100">
        <v>74.471343993999994</v>
      </c>
      <c r="E2100">
        <v>50</v>
      </c>
      <c r="F2100">
        <v>49.978137969999999</v>
      </c>
      <c r="G2100">
        <v>1299.7666016000001</v>
      </c>
      <c r="H2100">
        <v>1286.4793701000001</v>
      </c>
      <c r="I2100">
        <v>1393.7910156</v>
      </c>
      <c r="J2100">
        <v>1374.1796875</v>
      </c>
      <c r="K2100">
        <v>0</v>
      </c>
      <c r="L2100">
        <v>2400</v>
      </c>
      <c r="M2100">
        <v>2400</v>
      </c>
      <c r="N2100">
        <v>0</v>
      </c>
    </row>
    <row r="2101" spans="1:14" x14ac:dyDescent="0.25">
      <c r="A2101">
        <v>1724.781121</v>
      </c>
      <c r="B2101" s="1">
        <f>DATE(2015,1,19) + TIME(18,44,48)</f>
        <v>42023.781111111108</v>
      </c>
      <c r="C2101">
        <v>80</v>
      </c>
      <c r="D2101">
        <v>74.332038878999995</v>
      </c>
      <c r="E2101">
        <v>50</v>
      </c>
      <c r="F2101">
        <v>49.978164673000002</v>
      </c>
      <c r="G2101">
        <v>1299.5878906</v>
      </c>
      <c r="H2101">
        <v>1286.2399902</v>
      </c>
      <c r="I2101">
        <v>1393.7620850000001</v>
      </c>
      <c r="J2101">
        <v>1374.1564940999999</v>
      </c>
      <c r="K2101">
        <v>0</v>
      </c>
      <c r="L2101">
        <v>2400</v>
      </c>
      <c r="M2101">
        <v>2400</v>
      </c>
      <c r="N2101">
        <v>0</v>
      </c>
    </row>
    <row r="2102" spans="1:14" x14ac:dyDescent="0.25">
      <c r="A2102">
        <v>1727.2834889999999</v>
      </c>
      <c r="B2102" s="1">
        <f>DATE(2015,1,22) + TIME(6,48,13)</f>
        <v>42026.283483796295</v>
      </c>
      <c r="C2102">
        <v>80</v>
      </c>
      <c r="D2102">
        <v>74.190925598000007</v>
      </c>
      <c r="E2102">
        <v>50</v>
      </c>
      <c r="F2102">
        <v>49.978191375999998</v>
      </c>
      <c r="G2102">
        <v>1299.4030762</v>
      </c>
      <c r="H2102">
        <v>1285.9916992000001</v>
      </c>
      <c r="I2102">
        <v>1393.7333983999999</v>
      </c>
      <c r="J2102">
        <v>1374.1335449000001</v>
      </c>
      <c r="K2102">
        <v>0</v>
      </c>
      <c r="L2102">
        <v>2400</v>
      </c>
      <c r="M2102">
        <v>2400</v>
      </c>
      <c r="N2102">
        <v>0</v>
      </c>
    </row>
    <row r="2103" spans="1:14" x14ac:dyDescent="0.25">
      <c r="A2103">
        <v>1729.8225070000001</v>
      </c>
      <c r="B2103" s="1">
        <f>DATE(2015,1,24) + TIME(19,44,24)</f>
        <v>42028.822500000002</v>
      </c>
      <c r="C2103">
        <v>80</v>
      </c>
      <c r="D2103">
        <v>74.047653198000006</v>
      </c>
      <c r="E2103">
        <v>50</v>
      </c>
      <c r="F2103">
        <v>49.978221892999997</v>
      </c>
      <c r="G2103">
        <v>1299.2120361</v>
      </c>
      <c r="H2103">
        <v>1285.7341309000001</v>
      </c>
      <c r="I2103">
        <v>1393.7052002</v>
      </c>
      <c r="J2103">
        <v>1374.1108397999999</v>
      </c>
      <c r="K2103">
        <v>0</v>
      </c>
      <c r="L2103">
        <v>2400</v>
      </c>
      <c r="M2103">
        <v>2400</v>
      </c>
      <c r="N2103">
        <v>0</v>
      </c>
    </row>
    <row r="2104" spans="1:14" x14ac:dyDescent="0.25">
      <c r="A2104">
        <v>1732.403462</v>
      </c>
      <c r="B2104" s="1">
        <f>DATE(2015,1,27) + TIME(9,40,59)</f>
        <v>42031.403460648151</v>
      </c>
      <c r="C2104">
        <v>80</v>
      </c>
      <c r="D2104">
        <v>73.901710510000001</v>
      </c>
      <c r="E2104">
        <v>50</v>
      </c>
      <c r="F2104">
        <v>49.978248596</v>
      </c>
      <c r="G2104">
        <v>1299.0142822</v>
      </c>
      <c r="H2104">
        <v>1285.4665527</v>
      </c>
      <c r="I2104">
        <v>1393.677124</v>
      </c>
      <c r="J2104">
        <v>1374.0882568</v>
      </c>
      <c r="K2104">
        <v>0</v>
      </c>
      <c r="L2104">
        <v>2400</v>
      </c>
      <c r="M2104">
        <v>2400</v>
      </c>
      <c r="N2104">
        <v>0</v>
      </c>
    </row>
    <row r="2105" spans="1:14" x14ac:dyDescent="0.25">
      <c r="A2105">
        <v>1735.0315410000001</v>
      </c>
      <c r="B2105" s="1">
        <f>DATE(2015,1,30) + TIME(0,45,25)</f>
        <v>42034.031539351854</v>
      </c>
      <c r="C2105">
        <v>80</v>
      </c>
      <c r="D2105">
        <v>73.752525329999997</v>
      </c>
      <c r="E2105">
        <v>50</v>
      </c>
      <c r="F2105">
        <v>49.978279114000003</v>
      </c>
      <c r="G2105">
        <v>1298.8093262</v>
      </c>
      <c r="H2105">
        <v>1285.1884766000001</v>
      </c>
      <c r="I2105">
        <v>1393.6492920000001</v>
      </c>
      <c r="J2105">
        <v>1374.0657959</v>
      </c>
      <c r="K2105">
        <v>0</v>
      </c>
      <c r="L2105">
        <v>2400</v>
      </c>
      <c r="M2105">
        <v>2400</v>
      </c>
      <c r="N2105">
        <v>0</v>
      </c>
    </row>
    <row r="2106" spans="1:14" x14ac:dyDescent="0.25">
      <c r="A2106">
        <v>1737</v>
      </c>
      <c r="B2106" s="1">
        <f>DATE(2015,2,1) + TIME(0,0,0)</f>
        <v>42036</v>
      </c>
      <c r="C2106">
        <v>80</v>
      </c>
      <c r="D2106">
        <v>73.611465453999998</v>
      </c>
      <c r="E2106">
        <v>50</v>
      </c>
      <c r="F2106">
        <v>49.978302002</v>
      </c>
      <c r="G2106">
        <v>1298.5988769999999</v>
      </c>
      <c r="H2106">
        <v>1284.9044189000001</v>
      </c>
      <c r="I2106">
        <v>1393.6213379000001</v>
      </c>
      <c r="J2106">
        <v>1374.0430908000001</v>
      </c>
      <c r="K2106">
        <v>0</v>
      </c>
      <c r="L2106">
        <v>2400</v>
      </c>
      <c r="M2106">
        <v>2400</v>
      </c>
      <c r="N2106">
        <v>0</v>
      </c>
    </row>
    <row r="2107" spans="1:14" x14ac:dyDescent="0.25">
      <c r="A2107">
        <v>1739.6803480000001</v>
      </c>
      <c r="B2107" s="1">
        <f>DATE(2015,2,3) + TIME(16,19,42)</f>
        <v>42038.680347222224</v>
      </c>
      <c r="C2107">
        <v>80</v>
      </c>
      <c r="D2107">
        <v>73.477523804</v>
      </c>
      <c r="E2107">
        <v>50</v>
      </c>
      <c r="F2107">
        <v>49.978332520000002</v>
      </c>
      <c r="G2107">
        <v>1298.4295654</v>
      </c>
      <c r="H2107">
        <v>1284.6678466999999</v>
      </c>
      <c r="I2107">
        <v>1393.6013184000001</v>
      </c>
      <c r="J2107">
        <v>1374.0268555</v>
      </c>
      <c r="K2107">
        <v>0</v>
      </c>
      <c r="L2107">
        <v>2400</v>
      </c>
      <c r="M2107">
        <v>2400</v>
      </c>
      <c r="N2107">
        <v>0</v>
      </c>
    </row>
    <row r="2108" spans="1:14" x14ac:dyDescent="0.25">
      <c r="A2108">
        <v>1742.444786</v>
      </c>
      <c r="B2108" s="1">
        <f>DATE(2015,2,6) + TIME(10,40,29)</f>
        <v>42041.444780092592</v>
      </c>
      <c r="C2108">
        <v>80</v>
      </c>
      <c r="D2108">
        <v>73.323089600000003</v>
      </c>
      <c r="E2108">
        <v>50</v>
      </c>
      <c r="F2108">
        <v>49.978363037000001</v>
      </c>
      <c r="G2108">
        <v>1298.2094727000001</v>
      </c>
      <c r="H2108">
        <v>1284.3681641000001</v>
      </c>
      <c r="I2108">
        <v>1393.5739745999999</v>
      </c>
      <c r="J2108">
        <v>1374.0046387</v>
      </c>
      <c r="K2108">
        <v>0</v>
      </c>
      <c r="L2108">
        <v>2400</v>
      </c>
      <c r="M2108">
        <v>2400</v>
      </c>
      <c r="N2108">
        <v>0</v>
      </c>
    </row>
    <row r="2109" spans="1:14" x14ac:dyDescent="0.25">
      <c r="A2109">
        <v>1745.238672</v>
      </c>
      <c r="B2109" s="1">
        <f>DATE(2015,2,9) + TIME(5,43,41)</f>
        <v>42044.238668981481</v>
      </c>
      <c r="C2109">
        <v>80</v>
      </c>
      <c r="D2109">
        <v>73.159004210999996</v>
      </c>
      <c r="E2109">
        <v>50</v>
      </c>
      <c r="F2109">
        <v>49.978393554999997</v>
      </c>
      <c r="G2109">
        <v>1297.9759521000001</v>
      </c>
      <c r="H2109">
        <v>1284.0479736</v>
      </c>
      <c r="I2109">
        <v>1393.5463867000001</v>
      </c>
      <c r="J2109">
        <v>1373.9821777</v>
      </c>
      <c r="K2109">
        <v>0</v>
      </c>
      <c r="L2109">
        <v>2400</v>
      </c>
      <c r="M2109">
        <v>2400</v>
      </c>
      <c r="N2109">
        <v>0</v>
      </c>
    </row>
    <row r="2110" spans="1:14" x14ac:dyDescent="0.25">
      <c r="A2110">
        <v>1748.0691360000001</v>
      </c>
      <c r="B2110" s="1">
        <f>DATE(2015,2,12) + TIME(1,39,33)</f>
        <v>42047.069131944445</v>
      </c>
      <c r="C2110">
        <v>80</v>
      </c>
      <c r="D2110">
        <v>72.989250182999996</v>
      </c>
      <c r="E2110">
        <v>50</v>
      </c>
      <c r="F2110">
        <v>49.978424072000003</v>
      </c>
      <c r="G2110">
        <v>1297.7347411999999</v>
      </c>
      <c r="H2110">
        <v>1283.7156981999999</v>
      </c>
      <c r="I2110">
        <v>1393.5189209</v>
      </c>
      <c r="J2110">
        <v>1373.9598389</v>
      </c>
      <c r="K2110">
        <v>0</v>
      </c>
      <c r="L2110">
        <v>2400</v>
      </c>
      <c r="M2110">
        <v>2400</v>
      </c>
      <c r="N2110">
        <v>0</v>
      </c>
    </row>
    <row r="2111" spans="1:14" x14ac:dyDescent="0.25">
      <c r="A2111">
        <v>1750.9426450000001</v>
      </c>
      <c r="B2111" s="1">
        <f>DATE(2015,2,14) + TIME(22,37,24)</f>
        <v>42049.94263888889</v>
      </c>
      <c r="C2111">
        <v>80</v>
      </c>
      <c r="D2111">
        <v>72.814071655000006</v>
      </c>
      <c r="E2111">
        <v>50</v>
      </c>
      <c r="F2111">
        <v>49.978458404999998</v>
      </c>
      <c r="G2111">
        <v>1297.4862060999999</v>
      </c>
      <c r="H2111">
        <v>1283.3720702999999</v>
      </c>
      <c r="I2111">
        <v>1393.4916992000001</v>
      </c>
      <c r="J2111">
        <v>1373.9375</v>
      </c>
      <c r="K2111">
        <v>0</v>
      </c>
      <c r="L2111">
        <v>2400</v>
      </c>
      <c r="M2111">
        <v>2400</v>
      </c>
      <c r="N2111">
        <v>0</v>
      </c>
    </row>
    <row r="2112" spans="1:14" x14ac:dyDescent="0.25">
      <c r="A2112">
        <v>1753.8655960000001</v>
      </c>
      <c r="B2112" s="1">
        <f>DATE(2015,2,17) + TIME(20,46,27)</f>
        <v>42052.865590277775</v>
      </c>
      <c r="C2112">
        <v>80</v>
      </c>
      <c r="D2112">
        <v>72.632850646999998</v>
      </c>
      <c r="E2112">
        <v>50</v>
      </c>
      <c r="F2112">
        <v>49.978488921999997</v>
      </c>
      <c r="G2112">
        <v>1297.2299805</v>
      </c>
      <c r="H2112">
        <v>1283.0168457</v>
      </c>
      <c r="I2112">
        <v>1393.4644774999999</v>
      </c>
      <c r="J2112">
        <v>1373.9151611</v>
      </c>
      <c r="K2112">
        <v>0</v>
      </c>
      <c r="L2112">
        <v>2400</v>
      </c>
      <c r="M2112">
        <v>2400</v>
      </c>
      <c r="N2112">
        <v>0</v>
      </c>
    </row>
    <row r="2113" spans="1:14" x14ac:dyDescent="0.25">
      <c r="A2113">
        <v>1756.844374</v>
      </c>
      <c r="B2113" s="1">
        <f>DATE(2015,2,20) + TIME(20,15,53)</f>
        <v>42055.844363425924</v>
      </c>
      <c r="C2113">
        <v>80</v>
      </c>
      <c r="D2113">
        <v>72.444732665999993</v>
      </c>
      <c r="E2113">
        <v>50</v>
      </c>
      <c r="F2113">
        <v>49.978523254000002</v>
      </c>
      <c r="G2113">
        <v>1296.9655762</v>
      </c>
      <c r="H2113">
        <v>1282.6490478999999</v>
      </c>
      <c r="I2113">
        <v>1393.4372559000001</v>
      </c>
      <c r="J2113">
        <v>1373.8928223</v>
      </c>
      <c r="K2113">
        <v>0</v>
      </c>
      <c r="L2113">
        <v>2400</v>
      </c>
      <c r="M2113">
        <v>2400</v>
      </c>
      <c r="N2113">
        <v>0</v>
      </c>
    </row>
    <row r="2114" spans="1:14" x14ac:dyDescent="0.25">
      <c r="A2114">
        <v>1759.8832399999999</v>
      </c>
      <c r="B2114" s="1">
        <f>DATE(2015,2,23) + TIME(21,11,51)</f>
        <v>42058.883229166669</v>
      </c>
      <c r="C2114">
        <v>80</v>
      </c>
      <c r="D2114">
        <v>72.248779296999999</v>
      </c>
      <c r="E2114">
        <v>50</v>
      </c>
      <c r="F2114">
        <v>49.978553771999998</v>
      </c>
      <c r="G2114">
        <v>1296.6922606999999</v>
      </c>
      <c r="H2114">
        <v>1282.2679443</v>
      </c>
      <c r="I2114">
        <v>1393.4099120999999</v>
      </c>
      <c r="J2114">
        <v>1373.8702393000001</v>
      </c>
      <c r="K2114">
        <v>0</v>
      </c>
      <c r="L2114">
        <v>2400</v>
      </c>
      <c r="M2114">
        <v>2400</v>
      </c>
      <c r="N2114">
        <v>0</v>
      </c>
    </row>
    <row r="2115" spans="1:14" x14ac:dyDescent="0.25">
      <c r="A2115">
        <v>1762.960589</v>
      </c>
      <c r="B2115" s="1">
        <f>DATE(2015,2,26) + TIME(23,3,14)</f>
        <v>42061.960578703707</v>
      </c>
      <c r="C2115">
        <v>80</v>
      </c>
      <c r="D2115">
        <v>72.044418335000003</v>
      </c>
      <c r="E2115">
        <v>50</v>
      </c>
      <c r="F2115">
        <v>49.978588104000004</v>
      </c>
      <c r="G2115">
        <v>1296.4099120999999</v>
      </c>
      <c r="H2115">
        <v>1281.8731689000001</v>
      </c>
      <c r="I2115">
        <v>1393.3824463000001</v>
      </c>
      <c r="J2115">
        <v>1373.8474120999999</v>
      </c>
      <c r="K2115">
        <v>0</v>
      </c>
      <c r="L2115">
        <v>2400</v>
      </c>
      <c r="M2115">
        <v>2400</v>
      </c>
      <c r="N2115">
        <v>0</v>
      </c>
    </row>
    <row r="2116" spans="1:14" x14ac:dyDescent="0.25">
      <c r="A2116">
        <v>1765</v>
      </c>
      <c r="B2116" s="1">
        <f>DATE(2015,3,1) + TIME(0,0,0)</f>
        <v>42064</v>
      </c>
      <c r="C2116">
        <v>80</v>
      </c>
      <c r="D2116">
        <v>71.852340698000006</v>
      </c>
      <c r="E2116">
        <v>50</v>
      </c>
      <c r="F2116">
        <v>49.978607177999997</v>
      </c>
      <c r="G2116">
        <v>1296.1243896000001</v>
      </c>
      <c r="H2116">
        <v>1281.4777832</v>
      </c>
      <c r="I2116">
        <v>1393.3544922000001</v>
      </c>
      <c r="J2116">
        <v>1373.8242187999999</v>
      </c>
      <c r="K2116">
        <v>0</v>
      </c>
      <c r="L2116">
        <v>2400</v>
      </c>
      <c r="M2116">
        <v>2400</v>
      </c>
      <c r="N2116">
        <v>0</v>
      </c>
    </row>
    <row r="2117" spans="1:14" x14ac:dyDescent="0.25">
      <c r="A2117">
        <v>1768.1178809999999</v>
      </c>
      <c r="B2117" s="1">
        <f>DATE(2015,3,4) + TIME(2,49,44)</f>
        <v>42067.11787037037</v>
      </c>
      <c r="C2117">
        <v>80</v>
      </c>
      <c r="D2117">
        <v>71.676704407000003</v>
      </c>
      <c r="E2117">
        <v>50</v>
      </c>
      <c r="F2117">
        <v>49.978645325000002</v>
      </c>
      <c r="G2117">
        <v>1295.9158935999999</v>
      </c>
      <c r="H2117">
        <v>1281.1745605000001</v>
      </c>
      <c r="I2117">
        <v>1393.3369141000001</v>
      </c>
      <c r="J2117">
        <v>1373.8096923999999</v>
      </c>
      <c r="K2117">
        <v>0</v>
      </c>
      <c r="L2117">
        <v>2400</v>
      </c>
      <c r="M2117">
        <v>2400</v>
      </c>
      <c r="N2117">
        <v>0</v>
      </c>
    </row>
    <row r="2118" spans="1:14" x14ac:dyDescent="0.25">
      <c r="A2118">
        <v>1771.32007</v>
      </c>
      <c r="B2118" s="1">
        <f>DATE(2015,3,7) + TIME(7,40,54)</f>
        <v>42070.320069444446</v>
      </c>
      <c r="C2118">
        <v>80</v>
      </c>
      <c r="D2118">
        <v>71.459060668999996</v>
      </c>
      <c r="E2118">
        <v>50</v>
      </c>
      <c r="F2118">
        <v>49.978679657000001</v>
      </c>
      <c r="G2118">
        <v>1295.6245117000001</v>
      </c>
      <c r="H2118">
        <v>1280.7672118999999</v>
      </c>
      <c r="I2118">
        <v>1393.3095702999999</v>
      </c>
      <c r="J2118">
        <v>1373.7868652</v>
      </c>
      <c r="K2118">
        <v>0</v>
      </c>
      <c r="L2118">
        <v>2400</v>
      </c>
      <c r="M2118">
        <v>2400</v>
      </c>
      <c r="N2118">
        <v>0</v>
      </c>
    </row>
    <row r="2119" spans="1:14" x14ac:dyDescent="0.25">
      <c r="A2119">
        <v>1774.5776149999999</v>
      </c>
      <c r="B2119" s="1">
        <f>DATE(2015,3,10) + TIME(13,51,45)</f>
        <v>42073.577604166669</v>
      </c>
      <c r="C2119">
        <v>80</v>
      </c>
      <c r="D2119">
        <v>71.222839355000005</v>
      </c>
      <c r="E2119">
        <v>50</v>
      </c>
      <c r="F2119">
        <v>49.978713988999999</v>
      </c>
      <c r="G2119">
        <v>1295.3160399999999</v>
      </c>
      <c r="H2119">
        <v>1280.3321533000001</v>
      </c>
      <c r="I2119">
        <v>1393.2817382999999</v>
      </c>
      <c r="J2119">
        <v>1373.7635498</v>
      </c>
      <c r="K2119">
        <v>0</v>
      </c>
      <c r="L2119">
        <v>2400</v>
      </c>
      <c r="M2119">
        <v>2400</v>
      </c>
      <c r="N2119">
        <v>0</v>
      </c>
    </row>
    <row r="2120" spans="1:14" x14ac:dyDescent="0.25">
      <c r="A2120">
        <v>1777.8828840000001</v>
      </c>
      <c r="B2120" s="1">
        <f>DATE(2015,3,13) + TIME(21,11,21)</f>
        <v>42076.882881944446</v>
      </c>
      <c r="C2120">
        <v>80</v>
      </c>
      <c r="D2120">
        <v>70.973823546999995</v>
      </c>
      <c r="E2120">
        <v>50</v>
      </c>
      <c r="F2120">
        <v>49.978748322000001</v>
      </c>
      <c r="G2120">
        <v>1294.9979248</v>
      </c>
      <c r="H2120">
        <v>1279.8812256000001</v>
      </c>
      <c r="I2120">
        <v>1393.2537841999999</v>
      </c>
      <c r="J2120">
        <v>1373.7401123</v>
      </c>
      <c r="K2120">
        <v>0</v>
      </c>
      <c r="L2120">
        <v>2400</v>
      </c>
      <c r="M2120">
        <v>2400</v>
      </c>
      <c r="N2120">
        <v>0</v>
      </c>
    </row>
    <row r="2121" spans="1:14" x14ac:dyDescent="0.25">
      <c r="A2121">
        <v>1781.2435909999999</v>
      </c>
      <c r="B2121" s="1">
        <f>DATE(2015,3,17) + TIME(5,50,46)</f>
        <v>42080.243587962963</v>
      </c>
      <c r="C2121">
        <v>80</v>
      </c>
      <c r="D2121">
        <v>70.712829589999998</v>
      </c>
      <c r="E2121">
        <v>50</v>
      </c>
      <c r="F2121">
        <v>49.978782654</v>
      </c>
      <c r="G2121">
        <v>1294.6717529</v>
      </c>
      <c r="H2121">
        <v>1279.4176024999999</v>
      </c>
      <c r="I2121">
        <v>1393.2255858999999</v>
      </c>
      <c r="J2121">
        <v>1373.7164307</v>
      </c>
      <c r="K2121">
        <v>0</v>
      </c>
      <c r="L2121">
        <v>2400</v>
      </c>
      <c r="M2121">
        <v>2400</v>
      </c>
      <c r="N2121">
        <v>0</v>
      </c>
    </row>
    <row r="2122" spans="1:14" x14ac:dyDescent="0.25">
      <c r="A2122">
        <v>1784.6676379999999</v>
      </c>
      <c r="B2122" s="1">
        <f>DATE(2015,3,20) + TIME(16,1,23)</f>
        <v>42083.667627314811</v>
      </c>
      <c r="C2122">
        <v>80</v>
      </c>
      <c r="D2122">
        <v>70.439041137999993</v>
      </c>
      <c r="E2122">
        <v>50</v>
      </c>
      <c r="F2122">
        <v>49.978820800999998</v>
      </c>
      <c r="G2122">
        <v>1294.3376464999999</v>
      </c>
      <c r="H2122">
        <v>1278.9410399999999</v>
      </c>
      <c r="I2122">
        <v>1393.1971435999999</v>
      </c>
      <c r="J2122">
        <v>1373.6923827999999</v>
      </c>
      <c r="K2122">
        <v>0</v>
      </c>
      <c r="L2122">
        <v>2400</v>
      </c>
      <c r="M2122">
        <v>2400</v>
      </c>
      <c r="N2122">
        <v>0</v>
      </c>
    </row>
    <row r="2123" spans="1:14" x14ac:dyDescent="0.25">
      <c r="A2123">
        <v>1788.1633220000001</v>
      </c>
      <c r="B2123" s="1">
        <f>DATE(2015,3,24) + TIME(3,55,10)</f>
        <v>42087.163310185184</v>
      </c>
      <c r="C2123">
        <v>80</v>
      </c>
      <c r="D2123">
        <v>70.151390075999998</v>
      </c>
      <c r="E2123">
        <v>50</v>
      </c>
      <c r="F2123">
        <v>49.978855133000003</v>
      </c>
      <c r="G2123">
        <v>1293.9948730000001</v>
      </c>
      <c r="H2123">
        <v>1278.4509277</v>
      </c>
      <c r="I2123">
        <v>1393.1683350000001</v>
      </c>
      <c r="J2123">
        <v>1373.6679687999999</v>
      </c>
      <c r="K2123">
        <v>0</v>
      </c>
      <c r="L2123">
        <v>2400</v>
      </c>
      <c r="M2123">
        <v>2400</v>
      </c>
      <c r="N2123">
        <v>0</v>
      </c>
    </row>
    <row r="2124" spans="1:14" x14ac:dyDescent="0.25">
      <c r="A2124">
        <v>1791.73955</v>
      </c>
      <c r="B2124" s="1">
        <f>DATE(2015,3,27) + TIME(17,44,57)</f>
        <v>42090.739548611113</v>
      </c>
      <c r="C2124">
        <v>80</v>
      </c>
      <c r="D2124">
        <v>69.848365783999995</v>
      </c>
      <c r="E2124">
        <v>50</v>
      </c>
      <c r="F2124">
        <v>49.978893280000001</v>
      </c>
      <c r="G2124">
        <v>1293.6430664</v>
      </c>
      <c r="H2124">
        <v>1277.9462891000001</v>
      </c>
      <c r="I2124">
        <v>1393.1390381000001</v>
      </c>
      <c r="J2124">
        <v>1373.6430664</v>
      </c>
      <c r="K2124">
        <v>0</v>
      </c>
      <c r="L2124">
        <v>2400</v>
      </c>
      <c r="M2124">
        <v>2400</v>
      </c>
      <c r="N2124">
        <v>0</v>
      </c>
    </row>
    <row r="2125" spans="1:14" x14ac:dyDescent="0.25">
      <c r="A2125">
        <v>1795.396446</v>
      </c>
      <c r="B2125" s="1">
        <f>DATE(2015,3,31) + TIME(9,30,52)</f>
        <v>42094.396435185183</v>
      </c>
      <c r="C2125">
        <v>80</v>
      </c>
      <c r="D2125">
        <v>69.527954101999995</v>
      </c>
      <c r="E2125">
        <v>50</v>
      </c>
      <c r="F2125">
        <v>49.978931426999999</v>
      </c>
      <c r="G2125">
        <v>1293.2816161999999</v>
      </c>
      <c r="H2125">
        <v>1277.4262695</v>
      </c>
      <c r="I2125">
        <v>1393.1092529</v>
      </c>
      <c r="J2125">
        <v>1373.6176757999999</v>
      </c>
      <c r="K2125">
        <v>0</v>
      </c>
      <c r="L2125">
        <v>2400</v>
      </c>
      <c r="M2125">
        <v>2400</v>
      </c>
      <c r="N2125">
        <v>0</v>
      </c>
    </row>
    <row r="2126" spans="1:14" x14ac:dyDescent="0.25">
      <c r="A2126">
        <v>1796</v>
      </c>
      <c r="B2126" s="1">
        <f>DATE(2015,4,1) + TIME(0,0,0)</f>
        <v>42095</v>
      </c>
      <c r="C2126">
        <v>80</v>
      </c>
      <c r="D2126">
        <v>69.346420288000004</v>
      </c>
      <c r="E2126">
        <v>50</v>
      </c>
      <c r="F2126">
        <v>49.978935241999999</v>
      </c>
      <c r="G2126">
        <v>1292.9353027</v>
      </c>
      <c r="H2126">
        <v>1276.9682617000001</v>
      </c>
      <c r="I2126">
        <v>1393.0773925999999</v>
      </c>
      <c r="J2126">
        <v>1373.590332</v>
      </c>
      <c r="K2126">
        <v>0</v>
      </c>
      <c r="L2126">
        <v>2400</v>
      </c>
      <c r="M2126">
        <v>2400</v>
      </c>
      <c r="N212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2022-05-31T07:42:29Z</dcterms:created>
  <dcterms:modified xsi:type="dcterms:W3CDTF">2022-05-31T07:43:14Z</dcterms:modified>
</cp:coreProperties>
</file>