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2_low_CP-ROCK/"/>
    </mc:Choice>
  </mc:AlternateContent>
  <xr:revisionPtr revIDLastSave="0" documentId="8_{43433FE6-4CF3-42F3-AB1B-51A47F9F0A5B}" xr6:coauthVersionLast="47" xr6:coauthVersionMax="47" xr10:uidLastSave="{00000000-0000-0000-0000-000000000000}"/>
  <bookViews>
    <workbookView xWindow="1215" yWindow="735" windowWidth="18915" windowHeight="9960" xr2:uid="{0607E465-25A8-4A3D-A0A3-B0C1114B6E15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7" i="1" l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<sst xmlns="http://schemas.openxmlformats.org/spreadsheetml/2006/main" count="15" uniqueCount="15">
  <si>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MODEL\SCENARIOS\2022\S12_low_CP-ROCK\S12_low_CP-ROCK.sr3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</si>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</sst>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87B2C-22A2-4087-A10D-683F4FE4BB56}" name="Table1" displayName="Table1" ref="A3:N2257" totalsRowShown="0">
  <autoFilter ref="A3:N2257" xr:uid="{49E87B2C-22A2-4087-A10D-683F4FE4BB56}"/>
  <tableColumns count="14">
    <tableColumn id="1" xr3:uid="{86C1F601-EF11-4CEB-9FA4-425A70F423FE}" name="Time (day)"/>
    <tableColumn id="2" xr3:uid="{B4119D68-26B4-4931-AB4E-A723FF1FFA4C}" name="Date" dataDxfId="0"/>
    <tableColumn id="3" xr3:uid="{792F6F49-F653-4404-A509-BE233BB8C9F5}" name="Hot well INJ-Well bottom hole temperature (C)"/>
    <tableColumn id="4" xr3:uid="{ACEF2F91-ED28-42B6-BD5A-3AA16439DB85}" name="Hot well PROD-Well bottom hole temperature (C)"/>
    <tableColumn id="5" xr3:uid="{4B43BEFB-742D-4380-A3E6-0EF15B944D68}" name="Warm well INJ-Well bottom hole temperature (C)"/>
    <tableColumn id="6" xr3:uid="{E290ECE3-851F-4A7D-B096-8F32CB44E572}" name="Warm well PROD-Well bottom hole temperature (C)"/>
    <tableColumn id="7" xr3:uid="{524B4BD4-C209-43D7-B7DB-101912C2B2E5}" name="Hot well INJ-Well Bottom-hole Pressure (kPa)"/>
    <tableColumn id="8" xr3:uid="{087A6226-38EE-46E7-8AC3-4F59EA920A1A}" name="Hot well PROD-Well Bottom-hole Pressure (kPa)"/>
    <tableColumn id="9" xr3:uid="{9FBD0F92-ADF3-4F80-83E2-D2C9895304D1}" name="Warm well INJ-Well Bottom-hole Pressure (kPa)"/>
    <tableColumn id="10" xr3:uid="{0281BC53-2278-4EEA-A4BD-032D59A1CF46}" name="Warm well PROD-Well Bottom-hole Pressure (kPa)"/>
    <tableColumn id="11" xr3:uid="{DC6D6DEE-C98F-4672-AF9E-A0BD1F1C5816}" name="Hot well INJ-Fluid Rate SC (m³/day)"/>
    <tableColumn id="12" xr3:uid="{E11F5169-C093-428C-942D-0AA891E98D7F}" name="Hot well PROD-Fluid Rate SC (m³/day)"/>
    <tableColumn id="13" xr3:uid="{C7B84F84-9B8F-4765-806C-6A049695FADC}" name="Warm well INJ-Fluid Rate SC (m³/day)"/>
    <tableColumn id="14" xr3:uid="{E5A38DEE-1EE8-43B3-A6D7-2D78346BB18F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55FC-3382-4F8C-8799-F57065D25960}">
  <dimension ref="A1:N2257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15.000142096999999</v>
      </c>
      <c r="E4">
        <v>50</v>
      </c>
      <c r="F4">
        <v>14.999945641</v>
      </c>
      <c r="G4">
        <v>1369.2741699000001</v>
      </c>
      <c r="H4">
        <v>1329.8494873</v>
      </c>
      <c r="I4">
        <v>1328.972168</v>
      </c>
      <c r="J4">
        <v>1289.5465088000001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15.000560760000001</v>
      </c>
      <c r="E5">
        <v>50</v>
      </c>
      <c r="F5">
        <v>14.999793052999999</v>
      </c>
      <c r="G5">
        <v>1370.5175781</v>
      </c>
      <c r="H5">
        <v>1331.0932617000001</v>
      </c>
      <c r="I5">
        <v>1327.7349853999999</v>
      </c>
      <c r="J5">
        <v>1288.309082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15.001747131</v>
      </c>
      <c r="E6">
        <v>50</v>
      </c>
      <c r="F6">
        <v>14.999402046</v>
      </c>
      <c r="G6">
        <v>1373.6965332</v>
      </c>
      <c r="H6">
        <v>1334.2733154</v>
      </c>
      <c r="I6">
        <v>1324.5715332</v>
      </c>
      <c r="J6">
        <v>1285.1451416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15.004938126000001</v>
      </c>
      <c r="E7">
        <v>50</v>
      </c>
      <c r="F7">
        <v>14.998594283999999</v>
      </c>
      <c r="G7">
        <v>1380.2604980000001</v>
      </c>
      <c r="H7">
        <v>1340.8404541</v>
      </c>
      <c r="I7">
        <v>1318.0384521000001</v>
      </c>
      <c r="J7">
        <v>1278.6110839999999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15.013295174</v>
      </c>
      <c r="E8">
        <v>50</v>
      </c>
      <c r="F8">
        <v>14.997382163999999</v>
      </c>
      <c r="G8">
        <v>1390.1156006000001</v>
      </c>
      <c r="H8">
        <v>1350.7042236</v>
      </c>
      <c r="I8">
        <v>1308.2242432</v>
      </c>
      <c r="J8">
        <v>1268.7954102000001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15.036085129</v>
      </c>
      <c r="E9">
        <v>50</v>
      </c>
      <c r="F9">
        <v>14.996006965999999</v>
      </c>
      <c r="G9">
        <v>1401.2755127</v>
      </c>
      <c r="H9">
        <v>1361.8876952999999</v>
      </c>
      <c r="I9">
        <v>1297.0889893000001</v>
      </c>
      <c r="J9">
        <v>1257.6585693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15.101638793999999</v>
      </c>
      <c r="E10">
        <v>50</v>
      </c>
      <c r="F10">
        <v>14.994620322999999</v>
      </c>
      <c r="G10">
        <v>1412.4853516000001</v>
      </c>
      <c r="H10">
        <v>1373.1655272999999</v>
      </c>
      <c r="I10">
        <v>1285.8348389</v>
      </c>
      <c r="J10">
        <v>1246.4029541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15.294950484999999</v>
      </c>
      <c r="E11">
        <v>50</v>
      </c>
      <c r="F11">
        <v>14.993247986</v>
      </c>
      <c r="G11">
        <v>1423.4437256000001</v>
      </c>
      <c r="H11">
        <v>1384.3227539</v>
      </c>
      <c r="I11">
        <v>1274.6287841999999</v>
      </c>
      <c r="J11">
        <v>1235.1954346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15.867297173000001</v>
      </c>
      <c r="E12">
        <v>50</v>
      </c>
      <c r="F12">
        <v>14.991952896000001</v>
      </c>
      <c r="G12">
        <v>1433.3798827999999</v>
      </c>
      <c r="H12">
        <v>1394.8376464999999</v>
      </c>
      <c r="I12">
        <v>1263.8643798999999</v>
      </c>
      <c r="J12">
        <v>1224.4296875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2.1304E-2</v>
      </c>
      <c r="B13" s="1">
        <f>DATE(2010,5,1) + TIME(0,30,40)</f>
        <v>40299.021296296298</v>
      </c>
      <c r="C13">
        <v>80</v>
      </c>
      <c r="D13">
        <v>16.853763579999999</v>
      </c>
      <c r="E13">
        <v>50</v>
      </c>
      <c r="F13">
        <v>14.991162299999999</v>
      </c>
      <c r="G13">
        <v>1438.8651123</v>
      </c>
      <c r="H13">
        <v>1401.2836914</v>
      </c>
      <c r="I13">
        <v>1257.0263672000001</v>
      </c>
      <c r="J13">
        <v>1217.5908202999999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3.2925000000000003E-2</v>
      </c>
      <c r="B14" s="1">
        <f>DATE(2010,5,1) + TIME(0,47,24)</f>
        <v>40299.032916666663</v>
      </c>
      <c r="C14">
        <v>80</v>
      </c>
      <c r="D14">
        <v>17.840177535999999</v>
      </c>
      <c r="E14">
        <v>50</v>
      </c>
      <c r="F14">
        <v>14.990814209</v>
      </c>
      <c r="G14">
        <v>1440.7995605000001</v>
      </c>
      <c r="H14">
        <v>1404.1330565999999</v>
      </c>
      <c r="I14">
        <v>1253.8341064000001</v>
      </c>
      <c r="J14">
        <v>1214.3981934000001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4.4706000000000003E-2</v>
      </c>
      <c r="B15" s="1">
        <f>DATE(2010,5,1) + TIME(1,4,22)</f>
        <v>40299.044699074075</v>
      </c>
      <c r="C15">
        <v>80</v>
      </c>
      <c r="D15">
        <v>18.827054977</v>
      </c>
      <c r="E15">
        <v>50</v>
      </c>
      <c r="F15">
        <v>14.990652084000001</v>
      </c>
      <c r="G15">
        <v>1441.2879639</v>
      </c>
      <c r="H15">
        <v>1405.4987793</v>
      </c>
      <c r="I15">
        <v>1252.1732178</v>
      </c>
      <c r="J15">
        <v>1212.7370605000001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5.6642999999999999E-2</v>
      </c>
      <c r="B16" s="1">
        <f>DATE(2010,5,1) + TIME(1,21,33)</f>
        <v>40299.056631944448</v>
      </c>
      <c r="C16">
        <v>80</v>
      </c>
      <c r="D16">
        <v>19.813758849999999</v>
      </c>
      <c r="E16">
        <v>50</v>
      </c>
      <c r="F16">
        <v>14.990581512</v>
      </c>
      <c r="G16">
        <v>1441.0860596</v>
      </c>
      <c r="H16">
        <v>1406.1383057</v>
      </c>
      <c r="I16">
        <v>1251.2672118999999</v>
      </c>
      <c r="J16">
        <v>1211.8309326000001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6.8740999999999997E-2</v>
      </c>
      <c r="B17" s="1">
        <f>DATE(2010,5,1) + TIME(1,38,59)</f>
        <v>40299.068738425929</v>
      </c>
      <c r="C17">
        <v>80</v>
      </c>
      <c r="D17">
        <v>20.801082610999998</v>
      </c>
      <c r="E17">
        <v>50</v>
      </c>
      <c r="F17">
        <v>14.990561485000001</v>
      </c>
      <c r="G17">
        <v>1440.5263672000001</v>
      </c>
      <c r="H17">
        <v>1406.3862305</v>
      </c>
      <c r="I17">
        <v>1250.7664795000001</v>
      </c>
      <c r="J17">
        <v>1211.3300781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8.0994999999999998E-2</v>
      </c>
      <c r="B18" s="1">
        <f>DATE(2010,5,1) + TIME(1,56,37)</f>
        <v>40299.080983796295</v>
      </c>
      <c r="C18">
        <v>80</v>
      </c>
      <c r="D18">
        <v>21.787519455000002</v>
      </c>
      <c r="E18">
        <v>50</v>
      </c>
      <c r="F18">
        <v>14.990568161000001</v>
      </c>
      <c r="G18">
        <v>1439.7766113</v>
      </c>
      <c r="H18">
        <v>1406.4111327999999</v>
      </c>
      <c r="I18">
        <v>1250.4926757999999</v>
      </c>
      <c r="J18">
        <v>1211.0562743999999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9.3417E-2</v>
      </c>
      <c r="B19" s="1">
        <f>DATE(2010,5,1) + TIME(2,14,31)</f>
        <v>40299.093414351853</v>
      </c>
      <c r="C19">
        <v>80</v>
      </c>
      <c r="D19">
        <v>22.773481368999999</v>
      </c>
      <c r="E19">
        <v>50</v>
      </c>
      <c r="F19">
        <v>14.990590096</v>
      </c>
      <c r="G19">
        <v>1438.9273682</v>
      </c>
      <c r="H19">
        <v>1406.3055420000001</v>
      </c>
      <c r="I19">
        <v>1250.3477783000001</v>
      </c>
      <c r="J19">
        <v>1210.9113769999999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0.106015</v>
      </c>
      <c r="B20" s="1">
        <f>DATE(2010,5,1) + TIME(2,32,39)</f>
        <v>40299.106006944443</v>
      </c>
      <c r="C20">
        <v>80</v>
      </c>
      <c r="D20">
        <v>23.759151459000002</v>
      </c>
      <c r="E20">
        <v>50</v>
      </c>
      <c r="F20">
        <v>14.990621567</v>
      </c>
      <c r="G20">
        <v>1438.0307617000001</v>
      </c>
      <c r="H20">
        <v>1406.1234131000001</v>
      </c>
      <c r="I20">
        <v>1250.276001</v>
      </c>
      <c r="J20">
        <v>1210.8395995999999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0.118797</v>
      </c>
      <c r="B21" s="1">
        <f>DATE(2010,5,1) + TIME(2,51,4)</f>
        <v>40299.118796296294</v>
      </c>
      <c r="C21">
        <v>80</v>
      </c>
      <c r="D21">
        <v>24.744518280000001</v>
      </c>
      <c r="E21">
        <v>50</v>
      </c>
      <c r="F21">
        <v>14.990656853000001</v>
      </c>
      <c r="G21">
        <v>1437.1176757999999</v>
      </c>
      <c r="H21">
        <v>1405.8969727000001</v>
      </c>
      <c r="I21">
        <v>1250.2449951000001</v>
      </c>
      <c r="J21">
        <v>1210.8085937999999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0.131769</v>
      </c>
      <c r="B22" s="1">
        <f>DATE(2010,5,1) + TIME(3,9,44)</f>
        <v>40299.13175925926</v>
      </c>
      <c r="C22">
        <v>80</v>
      </c>
      <c r="D22">
        <v>25.730165482</v>
      </c>
      <c r="E22">
        <v>50</v>
      </c>
      <c r="F22">
        <v>14.990695952999999</v>
      </c>
      <c r="G22">
        <v>1436.2060547000001</v>
      </c>
      <c r="H22">
        <v>1405.6459961</v>
      </c>
      <c r="I22">
        <v>1250.2360839999999</v>
      </c>
      <c r="J22">
        <v>1210.7996826000001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0.14493</v>
      </c>
      <c r="B23" s="1">
        <f>DATE(2010,5,1) + TIME(3,28,41)</f>
        <v>40299.144918981481</v>
      </c>
      <c r="C23">
        <v>80</v>
      </c>
      <c r="D23">
        <v>26.715122223000002</v>
      </c>
      <c r="E23">
        <v>50</v>
      </c>
      <c r="F23">
        <v>14.990736008000001</v>
      </c>
      <c r="G23">
        <v>1435.3076172000001</v>
      </c>
      <c r="H23">
        <v>1405.3828125</v>
      </c>
      <c r="I23">
        <v>1250.2384033000001</v>
      </c>
      <c r="J23">
        <v>1210.8018798999999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0.15829199999999999</v>
      </c>
      <c r="B24" s="1">
        <f>DATE(2010,5,1) + TIME(3,47,56)</f>
        <v>40299.15828703704</v>
      </c>
      <c r="C24">
        <v>80</v>
      </c>
      <c r="D24">
        <v>27.699544907</v>
      </c>
      <c r="E24">
        <v>50</v>
      </c>
      <c r="F24">
        <v>14.990777015999999</v>
      </c>
      <c r="G24">
        <v>1434.4284668</v>
      </c>
      <c r="H24">
        <v>1405.1149902</v>
      </c>
      <c r="I24">
        <v>1250.2458495999999</v>
      </c>
      <c r="J24">
        <v>1210.8093262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0.17186499999999999</v>
      </c>
      <c r="B25" s="1">
        <f>DATE(2010,5,1) + TIME(4,7,29)</f>
        <v>40299.171863425923</v>
      </c>
      <c r="C25">
        <v>80</v>
      </c>
      <c r="D25">
        <v>28.683620453</v>
      </c>
      <c r="E25">
        <v>50</v>
      </c>
      <c r="F25">
        <v>14.990818023999999</v>
      </c>
      <c r="G25">
        <v>1433.5721435999999</v>
      </c>
      <c r="H25">
        <v>1404.847168</v>
      </c>
      <c r="I25">
        <v>1250.2551269999999</v>
      </c>
      <c r="J25">
        <v>1210.8186035000001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0.18565799999999999</v>
      </c>
      <c r="B26" s="1">
        <f>DATE(2010,5,1) + TIME(4,27,20)</f>
        <v>40299.185648148145</v>
      </c>
      <c r="C26">
        <v>80</v>
      </c>
      <c r="D26">
        <v>29.667339325</v>
      </c>
      <c r="E26">
        <v>50</v>
      </c>
      <c r="F26">
        <v>14.990859031999999</v>
      </c>
      <c r="G26">
        <v>1432.7404785000001</v>
      </c>
      <c r="H26">
        <v>1404.5823975000001</v>
      </c>
      <c r="I26">
        <v>1250.2645264</v>
      </c>
      <c r="J26">
        <v>1210.828125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0.199679</v>
      </c>
      <c r="B27" s="1">
        <f>DATE(2010,5,1) + TIME(4,47,32)</f>
        <v>40299.199675925927</v>
      </c>
      <c r="C27">
        <v>80</v>
      </c>
      <c r="D27">
        <v>30.650865554999999</v>
      </c>
      <c r="E27">
        <v>50</v>
      </c>
      <c r="F27">
        <v>14.99090004</v>
      </c>
      <c r="G27">
        <v>1431.9342041</v>
      </c>
      <c r="H27">
        <v>1404.3223877</v>
      </c>
      <c r="I27">
        <v>1250.2733154</v>
      </c>
      <c r="J27">
        <v>1210.8367920000001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0.21393499999999999</v>
      </c>
      <c r="B28" s="1">
        <f>DATE(2010,5,1) + TIME(5,8,3)</f>
        <v>40299.213923611111</v>
      </c>
      <c r="C28">
        <v>80</v>
      </c>
      <c r="D28">
        <v>31.633926391999999</v>
      </c>
      <c r="E28">
        <v>50</v>
      </c>
      <c r="F28">
        <v>14.990941048</v>
      </c>
      <c r="G28">
        <v>1431.1533202999999</v>
      </c>
      <c r="H28">
        <v>1404.0681152</v>
      </c>
      <c r="I28">
        <v>1250.2811279</v>
      </c>
      <c r="J28">
        <v>1210.8446045000001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0.228436</v>
      </c>
      <c r="B29" s="1">
        <f>DATE(2010,5,1) + TIME(5,28,56)</f>
        <v>40299.228425925925</v>
      </c>
      <c r="C29">
        <v>80</v>
      </c>
      <c r="D29">
        <v>32.616500854000002</v>
      </c>
      <c r="E29">
        <v>50</v>
      </c>
      <c r="F29">
        <v>14.990982056</v>
      </c>
      <c r="G29">
        <v>1430.3977050999999</v>
      </c>
      <c r="H29">
        <v>1403.8203125</v>
      </c>
      <c r="I29">
        <v>1250.2879639</v>
      </c>
      <c r="J29">
        <v>1210.8513184000001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0.24319499999999999</v>
      </c>
      <c r="B30" s="1">
        <f>DATE(2010,5,1) + TIME(5,50,12)</f>
        <v>40299.243194444447</v>
      </c>
      <c r="C30">
        <v>80</v>
      </c>
      <c r="D30">
        <v>33.598663330000001</v>
      </c>
      <c r="E30">
        <v>50</v>
      </c>
      <c r="F30">
        <v>14.991023064</v>
      </c>
      <c r="G30">
        <v>1429.6665039</v>
      </c>
      <c r="H30">
        <v>1403.5789795000001</v>
      </c>
      <c r="I30">
        <v>1250.2938231999999</v>
      </c>
      <c r="J30">
        <v>1210.8571777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0.25822200000000001</v>
      </c>
      <c r="B31" s="1">
        <f>DATE(2010,5,1) + TIME(6,11,50)</f>
        <v>40299.258217592593</v>
      </c>
      <c r="C31">
        <v>80</v>
      </c>
      <c r="D31">
        <v>34.580394745</v>
      </c>
      <c r="E31">
        <v>50</v>
      </c>
      <c r="F31">
        <v>14.991064072</v>
      </c>
      <c r="G31">
        <v>1428.9591064000001</v>
      </c>
      <c r="H31">
        <v>1403.3442382999999</v>
      </c>
      <c r="I31">
        <v>1250.2988281</v>
      </c>
      <c r="J31">
        <v>1210.8620605000001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0.27352799999999999</v>
      </c>
      <c r="B32" s="1">
        <f>DATE(2010,5,1) + TIME(6,33,52)</f>
        <v>40299.273518518516</v>
      </c>
      <c r="C32">
        <v>80</v>
      </c>
      <c r="D32">
        <v>35.561679839999996</v>
      </c>
      <c r="E32">
        <v>50</v>
      </c>
      <c r="F32">
        <v>14.991105080000001</v>
      </c>
      <c r="G32">
        <v>1428.2745361</v>
      </c>
      <c r="H32">
        <v>1403.1162108999999</v>
      </c>
      <c r="I32">
        <v>1250.3031006000001</v>
      </c>
      <c r="J32">
        <v>1210.8663329999999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0.28912599999999999</v>
      </c>
      <c r="B33" s="1">
        <f>DATE(2010,5,1) + TIME(6,56,20)</f>
        <v>40299.289120370369</v>
      </c>
      <c r="C33">
        <v>80</v>
      </c>
      <c r="D33">
        <v>36.542499542000002</v>
      </c>
      <c r="E33">
        <v>50</v>
      </c>
      <c r="F33">
        <v>14.991145134</v>
      </c>
      <c r="G33">
        <v>1427.6120605000001</v>
      </c>
      <c r="H33">
        <v>1402.8944091999999</v>
      </c>
      <c r="I33">
        <v>1250.3067627</v>
      </c>
      <c r="J33">
        <v>1210.8699951000001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0.30503000000000002</v>
      </c>
      <c r="B34" s="1">
        <f>DATE(2010,5,1) + TIME(7,19,14)</f>
        <v>40299.305023148147</v>
      </c>
      <c r="C34">
        <v>80</v>
      </c>
      <c r="D34">
        <v>37.522834778000004</v>
      </c>
      <c r="E34">
        <v>50</v>
      </c>
      <c r="F34">
        <v>14.991186142</v>
      </c>
      <c r="G34">
        <v>1426.9707031</v>
      </c>
      <c r="H34">
        <v>1402.6789550999999</v>
      </c>
      <c r="I34">
        <v>1250.3099365</v>
      </c>
      <c r="J34">
        <v>1210.8731689000001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0.32125199999999998</v>
      </c>
      <c r="B35" s="1">
        <f>DATE(2010,5,1) + TIME(7,42,36)</f>
        <v>40299.321250000001</v>
      </c>
      <c r="C35">
        <v>80</v>
      </c>
      <c r="D35">
        <v>38.502662659000002</v>
      </c>
      <c r="E35">
        <v>50</v>
      </c>
      <c r="F35">
        <v>14.99122715</v>
      </c>
      <c r="G35">
        <v>1426.3497314000001</v>
      </c>
      <c r="H35">
        <v>1402.4693603999999</v>
      </c>
      <c r="I35">
        <v>1250.3127440999999</v>
      </c>
      <c r="J35">
        <v>1210.8758545000001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0.337808</v>
      </c>
      <c r="B36" s="1">
        <f>DATE(2010,5,1) + TIME(8,6,26)</f>
        <v>40299.337800925925</v>
      </c>
      <c r="C36">
        <v>80</v>
      </c>
      <c r="D36">
        <v>39.481960297000001</v>
      </c>
      <c r="E36">
        <v>50</v>
      </c>
      <c r="F36">
        <v>14.991268158</v>
      </c>
      <c r="G36">
        <v>1425.7479248</v>
      </c>
      <c r="H36">
        <v>1402.2655029</v>
      </c>
      <c r="I36">
        <v>1250.3151855000001</v>
      </c>
      <c r="J36">
        <v>1210.8782959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0.354715</v>
      </c>
      <c r="B37" s="1">
        <f>DATE(2010,5,1) + TIME(8,30,47)</f>
        <v>40299.354710648149</v>
      </c>
      <c r="C37">
        <v>80</v>
      </c>
      <c r="D37">
        <v>40.460834503000001</v>
      </c>
      <c r="E37">
        <v>50</v>
      </c>
      <c r="F37">
        <v>14.991309166000001</v>
      </c>
      <c r="G37">
        <v>1425.1647949000001</v>
      </c>
      <c r="H37">
        <v>1402.0670166</v>
      </c>
      <c r="I37">
        <v>1250.3175048999999</v>
      </c>
      <c r="J37">
        <v>1210.8804932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0.37198599999999998</v>
      </c>
      <c r="B38" s="1">
        <f>DATE(2010,5,1) + TIME(8,55,39)</f>
        <v>40299.371979166666</v>
      </c>
      <c r="C38">
        <v>80</v>
      </c>
      <c r="D38">
        <v>41.439147949000002</v>
      </c>
      <c r="E38">
        <v>50</v>
      </c>
      <c r="F38">
        <v>14.991350174000001</v>
      </c>
      <c r="G38">
        <v>1424.5992432</v>
      </c>
      <c r="H38">
        <v>1401.8737793</v>
      </c>
      <c r="I38">
        <v>1250.3194579999999</v>
      </c>
      <c r="J38">
        <v>1210.8823242000001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0.38963999999999999</v>
      </c>
      <c r="B39" s="1">
        <f>DATE(2010,5,1) + TIME(9,21,4)</f>
        <v>40299.38962962963</v>
      </c>
      <c r="C39">
        <v>80</v>
      </c>
      <c r="D39">
        <v>42.416717529000003</v>
      </c>
      <c r="E39">
        <v>50</v>
      </c>
      <c r="F39">
        <v>14.991391181999999</v>
      </c>
      <c r="G39">
        <v>1424.0506591999999</v>
      </c>
      <c r="H39">
        <v>1401.6851807</v>
      </c>
      <c r="I39">
        <v>1250.3212891000001</v>
      </c>
      <c r="J39">
        <v>1210.8841553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0.40769899999999998</v>
      </c>
      <c r="B40" s="1">
        <f>DATE(2010,5,1) + TIME(9,47,5)</f>
        <v>40299.407696759263</v>
      </c>
      <c r="C40">
        <v>80</v>
      </c>
      <c r="D40">
        <v>43.393650055000002</v>
      </c>
      <c r="E40">
        <v>50</v>
      </c>
      <c r="F40">
        <v>14.991433144</v>
      </c>
      <c r="G40">
        <v>1423.5181885</v>
      </c>
      <c r="H40">
        <v>1401.5012207</v>
      </c>
      <c r="I40">
        <v>1250.322876</v>
      </c>
      <c r="J40">
        <v>1210.8857422000001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0.42618499999999998</v>
      </c>
      <c r="B41" s="1">
        <f>DATE(2010,5,1) + TIME(10,13,42)</f>
        <v>40299.426180555558</v>
      </c>
      <c r="C41">
        <v>80</v>
      </c>
      <c r="D41">
        <v>44.369907378999997</v>
      </c>
      <c r="E41">
        <v>50</v>
      </c>
      <c r="F41">
        <v>14.991474152</v>
      </c>
      <c r="G41">
        <v>1423.0010986</v>
      </c>
      <c r="H41">
        <v>1401.3214111</v>
      </c>
      <c r="I41">
        <v>1250.3244629000001</v>
      </c>
      <c r="J41">
        <v>1210.8870850000001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0.44512000000000002</v>
      </c>
      <c r="B42" s="1">
        <f>DATE(2010,5,1) + TIME(10,40,58)</f>
        <v>40299.445115740738</v>
      </c>
      <c r="C42">
        <v>80</v>
      </c>
      <c r="D42">
        <v>45.345458983999997</v>
      </c>
      <c r="E42">
        <v>50</v>
      </c>
      <c r="F42">
        <v>14.991516112999999</v>
      </c>
      <c r="G42">
        <v>1422.4985352000001</v>
      </c>
      <c r="H42">
        <v>1401.1455077999999</v>
      </c>
      <c r="I42">
        <v>1250.3258057</v>
      </c>
      <c r="J42">
        <v>1210.8884277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0.46453</v>
      </c>
      <c r="B43" s="1">
        <f>DATE(2010,5,1) + TIME(11,8,55)</f>
        <v>40299.464525462965</v>
      </c>
      <c r="C43">
        <v>80</v>
      </c>
      <c r="D43">
        <v>46.320266724</v>
      </c>
      <c r="E43">
        <v>50</v>
      </c>
      <c r="F43">
        <v>14.991558075</v>
      </c>
      <c r="G43">
        <v>1422.0098877</v>
      </c>
      <c r="H43">
        <v>1400.9733887</v>
      </c>
      <c r="I43">
        <v>1250.3271483999999</v>
      </c>
      <c r="J43">
        <v>1210.8896483999999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0.48444100000000001</v>
      </c>
      <c r="B44" s="1">
        <f>DATE(2010,5,1) + TIME(11,37,35)</f>
        <v>40299.484432870369</v>
      </c>
      <c r="C44">
        <v>80</v>
      </c>
      <c r="D44">
        <v>47.294288635000001</v>
      </c>
      <c r="E44">
        <v>50</v>
      </c>
      <c r="F44">
        <v>14.991600037</v>
      </c>
      <c r="G44">
        <v>1421.5345459</v>
      </c>
      <c r="H44">
        <v>1400.8045654</v>
      </c>
      <c r="I44">
        <v>1250.3283690999999</v>
      </c>
      <c r="J44">
        <v>1210.8908690999999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0.50488299999999997</v>
      </c>
      <c r="B45" s="1">
        <f>DATE(2010,5,1) + TIME(12,7,1)</f>
        <v>40299.504872685182</v>
      </c>
      <c r="C45">
        <v>80</v>
      </c>
      <c r="D45">
        <v>48.267478943</v>
      </c>
      <c r="E45">
        <v>50</v>
      </c>
      <c r="F45">
        <v>14.991641998</v>
      </c>
      <c r="G45">
        <v>1421.0717772999999</v>
      </c>
      <c r="H45">
        <v>1400.6389160000001</v>
      </c>
      <c r="I45">
        <v>1250.3294678</v>
      </c>
      <c r="J45">
        <v>1210.8918457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0.52588900000000005</v>
      </c>
      <c r="B46" s="1">
        <f>DATE(2010,5,1) + TIME(12,37,16)</f>
        <v>40299.525879629633</v>
      </c>
      <c r="C46">
        <v>80</v>
      </c>
      <c r="D46">
        <v>49.239788054999998</v>
      </c>
      <c r="E46">
        <v>50</v>
      </c>
      <c r="F46">
        <v>14.991684914</v>
      </c>
      <c r="G46">
        <v>1420.6209716999999</v>
      </c>
      <c r="H46">
        <v>1400.4760742000001</v>
      </c>
      <c r="I46">
        <v>1250.3305664</v>
      </c>
      <c r="J46">
        <v>1210.8928223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0.54749199999999998</v>
      </c>
      <c r="B47" s="1">
        <f>DATE(2010,5,1) + TIME(13,8,23)</f>
        <v>40299.547488425924</v>
      </c>
      <c r="C47">
        <v>80</v>
      </c>
      <c r="D47">
        <v>50.211044311999999</v>
      </c>
      <c r="E47">
        <v>50</v>
      </c>
      <c r="F47">
        <v>14.991727829</v>
      </c>
      <c r="G47">
        <v>1420.1816406</v>
      </c>
      <c r="H47">
        <v>1400.3157959</v>
      </c>
      <c r="I47">
        <v>1250.331543</v>
      </c>
      <c r="J47">
        <v>1210.8937988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0.56973499999999999</v>
      </c>
      <c r="B48" s="1">
        <f>DATE(2010,5,1) + TIME(13,40,25)</f>
        <v>40299.569733796299</v>
      </c>
      <c r="C48">
        <v>80</v>
      </c>
      <c r="D48">
        <v>51.180984496999997</v>
      </c>
      <c r="E48">
        <v>50</v>
      </c>
      <c r="F48">
        <v>14.991770744</v>
      </c>
      <c r="G48">
        <v>1419.7529297000001</v>
      </c>
      <c r="H48">
        <v>1400.1575928</v>
      </c>
      <c r="I48">
        <v>1250.3325195</v>
      </c>
      <c r="J48">
        <v>1210.8945312000001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0.59266799999999997</v>
      </c>
      <c r="B49" s="1">
        <f>DATE(2010,5,1) + TIME(14,13,26)</f>
        <v>40299.592662037037</v>
      </c>
      <c r="C49">
        <v>80</v>
      </c>
      <c r="D49">
        <v>52.150276183999999</v>
      </c>
      <c r="E49">
        <v>50</v>
      </c>
      <c r="F49">
        <v>14.99181366</v>
      </c>
      <c r="G49">
        <v>1419.3342285000001</v>
      </c>
      <c r="H49">
        <v>1400.0015868999999</v>
      </c>
      <c r="I49">
        <v>1250.333374</v>
      </c>
      <c r="J49">
        <v>1210.8953856999999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0.61632699999999996</v>
      </c>
      <c r="B50" s="1">
        <f>DATE(2010,5,1) + TIME(14,47,30)</f>
        <v>40299.616319444445</v>
      </c>
      <c r="C50">
        <v>80</v>
      </c>
      <c r="D50">
        <v>53.118438720999997</v>
      </c>
      <c r="E50">
        <v>50</v>
      </c>
      <c r="F50">
        <v>14.991857529000001</v>
      </c>
      <c r="G50">
        <v>1418.9254149999999</v>
      </c>
      <c r="H50">
        <v>1399.8472899999999</v>
      </c>
      <c r="I50">
        <v>1250.3342285000001</v>
      </c>
      <c r="J50">
        <v>1210.8961182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0.640764</v>
      </c>
      <c r="B51" s="1">
        <f>DATE(2010,5,1) + TIME(15,22,41)</f>
        <v>40299.640752314815</v>
      </c>
      <c r="C51">
        <v>80</v>
      </c>
      <c r="D51">
        <v>54.085395812999998</v>
      </c>
      <c r="E51">
        <v>50</v>
      </c>
      <c r="F51">
        <v>14.991901398</v>
      </c>
      <c r="G51">
        <v>1418.5255127</v>
      </c>
      <c r="H51">
        <v>1399.6944579999999</v>
      </c>
      <c r="I51">
        <v>1250.3350829999999</v>
      </c>
      <c r="J51">
        <v>1210.8968506000001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0.66603599999999996</v>
      </c>
      <c r="B52" s="1">
        <f>DATE(2010,5,1) + TIME(15,59,5)</f>
        <v>40299.666030092594</v>
      </c>
      <c r="C52">
        <v>80</v>
      </c>
      <c r="D52">
        <v>55.051055908000002</v>
      </c>
      <c r="E52">
        <v>50</v>
      </c>
      <c r="F52">
        <v>14.991946220000001</v>
      </c>
      <c r="G52">
        <v>1418.1341553</v>
      </c>
      <c r="H52">
        <v>1399.5427245999999</v>
      </c>
      <c r="I52">
        <v>1250.3359375</v>
      </c>
      <c r="J52">
        <v>1210.8975829999999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0.69220599999999999</v>
      </c>
      <c r="B53" s="1">
        <f>DATE(2010,5,1) + TIME(16,36,46)</f>
        <v>40299.692199074074</v>
      </c>
      <c r="C53">
        <v>80</v>
      </c>
      <c r="D53">
        <v>56.015327454000001</v>
      </c>
      <c r="E53">
        <v>50</v>
      </c>
      <c r="F53">
        <v>14.991991043000001</v>
      </c>
      <c r="G53">
        <v>1417.7507324000001</v>
      </c>
      <c r="H53">
        <v>1399.3918457</v>
      </c>
      <c r="I53">
        <v>1250.3366699000001</v>
      </c>
      <c r="J53">
        <v>1210.8981934000001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0.71934699999999996</v>
      </c>
      <c r="B54" s="1">
        <f>DATE(2010,5,1) + TIME(17,15,51)</f>
        <v>40299.719340277778</v>
      </c>
      <c r="C54">
        <v>80</v>
      </c>
      <c r="D54">
        <v>56.978099823000001</v>
      </c>
      <c r="E54">
        <v>50</v>
      </c>
      <c r="F54">
        <v>14.992035866</v>
      </c>
      <c r="G54">
        <v>1417.3747559000001</v>
      </c>
      <c r="H54">
        <v>1399.2415771000001</v>
      </c>
      <c r="I54">
        <v>1250.3374022999999</v>
      </c>
      <c r="J54">
        <v>1210.8988036999999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0.74753700000000001</v>
      </c>
      <c r="B55" s="1">
        <f>DATE(2010,5,1) + TIME(17,56,27)</f>
        <v>40299.747534722221</v>
      </c>
      <c r="C55">
        <v>80</v>
      </c>
      <c r="D55">
        <v>57.939258574999997</v>
      </c>
      <c r="E55">
        <v>50</v>
      </c>
      <c r="F55">
        <v>14.992081642</v>
      </c>
      <c r="G55">
        <v>1417.0057373</v>
      </c>
      <c r="H55">
        <v>1399.0915527</v>
      </c>
      <c r="I55">
        <v>1250.3381348</v>
      </c>
      <c r="J55">
        <v>1210.8994141000001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0.77686599999999995</v>
      </c>
      <c r="B56" s="1">
        <f>DATE(2010,5,1) + TIME(18,38,41)</f>
        <v>40299.776863425926</v>
      </c>
      <c r="C56">
        <v>80</v>
      </c>
      <c r="D56">
        <v>58.898670197000001</v>
      </c>
      <c r="E56">
        <v>50</v>
      </c>
      <c r="F56">
        <v>14.992128372</v>
      </c>
      <c r="G56">
        <v>1416.6430664</v>
      </c>
      <c r="H56">
        <v>1398.9415283000001</v>
      </c>
      <c r="I56">
        <v>1250.3388672000001</v>
      </c>
      <c r="J56">
        <v>1210.9001464999999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0.80743500000000001</v>
      </c>
      <c r="B57" s="1">
        <f>DATE(2010,5,1) + TIME(19,22,42)</f>
        <v>40299.807430555556</v>
      </c>
      <c r="C57">
        <v>80</v>
      </c>
      <c r="D57">
        <v>59.856178284000002</v>
      </c>
      <c r="E57">
        <v>50</v>
      </c>
      <c r="F57">
        <v>14.992175101999999</v>
      </c>
      <c r="G57">
        <v>1416.2862548999999</v>
      </c>
      <c r="H57">
        <v>1398.7910156</v>
      </c>
      <c r="I57">
        <v>1250.3397216999999</v>
      </c>
      <c r="J57">
        <v>1210.9007568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0.83936200000000005</v>
      </c>
      <c r="B58" s="1">
        <f>DATE(2010,5,1) + TIME(20,8,40)</f>
        <v>40299.83935185185</v>
      </c>
      <c r="C58">
        <v>80</v>
      </c>
      <c r="D58">
        <v>60.810909271</v>
      </c>
      <c r="E58">
        <v>50</v>
      </c>
      <c r="F58">
        <v>14.992222785999999</v>
      </c>
      <c r="G58">
        <v>1415.9348144999999</v>
      </c>
      <c r="H58">
        <v>1398.6396483999999</v>
      </c>
      <c r="I58">
        <v>1250.3404541</v>
      </c>
      <c r="J58">
        <v>1210.9013672000001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0.87280199999999997</v>
      </c>
      <c r="B59" s="1">
        <f>DATE(2010,5,1) + TIME(20,56,50)</f>
        <v>40299.872800925928</v>
      </c>
      <c r="C59">
        <v>80</v>
      </c>
      <c r="D59">
        <v>61.763896942000002</v>
      </c>
      <c r="E59">
        <v>50</v>
      </c>
      <c r="F59">
        <v>14.992270469999999</v>
      </c>
      <c r="G59">
        <v>1415.5878906</v>
      </c>
      <c r="H59">
        <v>1398.4870605000001</v>
      </c>
      <c r="I59">
        <v>1250.3411865</v>
      </c>
      <c r="J59">
        <v>1210.9019774999999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0.90789200000000003</v>
      </c>
      <c r="B60" s="1">
        <f>DATE(2010,5,1) + TIME(21,47,21)</f>
        <v>40299.907881944448</v>
      </c>
      <c r="C60">
        <v>80</v>
      </c>
      <c r="D60">
        <v>62.714511870999999</v>
      </c>
      <c r="E60">
        <v>50</v>
      </c>
      <c r="F60">
        <v>14.992320060999999</v>
      </c>
      <c r="G60">
        <v>1415.2451172000001</v>
      </c>
      <c r="H60">
        <v>1398.3328856999999</v>
      </c>
      <c r="I60">
        <v>1250.3420410000001</v>
      </c>
      <c r="J60">
        <v>1210.9027100000001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0.94480500000000001</v>
      </c>
      <c r="B61" s="1">
        <f>DATE(2010,5,1) + TIME(22,40,31)</f>
        <v>40299.944803240738</v>
      </c>
      <c r="C61">
        <v>80</v>
      </c>
      <c r="D61">
        <v>63.662376404</v>
      </c>
      <c r="E61">
        <v>50</v>
      </c>
      <c r="F61">
        <v>14.992369652000001</v>
      </c>
      <c r="G61">
        <v>1414.9058838000001</v>
      </c>
      <c r="H61">
        <v>1398.1766356999999</v>
      </c>
      <c r="I61">
        <v>1250.3427733999999</v>
      </c>
      <c r="J61">
        <v>1210.9033202999999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0.98374799999999996</v>
      </c>
      <c r="B62" s="1">
        <f>DATE(2010,5,1) + TIME(23,36,35)</f>
        <v>40299.983738425923</v>
      </c>
      <c r="C62">
        <v>80</v>
      </c>
      <c r="D62">
        <v>64.607200622999997</v>
      </c>
      <c r="E62">
        <v>50</v>
      </c>
      <c r="F62">
        <v>14.992420197</v>
      </c>
      <c r="G62">
        <v>1414.5695800999999</v>
      </c>
      <c r="H62">
        <v>1398.0178223</v>
      </c>
      <c r="I62">
        <v>1250.34375</v>
      </c>
      <c r="J62">
        <v>1210.9040527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1.0249649999999999</v>
      </c>
      <c r="B63" s="1">
        <f>DATE(2010,5,2) + TIME(0,35,56)</f>
        <v>40300.024953703702</v>
      </c>
      <c r="C63">
        <v>80</v>
      </c>
      <c r="D63">
        <v>65.548797606999997</v>
      </c>
      <c r="E63">
        <v>50</v>
      </c>
      <c r="F63">
        <v>14.992471695000001</v>
      </c>
      <c r="G63">
        <v>1414.2353516000001</v>
      </c>
      <c r="H63">
        <v>1397.8557129000001</v>
      </c>
      <c r="I63">
        <v>1250.3446045000001</v>
      </c>
      <c r="J63">
        <v>1210.9049072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1.0687390000000001</v>
      </c>
      <c r="B64" s="1">
        <f>DATE(2010,5,2) + TIME(1,38,59)</f>
        <v>40300.068738425929</v>
      </c>
      <c r="C64">
        <v>80</v>
      </c>
      <c r="D64">
        <v>66.486572265999996</v>
      </c>
      <c r="E64">
        <v>50</v>
      </c>
      <c r="F64">
        <v>14.992525101</v>
      </c>
      <c r="G64">
        <v>1413.9024658000001</v>
      </c>
      <c r="H64">
        <v>1397.6896973</v>
      </c>
      <c r="I64">
        <v>1250.3457031</v>
      </c>
      <c r="J64">
        <v>1210.9057617000001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1.09198</v>
      </c>
      <c r="B65" s="1">
        <f>DATE(2010,5,2) + TIME(2,12,27)</f>
        <v>40300.091979166667</v>
      </c>
      <c r="C65">
        <v>80</v>
      </c>
      <c r="D65">
        <v>66.968276978000006</v>
      </c>
      <c r="E65">
        <v>50</v>
      </c>
      <c r="F65">
        <v>14.992552757</v>
      </c>
      <c r="G65">
        <v>1413.7119141000001</v>
      </c>
      <c r="H65">
        <v>1397.5579834</v>
      </c>
      <c r="I65">
        <v>1250.3464355000001</v>
      </c>
      <c r="J65">
        <v>1210.9064940999999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1.115221</v>
      </c>
      <c r="B66" s="1">
        <f>DATE(2010,5,2) + TIME(2,45,55)</f>
        <v>40300.115219907406</v>
      </c>
      <c r="C66">
        <v>80</v>
      </c>
      <c r="D66">
        <v>67.433418274000005</v>
      </c>
      <c r="E66">
        <v>50</v>
      </c>
      <c r="F66">
        <v>14.992580414000001</v>
      </c>
      <c r="G66">
        <v>1413.5445557</v>
      </c>
      <c r="H66">
        <v>1397.4705810999999</v>
      </c>
      <c r="I66">
        <v>1250.347168</v>
      </c>
      <c r="J66">
        <v>1210.9071045000001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1.1384620000000001</v>
      </c>
      <c r="B67" s="1">
        <f>DATE(2010,5,2) + TIME(3,19,23)</f>
        <v>40300.138460648152</v>
      </c>
      <c r="C67">
        <v>80</v>
      </c>
      <c r="D67">
        <v>67.882514954000001</v>
      </c>
      <c r="E67">
        <v>50</v>
      </c>
      <c r="F67">
        <v>14.992607117</v>
      </c>
      <c r="G67">
        <v>1413.3834228999999</v>
      </c>
      <c r="H67">
        <v>1397.3850098</v>
      </c>
      <c r="I67">
        <v>1250.3477783000001</v>
      </c>
      <c r="J67">
        <v>1210.9075928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1.1617029999999999</v>
      </c>
      <c r="B68" s="1">
        <f>DATE(2010,5,2) + TIME(3,52,51)</f>
        <v>40300.16170138889</v>
      </c>
      <c r="C68">
        <v>80</v>
      </c>
      <c r="D68">
        <v>68.316070557000003</v>
      </c>
      <c r="E68">
        <v>50</v>
      </c>
      <c r="F68">
        <v>14.992632865999999</v>
      </c>
      <c r="G68">
        <v>1413.2270507999999</v>
      </c>
      <c r="H68">
        <v>1397.3007812000001</v>
      </c>
      <c r="I68">
        <v>1250.3483887</v>
      </c>
      <c r="J68">
        <v>1210.9080810999999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1.184944</v>
      </c>
      <c r="B69" s="1">
        <f>DATE(2010,5,2) + TIME(4,26,19)</f>
        <v>40300.184942129628</v>
      </c>
      <c r="C69">
        <v>80</v>
      </c>
      <c r="D69">
        <v>68.734481811999999</v>
      </c>
      <c r="E69">
        <v>50</v>
      </c>
      <c r="F69">
        <v>14.992658615</v>
      </c>
      <c r="G69">
        <v>1413.0726318</v>
      </c>
      <c r="H69">
        <v>1397.2150879000001</v>
      </c>
      <c r="I69">
        <v>1250.3488769999999</v>
      </c>
      <c r="J69">
        <v>1210.9085693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1.2081850000000001</v>
      </c>
      <c r="B70" s="1">
        <f>DATE(2010,5,2) + TIME(4,59,47)</f>
        <v>40300.208182870374</v>
      </c>
      <c r="C70">
        <v>80</v>
      </c>
      <c r="D70">
        <v>69.138435364000003</v>
      </c>
      <c r="E70">
        <v>50</v>
      </c>
      <c r="F70">
        <v>14.992684364</v>
      </c>
      <c r="G70">
        <v>1412.9273682</v>
      </c>
      <c r="H70">
        <v>1397.1354980000001</v>
      </c>
      <c r="I70">
        <v>1250.3494873</v>
      </c>
      <c r="J70">
        <v>1210.9090576000001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1.2314259999999999</v>
      </c>
      <c r="B71" s="1">
        <f>DATE(2010,5,2) + TIME(5,33,15)</f>
        <v>40300.231423611112</v>
      </c>
      <c r="C71">
        <v>80</v>
      </c>
      <c r="D71">
        <v>69.528305054</v>
      </c>
      <c r="E71">
        <v>50</v>
      </c>
      <c r="F71">
        <v>14.99270916</v>
      </c>
      <c r="G71">
        <v>1412.7844238</v>
      </c>
      <c r="H71">
        <v>1397.0550536999999</v>
      </c>
      <c r="I71">
        <v>1250.3499756000001</v>
      </c>
      <c r="J71">
        <v>1210.9095459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1.254667</v>
      </c>
      <c r="B72" s="1">
        <f>DATE(2010,5,2) + TIME(6,6,43)</f>
        <v>40300.254664351851</v>
      </c>
      <c r="C72">
        <v>80</v>
      </c>
      <c r="D72">
        <v>69.904525757000002</v>
      </c>
      <c r="E72">
        <v>50</v>
      </c>
      <c r="F72">
        <v>14.992733002</v>
      </c>
      <c r="G72">
        <v>1412.6452637</v>
      </c>
      <c r="H72">
        <v>1396.9754639</v>
      </c>
      <c r="I72">
        <v>1250.3505858999999</v>
      </c>
      <c r="J72">
        <v>1210.9100341999999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1.277909</v>
      </c>
      <c r="B73" s="1">
        <f>DATE(2010,5,2) + TIME(6,40,11)</f>
        <v>40300.277905092589</v>
      </c>
      <c r="C73">
        <v>80</v>
      </c>
      <c r="D73">
        <v>70.267547606999997</v>
      </c>
      <c r="E73">
        <v>50</v>
      </c>
      <c r="F73">
        <v>14.992757796999999</v>
      </c>
      <c r="G73">
        <v>1412.5097656</v>
      </c>
      <c r="H73">
        <v>1396.8968506000001</v>
      </c>
      <c r="I73">
        <v>1250.3511963000001</v>
      </c>
      <c r="J73">
        <v>1210.9105225000001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1.3243910000000001</v>
      </c>
      <c r="B74" s="1">
        <f>DATE(2010,5,2) + TIME(7,47,7)</f>
        <v>40300.324386574073</v>
      </c>
      <c r="C74">
        <v>80</v>
      </c>
      <c r="D74">
        <v>70.942665099999999</v>
      </c>
      <c r="E74">
        <v>50</v>
      </c>
      <c r="F74">
        <v>14.992802620000001</v>
      </c>
      <c r="G74">
        <v>1412.2850341999999</v>
      </c>
      <c r="H74">
        <v>1396.7967529</v>
      </c>
      <c r="I74">
        <v>1250.3520507999999</v>
      </c>
      <c r="J74">
        <v>1210.9113769999999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1.3709690000000001</v>
      </c>
      <c r="B75" s="1">
        <f>DATE(2010,5,2) + TIME(8,54,11)</f>
        <v>40300.37096064815</v>
      </c>
      <c r="C75">
        <v>80</v>
      </c>
      <c r="D75">
        <v>71.572875976999995</v>
      </c>
      <c r="E75">
        <v>50</v>
      </c>
      <c r="F75">
        <v>14.992846489</v>
      </c>
      <c r="G75">
        <v>1412.0388184000001</v>
      </c>
      <c r="H75">
        <v>1396.6447754000001</v>
      </c>
      <c r="I75">
        <v>1250.3530272999999</v>
      </c>
      <c r="J75">
        <v>1210.9122314000001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1.417883</v>
      </c>
      <c r="B76" s="1">
        <f>DATE(2010,5,2) + TIME(10,1,45)</f>
        <v>40300.417881944442</v>
      </c>
      <c r="C76">
        <v>80</v>
      </c>
      <c r="D76">
        <v>72.163742064999994</v>
      </c>
      <c r="E76">
        <v>50</v>
      </c>
      <c r="F76">
        <v>14.992889404</v>
      </c>
      <c r="G76">
        <v>1411.8032227000001</v>
      </c>
      <c r="H76">
        <v>1396.4960937999999</v>
      </c>
      <c r="I76">
        <v>1250.354126</v>
      </c>
      <c r="J76">
        <v>1210.9132079999999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1.465182</v>
      </c>
      <c r="B77" s="1">
        <f>DATE(2010,5,2) + TIME(11,9,51)</f>
        <v>40300.465173611112</v>
      </c>
      <c r="C77">
        <v>80</v>
      </c>
      <c r="D77">
        <v>72.717811584000003</v>
      </c>
      <c r="E77">
        <v>50</v>
      </c>
      <c r="F77">
        <v>14.992931366000001</v>
      </c>
      <c r="G77">
        <v>1411.5765381000001</v>
      </c>
      <c r="H77">
        <v>1396.3496094</v>
      </c>
      <c r="I77">
        <v>1250.3553466999999</v>
      </c>
      <c r="J77">
        <v>1210.9143065999999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1.5129360000000001</v>
      </c>
      <c r="B78" s="1">
        <f>DATE(2010,5,2) + TIME(12,18,37)</f>
        <v>40300.512928240743</v>
      </c>
      <c r="C78">
        <v>80</v>
      </c>
      <c r="D78">
        <v>73.237586974999999</v>
      </c>
      <c r="E78">
        <v>50</v>
      </c>
      <c r="F78">
        <v>14.992972374000001</v>
      </c>
      <c r="G78">
        <v>1411.3579102000001</v>
      </c>
      <c r="H78">
        <v>1396.2049560999999</v>
      </c>
      <c r="I78">
        <v>1250.3564452999999</v>
      </c>
      <c r="J78">
        <v>1210.9152832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1.5612109999999999</v>
      </c>
      <c r="B79" s="1">
        <f>DATE(2010,5,2) + TIME(13,28,8)</f>
        <v>40300.561203703706</v>
      </c>
      <c r="C79">
        <v>80</v>
      </c>
      <c r="D79">
        <v>73.725303650000001</v>
      </c>
      <c r="E79">
        <v>50</v>
      </c>
      <c r="F79">
        <v>14.993012428</v>
      </c>
      <c r="G79">
        <v>1411.1464844</v>
      </c>
      <c r="H79">
        <v>1396.0617675999999</v>
      </c>
      <c r="I79">
        <v>1250.3576660000001</v>
      </c>
      <c r="J79">
        <v>1210.9163818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1.6100620000000001</v>
      </c>
      <c r="B80" s="1">
        <f>DATE(2010,5,2) + TIME(14,38,29)</f>
        <v>40300.61005787037</v>
      </c>
      <c r="C80">
        <v>80</v>
      </c>
      <c r="D80">
        <v>74.182891846000004</v>
      </c>
      <c r="E80">
        <v>50</v>
      </c>
      <c r="F80">
        <v>14.993050575</v>
      </c>
      <c r="G80">
        <v>1410.9414062000001</v>
      </c>
      <c r="H80">
        <v>1395.9196777</v>
      </c>
      <c r="I80">
        <v>1250.3587646000001</v>
      </c>
      <c r="J80">
        <v>1210.9174805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1.6595709999999999</v>
      </c>
      <c r="B81" s="1">
        <f>DATE(2010,5,2) + TIME(15,49,46)</f>
        <v>40300.659560185188</v>
      </c>
      <c r="C81">
        <v>80</v>
      </c>
      <c r="D81">
        <v>74.612327575999998</v>
      </c>
      <c r="E81">
        <v>50</v>
      </c>
      <c r="F81">
        <v>14.993089676</v>
      </c>
      <c r="G81">
        <v>1410.7419434000001</v>
      </c>
      <c r="H81">
        <v>1395.7786865</v>
      </c>
      <c r="I81">
        <v>1250.3599853999999</v>
      </c>
      <c r="J81">
        <v>1210.9185791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1.7098089999999999</v>
      </c>
      <c r="B82" s="1">
        <f>DATE(2010,5,2) + TIME(17,2,7)</f>
        <v>40300.709803240738</v>
      </c>
      <c r="C82">
        <v>80</v>
      </c>
      <c r="D82">
        <v>75.015304564999994</v>
      </c>
      <c r="E82">
        <v>50</v>
      </c>
      <c r="F82">
        <v>14.993126868999999</v>
      </c>
      <c r="G82">
        <v>1410.5476074000001</v>
      </c>
      <c r="H82">
        <v>1395.6381836</v>
      </c>
      <c r="I82">
        <v>1250.3612060999999</v>
      </c>
      <c r="J82">
        <v>1210.9196777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1.7608490000000001</v>
      </c>
      <c r="B83" s="1">
        <f>DATE(2010,5,2) + TIME(18,15,37)</f>
        <v>40300.760844907411</v>
      </c>
      <c r="C83">
        <v>80</v>
      </c>
      <c r="D83">
        <v>75.393051146999994</v>
      </c>
      <c r="E83">
        <v>50</v>
      </c>
      <c r="F83">
        <v>14.993164062</v>
      </c>
      <c r="G83">
        <v>1410.3577881000001</v>
      </c>
      <c r="H83">
        <v>1395.4982910000001</v>
      </c>
      <c r="I83">
        <v>1250.3624268000001</v>
      </c>
      <c r="J83">
        <v>1210.9207764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1.8127690000000001</v>
      </c>
      <c r="B84" s="1">
        <f>DATE(2010,5,2) + TIME(19,30,23)</f>
        <v>40300.8127662037</v>
      </c>
      <c r="C84">
        <v>80</v>
      </c>
      <c r="D84">
        <v>75.747337341000005</v>
      </c>
      <c r="E84">
        <v>50</v>
      </c>
      <c r="F84">
        <v>14.993200302</v>
      </c>
      <c r="G84">
        <v>1410.171875</v>
      </c>
      <c r="H84">
        <v>1395.3585204999999</v>
      </c>
      <c r="I84">
        <v>1250.3635254000001</v>
      </c>
      <c r="J84">
        <v>1210.921875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1.865648</v>
      </c>
      <c r="B85" s="1">
        <f>DATE(2010,5,2) + TIME(20,46,31)</f>
        <v>40300.865636574075</v>
      </c>
      <c r="C85">
        <v>80</v>
      </c>
      <c r="D85">
        <v>76.079475403000004</v>
      </c>
      <c r="E85">
        <v>50</v>
      </c>
      <c r="F85">
        <v>14.993235587999999</v>
      </c>
      <c r="G85">
        <v>1409.989624</v>
      </c>
      <c r="H85">
        <v>1395.2188721</v>
      </c>
      <c r="I85">
        <v>1250.3647461</v>
      </c>
      <c r="J85">
        <v>1210.9229736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1.9195720000000001</v>
      </c>
      <c r="B86" s="1">
        <f>DATE(2010,5,2) + TIME(22,4,11)</f>
        <v>40300.919571759259</v>
      </c>
      <c r="C86">
        <v>80</v>
      </c>
      <c r="D86">
        <v>76.390708923000005</v>
      </c>
      <c r="E86">
        <v>50</v>
      </c>
      <c r="F86">
        <v>14.993270874</v>
      </c>
      <c r="G86">
        <v>1409.8103027</v>
      </c>
      <c r="H86">
        <v>1395.0791016000001</v>
      </c>
      <c r="I86">
        <v>1250.3659668</v>
      </c>
      <c r="J86">
        <v>1210.9241943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1.9746330000000001</v>
      </c>
      <c r="B87" s="1">
        <f>DATE(2010,5,2) + TIME(23,23,28)</f>
        <v>40300.974629629629</v>
      </c>
      <c r="C87">
        <v>80</v>
      </c>
      <c r="D87">
        <v>76.682151794000006</v>
      </c>
      <c r="E87">
        <v>50</v>
      </c>
      <c r="F87">
        <v>14.993306159999999</v>
      </c>
      <c r="G87">
        <v>1409.6336670000001</v>
      </c>
      <c r="H87">
        <v>1394.9390868999999</v>
      </c>
      <c r="I87">
        <v>1250.3673096</v>
      </c>
      <c r="J87">
        <v>1210.925293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2.0309249999999999</v>
      </c>
      <c r="B88" s="1">
        <f>DATE(2010,5,3) + TIME(0,44,31)</f>
        <v>40301.030914351853</v>
      </c>
      <c r="C88">
        <v>80</v>
      </c>
      <c r="D88">
        <v>76.954879761000001</v>
      </c>
      <c r="E88">
        <v>50</v>
      </c>
      <c r="F88">
        <v>14.993340492</v>
      </c>
      <c r="G88">
        <v>1409.4592285000001</v>
      </c>
      <c r="H88">
        <v>1394.7984618999999</v>
      </c>
      <c r="I88">
        <v>1250.3685303</v>
      </c>
      <c r="J88">
        <v>1210.9265137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2.0885539999999998</v>
      </c>
      <c r="B89" s="1">
        <f>DATE(2010,5,3) + TIME(2,7,31)</f>
        <v>40301.088553240741</v>
      </c>
      <c r="C89">
        <v>80</v>
      </c>
      <c r="D89">
        <v>77.209869385000005</v>
      </c>
      <c r="E89">
        <v>50</v>
      </c>
      <c r="F89">
        <v>14.993374825</v>
      </c>
      <c r="G89">
        <v>1409.2868652</v>
      </c>
      <c r="H89">
        <v>1394.6572266000001</v>
      </c>
      <c r="I89">
        <v>1250.369751</v>
      </c>
      <c r="J89">
        <v>1210.9277344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2.147659</v>
      </c>
      <c r="B90" s="1">
        <f>DATE(2010,5,3) + TIME(3,32,37)</f>
        <v>40301.147650462961</v>
      </c>
      <c r="C90">
        <v>80</v>
      </c>
      <c r="D90">
        <v>77.448143005000006</v>
      </c>
      <c r="E90">
        <v>50</v>
      </c>
      <c r="F90">
        <v>14.993409157</v>
      </c>
      <c r="G90">
        <v>1409.1158447</v>
      </c>
      <c r="H90">
        <v>1394.5152588000001</v>
      </c>
      <c r="I90">
        <v>1250.3710937999999</v>
      </c>
      <c r="J90">
        <v>1210.9289550999999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2.2083409999999999</v>
      </c>
      <c r="B91" s="1">
        <f>DATE(2010,5,3) + TIME(5,0,0)</f>
        <v>40301.208333333336</v>
      </c>
      <c r="C91">
        <v>80</v>
      </c>
      <c r="D91">
        <v>77.670310974000003</v>
      </c>
      <c r="E91">
        <v>50</v>
      </c>
      <c r="F91">
        <v>14.993442535</v>
      </c>
      <c r="G91">
        <v>1408.9414062000001</v>
      </c>
      <c r="H91">
        <v>1394.3673096</v>
      </c>
      <c r="I91">
        <v>1250.3718262</v>
      </c>
      <c r="J91">
        <v>1210.9296875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2.2707570000000001</v>
      </c>
      <c r="B92" s="1">
        <f>DATE(2010,5,3) + TIME(6,29,53)</f>
        <v>40301.270752314813</v>
      </c>
      <c r="C92">
        <v>80</v>
      </c>
      <c r="D92">
        <v>77.877464294000006</v>
      </c>
      <c r="E92">
        <v>50</v>
      </c>
      <c r="F92">
        <v>14.993476868</v>
      </c>
      <c r="G92">
        <v>1408.7766113</v>
      </c>
      <c r="H92">
        <v>1394.2270507999999</v>
      </c>
      <c r="I92">
        <v>1250.3734131000001</v>
      </c>
      <c r="J92">
        <v>1210.9311522999999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2.334975</v>
      </c>
      <c r="B93" s="1">
        <f>DATE(2010,5,3) + TIME(8,2,21)</f>
        <v>40301.334965277776</v>
      </c>
      <c r="C93">
        <v>80</v>
      </c>
      <c r="D93">
        <v>78.070091247999997</v>
      </c>
      <c r="E93">
        <v>50</v>
      </c>
      <c r="F93">
        <v>14.993510246</v>
      </c>
      <c r="G93">
        <v>1408.6087646000001</v>
      </c>
      <c r="H93">
        <v>1394.0817870999999</v>
      </c>
      <c r="I93">
        <v>1250.3748779</v>
      </c>
      <c r="J93">
        <v>1210.9324951000001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2.401205</v>
      </c>
      <c r="B94" s="1">
        <f>DATE(2010,5,3) + TIME(9,37,44)</f>
        <v>40301.401203703703</v>
      </c>
      <c r="C94">
        <v>80</v>
      </c>
      <c r="D94">
        <v>78.249092102000006</v>
      </c>
      <c r="E94">
        <v>50</v>
      </c>
      <c r="F94">
        <v>14.993543624999999</v>
      </c>
      <c r="G94">
        <v>1408.4410399999999</v>
      </c>
      <c r="H94">
        <v>1393.9346923999999</v>
      </c>
      <c r="I94">
        <v>1250.3762207</v>
      </c>
      <c r="J94">
        <v>1210.9339600000001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2.4696259999999999</v>
      </c>
      <c r="B95" s="1">
        <f>DATE(2010,5,3) + TIME(11,16,15)</f>
        <v>40301.469618055555</v>
      </c>
      <c r="C95">
        <v>80</v>
      </c>
      <c r="D95">
        <v>78.415145874000004</v>
      </c>
      <c r="E95">
        <v>50</v>
      </c>
      <c r="F95">
        <v>14.993577956999999</v>
      </c>
      <c r="G95">
        <v>1408.2731934000001</v>
      </c>
      <c r="H95">
        <v>1393.7856445</v>
      </c>
      <c r="I95">
        <v>1250.3776855000001</v>
      </c>
      <c r="J95">
        <v>1210.9353027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2.5404330000000002</v>
      </c>
      <c r="B96" s="1">
        <f>DATE(2010,5,3) + TIME(12,58,13)</f>
        <v>40301.54042824074</v>
      </c>
      <c r="C96">
        <v>80</v>
      </c>
      <c r="D96">
        <v>78.568916321000003</v>
      </c>
      <c r="E96">
        <v>50</v>
      </c>
      <c r="F96">
        <v>14.993611336000001</v>
      </c>
      <c r="G96">
        <v>1408.1048584</v>
      </c>
      <c r="H96">
        <v>1393.6347656</v>
      </c>
      <c r="I96">
        <v>1250.3790283000001</v>
      </c>
      <c r="J96">
        <v>1210.9366454999999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2.6136560000000002</v>
      </c>
      <c r="B97" s="1">
        <f>DATE(2010,5,3) + TIME(14,43,39)</f>
        <v>40301.613645833335</v>
      </c>
      <c r="C97">
        <v>80</v>
      </c>
      <c r="D97">
        <v>78.710678100999999</v>
      </c>
      <c r="E97">
        <v>50</v>
      </c>
      <c r="F97">
        <v>14.993645667999999</v>
      </c>
      <c r="G97">
        <v>1407.9361572</v>
      </c>
      <c r="H97">
        <v>1393.4816894999999</v>
      </c>
      <c r="I97">
        <v>1250.3804932</v>
      </c>
      <c r="J97">
        <v>1210.9379882999999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2.6891639999999999</v>
      </c>
      <c r="B98" s="1">
        <f>DATE(2010,5,3) + TIME(16,32,23)</f>
        <v>40301.689155092594</v>
      </c>
      <c r="C98">
        <v>80</v>
      </c>
      <c r="D98">
        <v>78.840568542</v>
      </c>
      <c r="E98">
        <v>50</v>
      </c>
      <c r="F98">
        <v>14.993679047000001</v>
      </c>
      <c r="G98">
        <v>1407.7668457</v>
      </c>
      <c r="H98">
        <v>1393.3266602000001</v>
      </c>
      <c r="I98">
        <v>1250.3819579999999</v>
      </c>
      <c r="J98">
        <v>1210.9394531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2.7671649999999999</v>
      </c>
      <c r="B99" s="1">
        <f>DATE(2010,5,3) + TIME(18,24,43)</f>
        <v>40301.767164351855</v>
      </c>
      <c r="C99">
        <v>80</v>
      </c>
      <c r="D99">
        <v>78.959350585999999</v>
      </c>
      <c r="E99">
        <v>50</v>
      </c>
      <c r="F99">
        <v>14.993713379000001</v>
      </c>
      <c r="G99">
        <v>1407.5974120999999</v>
      </c>
      <c r="H99">
        <v>1393.1699219</v>
      </c>
      <c r="I99">
        <v>1250.3835449000001</v>
      </c>
      <c r="J99">
        <v>1210.940918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2.8477679999999999</v>
      </c>
      <c r="B100" s="1">
        <f>DATE(2010,5,3) + TIME(20,20,47)</f>
        <v>40301.847766203704</v>
      </c>
      <c r="C100">
        <v>80</v>
      </c>
      <c r="D100">
        <v>79.067810058999996</v>
      </c>
      <c r="E100">
        <v>50</v>
      </c>
      <c r="F100">
        <v>14.993746758</v>
      </c>
      <c r="G100">
        <v>1407.4324951000001</v>
      </c>
      <c r="H100">
        <v>1393.0167236</v>
      </c>
      <c r="I100">
        <v>1250.3856201000001</v>
      </c>
      <c r="J100">
        <v>1210.9429932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2.931127</v>
      </c>
      <c r="B101" s="1">
        <f>DATE(2010,5,3) + TIME(22,20,49)</f>
        <v>40301.931122685186</v>
      </c>
      <c r="C101">
        <v>80</v>
      </c>
      <c r="D101">
        <v>79.166114807</v>
      </c>
      <c r="E101">
        <v>50</v>
      </c>
      <c r="F101">
        <v>14.993781090000001</v>
      </c>
      <c r="G101">
        <v>1407.2525635</v>
      </c>
      <c r="H101">
        <v>1392.8468018000001</v>
      </c>
      <c r="I101">
        <v>1250.3863524999999</v>
      </c>
      <c r="J101">
        <v>1210.9436035000001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3.0176599999999998</v>
      </c>
      <c r="B102" s="1">
        <f>DATE(2010,5,4) + TIME(0,25,25)</f>
        <v>40302.017650462964</v>
      </c>
      <c r="C102">
        <v>80</v>
      </c>
      <c r="D102">
        <v>79.255363463999998</v>
      </c>
      <c r="E102">
        <v>50</v>
      </c>
      <c r="F102">
        <v>14.993815422000001</v>
      </c>
      <c r="G102">
        <v>1407.0852050999999</v>
      </c>
      <c r="H102">
        <v>1392.6887207</v>
      </c>
      <c r="I102">
        <v>1250.3880615</v>
      </c>
      <c r="J102">
        <v>1210.9453125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3.107475</v>
      </c>
      <c r="B103" s="1">
        <f>DATE(2010,5,4) + TIME(2,34,45)</f>
        <v>40302.107465277775</v>
      </c>
      <c r="C103">
        <v>80</v>
      </c>
      <c r="D103">
        <v>79.336219787999994</v>
      </c>
      <c r="E103">
        <v>50</v>
      </c>
      <c r="F103">
        <v>14.993849753999999</v>
      </c>
      <c r="G103">
        <v>1406.9182129000001</v>
      </c>
      <c r="H103">
        <v>1392.5299072</v>
      </c>
      <c r="I103">
        <v>1250.3903809000001</v>
      </c>
      <c r="J103">
        <v>1210.9476318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3.2008329999999998</v>
      </c>
      <c r="B104" s="1">
        <f>DATE(2010,5,4) + TIME(4,49,11)</f>
        <v>40302.200821759259</v>
      </c>
      <c r="C104">
        <v>80</v>
      </c>
      <c r="D104">
        <v>79.409019470000004</v>
      </c>
      <c r="E104">
        <v>50</v>
      </c>
      <c r="F104">
        <v>14.993884087</v>
      </c>
      <c r="G104">
        <v>1406.7397461</v>
      </c>
      <c r="H104">
        <v>1392.3586425999999</v>
      </c>
      <c r="I104">
        <v>1250.3918457</v>
      </c>
      <c r="J104">
        <v>1210.9489745999999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3.2976109999999998</v>
      </c>
      <c r="B105" s="1">
        <f>DATE(2010,5,4) + TIME(7,8,33)</f>
        <v>40302.29760416667</v>
      </c>
      <c r="C105">
        <v>80</v>
      </c>
      <c r="D105">
        <v>79.474082946999999</v>
      </c>
      <c r="E105">
        <v>50</v>
      </c>
      <c r="F105">
        <v>14.993919373000001</v>
      </c>
      <c r="G105">
        <v>1406.5637207</v>
      </c>
      <c r="H105">
        <v>1392.1888428</v>
      </c>
      <c r="I105">
        <v>1250.3934326000001</v>
      </c>
      <c r="J105">
        <v>1210.9505615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3.3945090000000002</v>
      </c>
      <c r="B106" s="1">
        <f>DATE(2010,5,4) + TIME(9,28,5)</f>
        <v>40302.394502314812</v>
      </c>
      <c r="C106">
        <v>80</v>
      </c>
      <c r="D106">
        <v>79.530258179</v>
      </c>
      <c r="E106">
        <v>50</v>
      </c>
      <c r="F106">
        <v>14.993952751</v>
      </c>
      <c r="G106">
        <v>1406.3873291</v>
      </c>
      <c r="H106">
        <v>1392.0175781</v>
      </c>
      <c r="I106">
        <v>1250.3951416</v>
      </c>
      <c r="J106">
        <v>1210.9521483999999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3.4917150000000001</v>
      </c>
      <c r="B107" s="1">
        <f>DATE(2010,5,4) + TIME(11,48,4)</f>
        <v>40302.491712962961</v>
      </c>
      <c r="C107">
        <v>80</v>
      </c>
      <c r="D107">
        <v>79.578842163000004</v>
      </c>
      <c r="E107">
        <v>50</v>
      </c>
      <c r="F107">
        <v>14.99398613</v>
      </c>
      <c r="G107">
        <v>1406.2155762</v>
      </c>
      <c r="H107">
        <v>1391.8503418</v>
      </c>
      <c r="I107">
        <v>1250.3968506000001</v>
      </c>
      <c r="J107">
        <v>1210.9538574000001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3.589407</v>
      </c>
      <c r="B108" s="1">
        <f>DATE(2010,5,4) + TIME(14,8,44)</f>
        <v>40302.589398148149</v>
      </c>
      <c r="C108">
        <v>80</v>
      </c>
      <c r="D108">
        <v>79.620925903</v>
      </c>
      <c r="E108">
        <v>50</v>
      </c>
      <c r="F108">
        <v>14.994018555</v>
      </c>
      <c r="G108">
        <v>1406.0479736</v>
      </c>
      <c r="H108">
        <v>1391.6864014</v>
      </c>
      <c r="I108">
        <v>1250.3985596</v>
      </c>
      <c r="J108">
        <v>1210.9555664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3.6874859999999998</v>
      </c>
      <c r="B109" s="1">
        <f>DATE(2010,5,4) + TIME(16,29,58)</f>
        <v>40302.687476851854</v>
      </c>
      <c r="C109">
        <v>80</v>
      </c>
      <c r="D109">
        <v>79.657142639</v>
      </c>
      <c r="E109">
        <v>50</v>
      </c>
      <c r="F109">
        <v>14.994050980000001</v>
      </c>
      <c r="G109">
        <v>1405.8791504000001</v>
      </c>
      <c r="H109">
        <v>1391.5205077999999</v>
      </c>
      <c r="I109">
        <v>1250.3995361</v>
      </c>
      <c r="J109">
        <v>1210.956543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3.786108</v>
      </c>
      <c r="B110" s="1">
        <f>DATE(2010,5,4) + TIME(18,51,59)</f>
        <v>40302.786099537036</v>
      </c>
      <c r="C110">
        <v>80</v>
      </c>
      <c r="D110">
        <v>79.688728333</v>
      </c>
      <c r="E110">
        <v>50</v>
      </c>
      <c r="F110">
        <v>14.994082451000001</v>
      </c>
      <c r="G110">
        <v>1405.7281493999999</v>
      </c>
      <c r="H110">
        <v>1391.3724365</v>
      </c>
      <c r="I110">
        <v>1250.4023437999999</v>
      </c>
      <c r="J110">
        <v>1210.9592285000001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3.8852090000000001</v>
      </c>
      <c r="B111" s="1">
        <f>DATE(2010,5,4) + TIME(21,14,42)</f>
        <v>40302.885208333333</v>
      </c>
      <c r="C111">
        <v>80</v>
      </c>
      <c r="D111">
        <v>79.715881347999996</v>
      </c>
      <c r="E111">
        <v>50</v>
      </c>
      <c r="F111">
        <v>14.994112968</v>
      </c>
      <c r="G111">
        <v>1405.5621338000001</v>
      </c>
      <c r="H111">
        <v>1391.2084961</v>
      </c>
      <c r="I111">
        <v>1250.4031981999999</v>
      </c>
      <c r="J111">
        <v>1210.9600829999999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3.9852159999999999</v>
      </c>
      <c r="B112" s="1">
        <f>DATE(2010,5,4) + TIME(23,38,42)</f>
        <v>40302.985208333332</v>
      </c>
      <c r="C112">
        <v>80</v>
      </c>
      <c r="D112">
        <v>79.739486693999993</v>
      </c>
      <c r="E112">
        <v>50</v>
      </c>
      <c r="F112">
        <v>14.994143486</v>
      </c>
      <c r="G112">
        <v>1405.4119873</v>
      </c>
      <c r="H112">
        <v>1391.0603027</v>
      </c>
      <c r="I112">
        <v>1250.4052733999999</v>
      </c>
      <c r="J112">
        <v>1210.9620361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4.0860440000000002</v>
      </c>
      <c r="B113" s="1">
        <f>DATE(2010,5,5) + TIME(2,3,54)</f>
        <v>40303.086041666669</v>
      </c>
      <c r="C113">
        <v>80</v>
      </c>
      <c r="D113">
        <v>79.760154724000003</v>
      </c>
      <c r="E113">
        <v>50</v>
      </c>
      <c r="F113">
        <v>14.994174004</v>
      </c>
      <c r="G113">
        <v>1405.2651367000001</v>
      </c>
      <c r="H113">
        <v>1390.9152832</v>
      </c>
      <c r="I113">
        <v>1250.4077147999999</v>
      </c>
      <c r="J113">
        <v>1210.9644774999999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4.1878859999999998</v>
      </c>
      <c r="B114" s="1">
        <f>DATE(2010,5,5) + TIME(4,30,33)</f>
        <v>40303.187881944446</v>
      </c>
      <c r="C114">
        <v>80</v>
      </c>
      <c r="D114">
        <v>79.777938843000001</v>
      </c>
      <c r="E114">
        <v>50</v>
      </c>
      <c r="F114">
        <v>14.994202614000001</v>
      </c>
      <c r="G114">
        <v>1405.1070557</v>
      </c>
      <c r="H114">
        <v>1390.7584228999999</v>
      </c>
      <c r="I114">
        <v>1250.4085693</v>
      </c>
      <c r="J114">
        <v>1210.965332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4.2910700000000004</v>
      </c>
      <c r="B115" s="1">
        <f>DATE(2010,5,5) + TIME(6,59,8)</f>
        <v>40303.291064814817</v>
      </c>
      <c r="C115">
        <v>80</v>
      </c>
      <c r="D115">
        <v>79.793434142999999</v>
      </c>
      <c r="E115">
        <v>50</v>
      </c>
      <c r="F115">
        <v>14.994232178000001</v>
      </c>
      <c r="G115">
        <v>1404.9632568</v>
      </c>
      <c r="H115">
        <v>1390.6159668</v>
      </c>
      <c r="I115">
        <v>1250.4105225000001</v>
      </c>
      <c r="J115">
        <v>1210.9671631000001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4.3955140000000004</v>
      </c>
      <c r="B116" s="1">
        <f>DATE(2010,5,5) + TIME(9,29,32)</f>
        <v>40303.395509259259</v>
      </c>
      <c r="C116">
        <v>80</v>
      </c>
      <c r="D116">
        <v>79.806907654</v>
      </c>
      <c r="E116">
        <v>50</v>
      </c>
      <c r="F116">
        <v>14.994261742000001</v>
      </c>
      <c r="G116">
        <v>1404.8176269999999</v>
      </c>
      <c r="H116">
        <v>1390.4714355000001</v>
      </c>
      <c r="I116">
        <v>1250.4123535000001</v>
      </c>
      <c r="J116">
        <v>1210.9689940999999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4.5014669999999999</v>
      </c>
      <c r="B117" s="1">
        <f>DATE(2010,5,5) + TIME(12,2,6)</f>
        <v>40303.501458333332</v>
      </c>
      <c r="C117">
        <v>80</v>
      </c>
      <c r="D117">
        <v>79.818641662999994</v>
      </c>
      <c r="E117">
        <v>50</v>
      </c>
      <c r="F117">
        <v>14.994290352</v>
      </c>
      <c r="G117">
        <v>1404.6732178</v>
      </c>
      <c r="H117">
        <v>1390.3280029</v>
      </c>
      <c r="I117">
        <v>1250.4141846</v>
      </c>
      <c r="J117">
        <v>1210.9708252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4.6090850000000003</v>
      </c>
      <c r="B118" s="1">
        <f>DATE(2010,5,5) + TIME(14,37,4)</f>
        <v>40303.609074074076</v>
      </c>
      <c r="C118">
        <v>80</v>
      </c>
      <c r="D118">
        <v>79.828865050999994</v>
      </c>
      <c r="E118">
        <v>50</v>
      </c>
      <c r="F118">
        <v>14.994318961999999</v>
      </c>
      <c r="G118">
        <v>1404.5299072</v>
      </c>
      <c r="H118">
        <v>1390.1855469</v>
      </c>
      <c r="I118">
        <v>1250.4160156</v>
      </c>
      <c r="J118">
        <v>1210.9726562000001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4.71854</v>
      </c>
      <c r="B119" s="1">
        <f>DATE(2010,5,5) + TIME(17,14,41)</f>
        <v>40303.718530092592</v>
      </c>
      <c r="C119">
        <v>80</v>
      </c>
      <c r="D119">
        <v>79.837776184000006</v>
      </c>
      <c r="E119">
        <v>50</v>
      </c>
      <c r="F119">
        <v>14.994347572000001</v>
      </c>
      <c r="G119">
        <v>1404.3875731999999</v>
      </c>
      <c r="H119">
        <v>1390.0440673999999</v>
      </c>
      <c r="I119">
        <v>1250.4178466999999</v>
      </c>
      <c r="J119">
        <v>1210.9743652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4.830012</v>
      </c>
      <c r="B120" s="1">
        <f>DATE(2010,5,5) + TIME(19,55,13)</f>
        <v>40303.830011574071</v>
      </c>
      <c r="C120">
        <v>80</v>
      </c>
      <c r="D120">
        <v>79.845550536999994</v>
      </c>
      <c r="E120">
        <v>50</v>
      </c>
      <c r="F120">
        <v>14.994376183</v>
      </c>
      <c r="G120">
        <v>1404.2459716999999</v>
      </c>
      <c r="H120">
        <v>1389.9031981999999</v>
      </c>
      <c r="I120">
        <v>1250.4196777</v>
      </c>
      <c r="J120">
        <v>1210.9761963000001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4.9436850000000003</v>
      </c>
      <c r="B121" s="1">
        <f>DATE(2010,5,5) + TIME(22,38,54)</f>
        <v>40303.943680555552</v>
      </c>
      <c r="C121">
        <v>80</v>
      </c>
      <c r="D121">
        <v>79.852462768999999</v>
      </c>
      <c r="E121">
        <v>50</v>
      </c>
      <c r="F121">
        <v>14.994404792999999</v>
      </c>
      <c r="G121">
        <v>1404.109375</v>
      </c>
      <c r="H121">
        <v>1389.7673339999999</v>
      </c>
      <c r="I121">
        <v>1250.4222411999999</v>
      </c>
      <c r="J121">
        <v>1210.9786377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5.0597839999999996</v>
      </c>
      <c r="B122" s="1">
        <f>DATE(2010,5,6) + TIME(1,26,5)</f>
        <v>40304.05978009259</v>
      </c>
      <c r="C122">
        <v>80</v>
      </c>
      <c r="D122">
        <v>79.858352660999998</v>
      </c>
      <c r="E122">
        <v>50</v>
      </c>
      <c r="F122">
        <v>14.994432449</v>
      </c>
      <c r="G122">
        <v>1403.9602050999999</v>
      </c>
      <c r="H122">
        <v>1389.6187743999999</v>
      </c>
      <c r="I122">
        <v>1250.4230957</v>
      </c>
      <c r="J122">
        <v>1210.9794922000001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5.1784470000000002</v>
      </c>
      <c r="B123" s="1">
        <f>DATE(2010,5,6) + TIME(4,16,57)</f>
        <v>40304.178437499999</v>
      </c>
      <c r="C123">
        <v>80</v>
      </c>
      <c r="D123">
        <v>79.863494872999993</v>
      </c>
      <c r="E123">
        <v>50</v>
      </c>
      <c r="F123">
        <v>14.994461060000001</v>
      </c>
      <c r="G123">
        <v>1403.8231201000001</v>
      </c>
      <c r="H123">
        <v>1389.4825439000001</v>
      </c>
      <c r="I123">
        <v>1250.4251709</v>
      </c>
      <c r="J123">
        <v>1210.9815673999999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5.2995859999999997</v>
      </c>
      <c r="B124" s="1">
        <f>DATE(2010,5,6) + TIME(7,11,24)</f>
        <v>40304.299583333333</v>
      </c>
      <c r="C124">
        <v>80</v>
      </c>
      <c r="D124">
        <v>79.867973328000005</v>
      </c>
      <c r="E124">
        <v>50</v>
      </c>
      <c r="F124">
        <v>14.99448967</v>
      </c>
      <c r="G124">
        <v>1403.6828613</v>
      </c>
      <c r="H124">
        <v>1389.3428954999999</v>
      </c>
      <c r="I124">
        <v>1250.4272461</v>
      </c>
      <c r="J124">
        <v>1210.9836425999999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5.4235350000000002</v>
      </c>
      <c r="B125" s="1">
        <f>DATE(2010,5,6) + TIME(10,9,53)</f>
        <v>40304.423530092594</v>
      </c>
      <c r="C125">
        <v>80</v>
      </c>
      <c r="D125">
        <v>79.871887207</v>
      </c>
      <c r="E125">
        <v>50</v>
      </c>
      <c r="F125">
        <v>14.994518279999999</v>
      </c>
      <c r="G125">
        <v>1403.5423584</v>
      </c>
      <c r="H125">
        <v>1389.203125</v>
      </c>
      <c r="I125">
        <v>1250.4293213000001</v>
      </c>
      <c r="J125">
        <v>1210.9857178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5.5505449999999996</v>
      </c>
      <c r="B126" s="1">
        <f>DATE(2010,5,6) + TIME(13,12,47)</f>
        <v>40304.550543981481</v>
      </c>
      <c r="C126">
        <v>80</v>
      </c>
      <c r="D126">
        <v>79.875305175999998</v>
      </c>
      <c r="E126">
        <v>50</v>
      </c>
      <c r="F126">
        <v>14.994546890000001</v>
      </c>
      <c r="G126">
        <v>1403.4017334</v>
      </c>
      <c r="H126">
        <v>1389.0632324000001</v>
      </c>
      <c r="I126">
        <v>1250.4313964999999</v>
      </c>
      <c r="J126">
        <v>1210.9876709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5.6808880000000004</v>
      </c>
      <c r="B127" s="1">
        <f>DATE(2010,5,6) + TIME(16,20,28)</f>
        <v>40304.680879629632</v>
      </c>
      <c r="C127">
        <v>80</v>
      </c>
      <c r="D127">
        <v>79.878295898000005</v>
      </c>
      <c r="E127">
        <v>50</v>
      </c>
      <c r="F127">
        <v>14.9945755</v>
      </c>
      <c r="G127">
        <v>1403.2606201000001</v>
      </c>
      <c r="H127">
        <v>1388.9229736</v>
      </c>
      <c r="I127">
        <v>1250.4334716999999</v>
      </c>
      <c r="J127">
        <v>1210.9897461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5.8148720000000003</v>
      </c>
      <c r="B128" s="1">
        <f>DATE(2010,5,6) + TIME(19,33,24)</f>
        <v>40304.81486111111</v>
      </c>
      <c r="C128">
        <v>80</v>
      </c>
      <c r="D128">
        <v>79.880912781000006</v>
      </c>
      <c r="E128">
        <v>50</v>
      </c>
      <c r="F128">
        <v>14.994604110999999</v>
      </c>
      <c r="G128">
        <v>1403.1190185999999</v>
      </c>
      <c r="H128">
        <v>1388.7822266000001</v>
      </c>
      <c r="I128">
        <v>1250.4356689000001</v>
      </c>
      <c r="J128">
        <v>1210.9918213000001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5.9528319999999999</v>
      </c>
      <c r="B129" s="1">
        <f>DATE(2010,5,6) + TIME(22,52,4)</f>
        <v>40304.952824074076</v>
      </c>
      <c r="C129">
        <v>80</v>
      </c>
      <c r="D129">
        <v>79.883209229000002</v>
      </c>
      <c r="E129">
        <v>50</v>
      </c>
      <c r="F129">
        <v>14.994632721</v>
      </c>
      <c r="G129">
        <v>1402.9765625</v>
      </c>
      <c r="H129">
        <v>1388.640625</v>
      </c>
      <c r="I129">
        <v>1250.4378661999999</v>
      </c>
      <c r="J129">
        <v>1210.9940185999999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6.0948880000000001</v>
      </c>
      <c r="B130" s="1">
        <f>DATE(2010,5,7) + TIME(2,16,38)</f>
        <v>40305.094884259262</v>
      </c>
      <c r="C130">
        <v>80</v>
      </c>
      <c r="D130">
        <v>79.885337829999997</v>
      </c>
      <c r="E130">
        <v>50</v>
      </c>
      <c r="F130">
        <v>14.994662285</v>
      </c>
      <c r="G130">
        <v>1402.8376464999999</v>
      </c>
      <c r="H130">
        <v>1388.5028076000001</v>
      </c>
      <c r="I130">
        <v>1250.440918</v>
      </c>
      <c r="J130">
        <v>1210.9969481999999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6.2411589999999997</v>
      </c>
      <c r="B131" s="1">
        <f>DATE(2010,5,7) + TIME(5,47,16)</f>
        <v>40305.241157407407</v>
      </c>
      <c r="C131">
        <v>80</v>
      </c>
      <c r="D131">
        <v>79.887199401999993</v>
      </c>
      <c r="E131">
        <v>50</v>
      </c>
      <c r="F131">
        <v>14.994691849000001</v>
      </c>
      <c r="G131">
        <v>1402.6889647999999</v>
      </c>
      <c r="H131">
        <v>1388.3552245999999</v>
      </c>
      <c r="I131">
        <v>1250.442749</v>
      </c>
      <c r="J131">
        <v>1210.9987793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6.3919959999999998</v>
      </c>
      <c r="B132" s="1">
        <f>DATE(2010,5,7) + TIME(9,24,28)</f>
        <v>40305.39199074074</v>
      </c>
      <c r="C132">
        <v>80</v>
      </c>
      <c r="D132">
        <v>79.888824463000006</v>
      </c>
      <c r="E132">
        <v>50</v>
      </c>
      <c r="F132">
        <v>14.994721413000001</v>
      </c>
      <c r="G132">
        <v>1402.5430908000001</v>
      </c>
      <c r="H132">
        <v>1388.2104492000001</v>
      </c>
      <c r="I132">
        <v>1250.4449463000001</v>
      </c>
      <c r="J132">
        <v>1211.0009766000001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6.4690469999999998</v>
      </c>
      <c r="B133" s="1">
        <f>DATE(2010,5,7) + TIME(11,15,25)</f>
        <v>40305.469039351854</v>
      </c>
      <c r="C133">
        <v>80</v>
      </c>
      <c r="D133">
        <v>79.889572143999999</v>
      </c>
      <c r="E133">
        <v>50</v>
      </c>
      <c r="F133">
        <v>14.994737625000001</v>
      </c>
      <c r="G133">
        <v>1402.3950195</v>
      </c>
      <c r="H133">
        <v>1388.0625</v>
      </c>
      <c r="I133">
        <v>1250.4468993999999</v>
      </c>
      <c r="J133">
        <v>1211.0028076000001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6.6231489999999997</v>
      </c>
      <c r="B134" s="1">
        <f>DATE(2010,5,7) + TIME(14,57,20)</f>
        <v>40305.623148148145</v>
      </c>
      <c r="C134">
        <v>80</v>
      </c>
      <c r="D134">
        <v>79.890792847</v>
      </c>
      <c r="E134">
        <v>50</v>
      </c>
      <c r="F134">
        <v>14.994767188999999</v>
      </c>
      <c r="G134">
        <v>1402.3171387</v>
      </c>
      <c r="H134">
        <v>1387.9863281</v>
      </c>
      <c r="I134">
        <v>1250.4477539</v>
      </c>
      <c r="J134">
        <v>1211.0036620999999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6.7772269999999999</v>
      </c>
      <c r="B135" s="1">
        <f>DATE(2010,5,7) + TIME(18,39,12)</f>
        <v>40305.777222222219</v>
      </c>
      <c r="C135">
        <v>80</v>
      </c>
      <c r="D135">
        <v>79.891929626000007</v>
      </c>
      <c r="E135">
        <v>50</v>
      </c>
      <c r="F135">
        <v>14.994795799</v>
      </c>
      <c r="G135">
        <v>1402.1817627</v>
      </c>
      <c r="H135">
        <v>1387.8524170000001</v>
      </c>
      <c r="I135">
        <v>1250.4515381000001</v>
      </c>
      <c r="J135">
        <v>1211.0074463000001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6.9313729999999998</v>
      </c>
      <c r="B136" s="1">
        <f>DATE(2010,5,7) + TIME(22,21,10)</f>
        <v>40305.93136574074</v>
      </c>
      <c r="C136">
        <v>80</v>
      </c>
      <c r="D136">
        <v>79.892906189000001</v>
      </c>
      <c r="E136">
        <v>50</v>
      </c>
      <c r="F136">
        <v>14.994824409</v>
      </c>
      <c r="G136">
        <v>1402.0358887</v>
      </c>
      <c r="H136">
        <v>1387.7078856999999</v>
      </c>
      <c r="I136">
        <v>1250.4536132999999</v>
      </c>
      <c r="J136">
        <v>1211.0095214999999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7.0861840000000003</v>
      </c>
      <c r="B137" s="1">
        <f>DATE(2010,5,8) + TIME(2,4,6)</f>
        <v>40306.086180555554</v>
      </c>
      <c r="C137">
        <v>80</v>
      </c>
      <c r="D137">
        <v>79.893753051999994</v>
      </c>
      <c r="E137">
        <v>50</v>
      </c>
      <c r="F137">
        <v>14.994852066</v>
      </c>
      <c r="G137">
        <v>1401.8967285000001</v>
      </c>
      <c r="H137">
        <v>1387.5700684000001</v>
      </c>
      <c r="I137">
        <v>1250.4560547000001</v>
      </c>
      <c r="J137">
        <v>1211.0117187999999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7.241733</v>
      </c>
      <c r="B138" s="1">
        <f>DATE(2010,5,8) + TIME(5,48,5)</f>
        <v>40306.241724537038</v>
      </c>
      <c r="C138">
        <v>80</v>
      </c>
      <c r="D138">
        <v>79.894500731999997</v>
      </c>
      <c r="E138">
        <v>50</v>
      </c>
      <c r="F138">
        <v>14.994879723</v>
      </c>
      <c r="G138">
        <v>1401.7600098</v>
      </c>
      <c r="H138">
        <v>1387.4349365</v>
      </c>
      <c r="I138">
        <v>1250.4584961</v>
      </c>
      <c r="J138">
        <v>1211.0141602000001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7.3982840000000003</v>
      </c>
      <c r="B139" s="1">
        <f>DATE(2010,5,8) + TIME(9,33,31)</f>
        <v>40306.398275462961</v>
      </c>
      <c r="C139">
        <v>80</v>
      </c>
      <c r="D139">
        <v>79.89515686</v>
      </c>
      <c r="E139">
        <v>50</v>
      </c>
      <c r="F139">
        <v>14.994907379000001</v>
      </c>
      <c r="G139">
        <v>1401.6256103999999</v>
      </c>
      <c r="H139">
        <v>1387.302124</v>
      </c>
      <c r="I139">
        <v>1250.4609375</v>
      </c>
      <c r="J139">
        <v>1211.0166016000001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7.5560700000000001</v>
      </c>
      <c r="B140" s="1">
        <f>DATE(2010,5,8) + TIME(13,20,44)</f>
        <v>40306.556064814817</v>
      </c>
      <c r="C140">
        <v>80</v>
      </c>
      <c r="D140">
        <v>79.895736693999993</v>
      </c>
      <c r="E140">
        <v>50</v>
      </c>
      <c r="F140">
        <v>14.994934082</v>
      </c>
      <c r="G140">
        <v>1401.4930420000001</v>
      </c>
      <c r="H140">
        <v>1387.1711425999999</v>
      </c>
      <c r="I140">
        <v>1250.4633789</v>
      </c>
      <c r="J140">
        <v>1211.0189209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7.7153299999999998</v>
      </c>
      <c r="B141" s="1">
        <f>DATE(2010,5,8) + TIME(17,10,4)</f>
        <v>40306.715324074074</v>
      </c>
      <c r="C141">
        <v>80</v>
      </c>
      <c r="D141">
        <v>79.896194457999997</v>
      </c>
      <c r="E141">
        <v>50</v>
      </c>
      <c r="F141">
        <v>14.994960785</v>
      </c>
      <c r="G141">
        <v>1401.3579102000001</v>
      </c>
      <c r="H141">
        <v>1387.0377197</v>
      </c>
      <c r="I141">
        <v>1250.4652100000001</v>
      </c>
      <c r="J141">
        <v>1211.0207519999999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7.8763399999999999</v>
      </c>
      <c r="B142" s="1">
        <f>DATE(2010,5,8) + TIME(21,1,55)</f>
        <v>40306.876331018517</v>
      </c>
      <c r="C142">
        <v>80</v>
      </c>
      <c r="D142">
        <v>79.896667480000005</v>
      </c>
      <c r="E142">
        <v>50</v>
      </c>
      <c r="F142">
        <v>14.994987488</v>
      </c>
      <c r="G142">
        <v>1401.2364502</v>
      </c>
      <c r="H142">
        <v>1386.9180908000001</v>
      </c>
      <c r="I142">
        <v>1250.4689940999999</v>
      </c>
      <c r="J142">
        <v>1211.0244141000001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8.0391320000000004</v>
      </c>
      <c r="B143" s="1">
        <f>DATE(2010,5,9) + TIME(0,56,21)</f>
        <v>40307.039131944446</v>
      </c>
      <c r="C143">
        <v>80</v>
      </c>
      <c r="D143">
        <v>79.897087096999996</v>
      </c>
      <c r="E143">
        <v>50</v>
      </c>
      <c r="F143">
        <v>14.995014190999999</v>
      </c>
      <c r="G143">
        <v>1401.1044922000001</v>
      </c>
      <c r="H143">
        <v>1386.7879639</v>
      </c>
      <c r="I143">
        <v>1250.4711914</v>
      </c>
      <c r="J143">
        <v>1211.0266113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8.2042830000000002</v>
      </c>
      <c r="B144" s="1">
        <f>DATE(2010,5,9) + TIME(4,54,10)</f>
        <v>40307.204282407409</v>
      </c>
      <c r="C144">
        <v>80</v>
      </c>
      <c r="D144">
        <v>79.897468567000004</v>
      </c>
      <c r="E144">
        <v>50</v>
      </c>
      <c r="F144">
        <v>14.995040894000001</v>
      </c>
      <c r="G144">
        <v>1400.9769286999999</v>
      </c>
      <c r="H144">
        <v>1386.6623535000001</v>
      </c>
      <c r="I144">
        <v>1250.4736327999999</v>
      </c>
      <c r="J144">
        <v>1211.0290527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8.3719140000000003</v>
      </c>
      <c r="B145" s="1">
        <f>DATE(2010,5,9) + TIME(8,55,33)</f>
        <v>40307.37190972222</v>
      </c>
      <c r="C145">
        <v>80</v>
      </c>
      <c r="D145">
        <v>79.897766113000003</v>
      </c>
      <c r="E145">
        <v>50</v>
      </c>
      <c r="F145">
        <v>14.995066642999999</v>
      </c>
      <c r="G145">
        <v>1400.8460693</v>
      </c>
      <c r="H145">
        <v>1386.5334473</v>
      </c>
      <c r="I145">
        <v>1250.4755858999999</v>
      </c>
      <c r="J145">
        <v>1211.0307617000001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8.5420300000000005</v>
      </c>
      <c r="B146" s="1">
        <f>DATE(2010,5,9) + TIME(13,0,31)</f>
        <v>40307.542025462964</v>
      </c>
      <c r="C146">
        <v>80</v>
      </c>
      <c r="D146">
        <v>79.898048400999997</v>
      </c>
      <c r="E146">
        <v>50</v>
      </c>
      <c r="F146">
        <v>14.995092392</v>
      </c>
      <c r="G146">
        <v>1400.7237548999999</v>
      </c>
      <c r="H146">
        <v>1386.4132079999999</v>
      </c>
      <c r="I146">
        <v>1250.4787598</v>
      </c>
      <c r="J146">
        <v>1211.0339355000001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8.7145010000000003</v>
      </c>
      <c r="B147" s="1">
        <f>DATE(2010,5,9) + TIME(17,8,52)</f>
        <v>40307.714490740742</v>
      </c>
      <c r="C147">
        <v>80</v>
      </c>
      <c r="D147">
        <v>79.898307799999998</v>
      </c>
      <c r="E147">
        <v>50</v>
      </c>
      <c r="F147">
        <v>14.995119095</v>
      </c>
      <c r="G147">
        <v>1400.5985106999999</v>
      </c>
      <c r="H147">
        <v>1386.2901611</v>
      </c>
      <c r="I147">
        <v>1250.4815673999999</v>
      </c>
      <c r="J147">
        <v>1211.0367432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8.8897530000000007</v>
      </c>
      <c r="B148" s="1">
        <f>DATE(2010,5,9) + TIME(21,21,14)</f>
        <v>40307.889745370368</v>
      </c>
      <c r="C148">
        <v>80</v>
      </c>
      <c r="D148">
        <v>79.898544311999999</v>
      </c>
      <c r="E148">
        <v>50</v>
      </c>
      <c r="F148">
        <v>14.995144844</v>
      </c>
      <c r="G148">
        <v>1400.4736327999999</v>
      </c>
      <c r="H148">
        <v>1386.1673584</v>
      </c>
      <c r="I148">
        <v>1250.484375</v>
      </c>
      <c r="J148">
        <v>1211.0394286999999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9.0681720000000006</v>
      </c>
      <c r="B149" s="1">
        <f>DATE(2010,5,10) + TIME(1,38,10)</f>
        <v>40308.068171296298</v>
      </c>
      <c r="C149">
        <v>80</v>
      </c>
      <c r="D149">
        <v>79.898811339999995</v>
      </c>
      <c r="E149">
        <v>50</v>
      </c>
      <c r="F149">
        <v>14.995170592999999</v>
      </c>
      <c r="G149">
        <v>1400.3532714999999</v>
      </c>
      <c r="H149">
        <v>1386.0493164</v>
      </c>
      <c r="I149">
        <v>1250.4879149999999</v>
      </c>
      <c r="J149">
        <v>1211.0428466999999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9.2498880000000003</v>
      </c>
      <c r="B150" s="1">
        <f>DATE(2010,5,10) + TIME(5,59,50)</f>
        <v>40308.249884259261</v>
      </c>
      <c r="C150">
        <v>80</v>
      </c>
      <c r="D150">
        <v>79.899009704999997</v>
      </c>
      <c r="E150">
        <v>50</v>
      </c>
      <c r="F150">
        <v>14.995196342</v>
      </c>
      <c r="G150">
        <v>1400.2210693</v>
      </c>
      <c r="H150">
        <v>1385.9193115</v>
      </c>
      <c r="I150">
        <v>1250.4893798999999</v>
      </c>
      <c r="J150">
        <v>1211.0443115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9.4355639999999994</v>
      </c>
      <c r="B151" s="1">
        <f>DATE(2010,5,10) + TIME(10,27,12)</f>
        <v>40308.435555555552</v>
      </c>
      <c r="C151">
        <v>80</v>
      </c>
      <c r="D151">
        <v>79.899238585999996</v>
      </c>
      <c r="E151">
        <v>50</v>
      </c>
      <c r="F151">
        <v>14.995222092000001</v>
      </c>
      <c r="G151">
        <v>1400.1042480000001</v>
      </c>
      <c r="H151">
        <v>1385.8050536999999</v>
      </c>
      <c r="I151">
        <v>1250.4934082</v>
      </c>
      <c r="J151">
        <v>1211.0483397999999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9.6250859999999996</v>
      </c>
      <c r="B152" s="1">
        <f>DATE(2010,5,10) + TIME(15,0,7)</f>
        <v>40308.625081018516</v>
      </c>
      <c r="C152">
        <v>80</v>
      </c>
      <c r="D152">
        <v>79.899436950999998</v>
      </c>
      <c r="E152">
        <v>50</v>
      </c>
      <c r="F152">
        <v>14.995248795</v>
      </c>
      <c r="G152">
        <v>1399.9761963000001</v>
      </c>
      <c r="H152">
        <v>1385.6794434000001</v>
      </c>
      <c r="I152">
        <v>1250.4959716999999</v>
      </c>
      <c r="J152">
        <v>1211.0507812000001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9.8192430000000002</v>
      </c>
      <c r="B153" s="1">
        <f>DATE(2010,5,10) + TIME(19,39,42)</f>
        <v>40308.819236111114</v>
      </c>
      <c r="C153">
        <v>80</v>
      </c>
      <c r="D153">
        <v>79.899627686000002</v>
      </c>
      <c r="E153">
        <v>50</v>
      </c>
      <c r="F153">
        <v>14.995274544000001</v>
      </c>
      <c r="G153">
        <v>1399.8510742000001</v>
      </c>
      <c r="H153">
        <v>1385.5568848</v>
      </c>
      <c r="I153">
        <v>1250.4989014</v>
      </c>
      <c r="J153">
        <v>1211.0535889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10.018103999999999</v>
      </c>
      <c r="B154" s="1">
        <f>DATE(2010,5,11) + TIME(0,26,4)</f>
        <v>40309.018101851849</v>
      </c>
      <c r="C154">
        <v>80</v>
      </c>
      <c r="D154">
        <v>79.899795531999999</v>
      </c>
      <c r="E154">
        <v>50</v>
      </c>
      <c r="F154">
        <v>14.995300293</v>
      </c>
      <c r="G154">
        <v>1399.7255858999999</v>
      </c>
      <c r="H154">
        <v>1385.434082</v>
      </c>
      <c r="I154">
        <v>1250.5019531</v>
      </c>
      <c r="J154">
        <v>1211.0565185999999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10.22176</v>
      </c>
      <c r="B155" s="1">
        <f>DATE(2010,5,11) + TIME(5,19,20)</f>
        <v>40309.221759259257</v>
      </c>
      <c r="C155">
        <v>80</v>
      </c>
      <c r="D155">
        <v>79.899948120000005</v>
      </c>
      <c r="E155">
        <v>50</v>
      </c>
      <c r="F155">
        <v>14.995326995999999</v>
      </c>
      <c r="G155">
        <v>1399.5996094</v>
      </c>
      <c r="H155">
        <v>1385.3107910000001</v>
      </c>
      <c r="I155">
        <v>1250.5050048999999</v>
      </c>
      <c r="J155">
        <v>1211.0595702999999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10.430346</v>
      </c>
      <c r="B156" s="1">
        <f>DATE(2010,5,11) + TIME(10,19,41)</f>
        <v>40309.430335648147</v>
      </c>
      <c r="C156">
        <v>80</v>
      </c>
      <c r="D156">
        <v>79.900085449000002</v>
      </c>
      <c r="E156">
        <v>50</v>
      </c>
      <c r="F156">
        <v>14.995353699000001</v>
      </c>
      <c r="G156">
        <v>1399.4730225000001</v>
      </c>
      <c r="H156">
        <v>1385.1871338000001</v>
      </c>
      <c r="I156">
        <v>1250.5083007999999</v>
      </c>
      <c r="J156">
        <v>1211.0627440999999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10.643102000000001</v>
      </c>
      <c r="B157" s="1">
        <f>DATE(2010,5,11) + TIME(15,26,4)</f>
        <v>40309.643101851849</v>
      </c>
      <c r="C157">
        <v>80</v>
      </c>
      <c r="D157">
        <v>79.900215149000005</v>
      </c>
      <c r="E157">
        <v>50</v>
      </c>
      <c r="F157">
        <v>14.995379448</v>
      </c>
      <c r="G157">
        <v>1399.3457031</v>
      </c>
      <c r="H157">
        <v>1385.0627440999999</v>
      </c>
      <c r="I157">
        <v>1250.5115966999999</v>
      </c>
      <c r="J157">
        <v>1211.065918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10.855957</v>
      </c>
      <c r="B158" s="1">
        <f>DATE(2010,5,11) + TIME(20,32,34)</f>
        <v>40309.855949074074</v>
      </c>
      <c r="C158">
        <v>80</v>
      </c>
      <c r="D158">
        <v>79.900337218999994</v>
      </c>
      <c r="E158">
        <v>50</v>
      </c>
      <c r="F158">
        <v>14.995406150999999</v>
      </c>
      <c r="G158">
        <v>1399.2183838000001</v>
      </c>
      <c r="H158">
        <v>1384.9384766000001</v>
      </c>
      <c r="I158">
        <v>1250.5148925999999</v>
      </c>
      <c r="J158">
        <v>1211.0692139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11.069219</v>
      </c>
      <c r="B159" s="1">
        <f>DATE(2010,5,12) + TIME(1,39,40)</f>
        <v>40310.069212962961</v>
      </c>
      <c r="C159">
        <v>80</v>
      </c>
      <c r="D159">
        <v>79.900444031000006</v>
      </c>
      <c r="E159">
        <v>50</v>
      </c>
      <c r="F159">
        <v>14.9954319</v>
      </c>
      <c r="G159">
        <v>1399.0933838000001</v>
      </c>
      <c r="H159">
        <v>1384.8165283000001</v>
      </c>
      <c r="I159">
        <v>1250.5181885</v>
      </c>
      <c r="J159">
        <v>1211.0723877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11.283258999999999</v>
      </c>
      <c r="B160" s="1">
        <f>DATE(2010,5,12) + TIME(6,47,53)</f>
        <v>40310.283252314817</v>
      </c>
      <c r="C160">
        <v>80</v>
      </c>
      <c r="D160">
        <v>79.900535583000007</v>
      </c>
      <c r="E160">
        <v>50</v>
      </c>
      <c r="F160">
        <v>14.995457649</v>
      </c>
      <c r="G160">
        <v>1398.9704589999999</v>
      </c>
      <c r="H160">
        <v>1384.6966553</v>
      </c>
      <c r="I160">
        <v>1250.5216064000001</v>
      </c>
      <c r="J160">
        <v>1211.0756836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11.498431</v>
      </c>
      <c r="B161" s="1">
        <f>DATE(2010,5,12) + TIME(11,57,44)</f>
        <v>40310.498425925929</v>
      </c>
      <c r="C161">
        <v>80</v>
      </c>
      <c r="D161">
        <v>79.900604247999993</v>
      </c>
      <c r="E161">
        <v>50</v>
      </c>
      <c r="F161">
        <v>14.995482445</v>
      </c>
      <c r="G161">
        <v>1398.8454589999999</v>
      </c>
      <c r="H161">
        <v>1384.574707</v>
      </c>
      <c r="I161">
        <v>1250.5241699000001</v>
      </c>
      <c r="J161">
        <v>1211.078125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11.715092</v>
      </c>
      <c r="B162" s="1">
        <f>DATE(2010,5,12) + TIME(17,9,43)</f>
        <v>40310.715081018519</v>
      </c>
      <c r="C162">
        <v>80</v>
      </c>
      <c r="D162">
        <v>79.900688170999999</v>
      </c>
      <c r="E162">
        <v>50</v>
      </c>
      <c r="F162">
        <v>14.99550724</v>
      </c>
      <c r="G162">
        <v>1398.7336425999999</v>
      </c>
      <c r="H162">
        <v>1384.4661865</v>
      </c>
      <c r="I162">
        <v>1250.5289307</v>
      </c>
      <c r="J162">
        <v>1211.0828856999999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11.933349</v>
      </c>
      <c r="B163" s="1">
        <f>DATE(2010,5,12) + TIME(22,24,1)</f>
        <v>40310.933344907404</v>
      </c>
      <c r="C163">
        <v>80</v>
      </c>
      <c r="D163">
        <v>79.900772094999994</v>
      </c>
      <c r="E163">
        <v>50</v>
      </c>
      <c r="F163">
        <v>14.995532036</v>
      </c>
      <c r="G163">
        <v>1398.6120605000001</v>
      </c>
      <c r="H163">
        <v>1384.3476562000001</v>
      </c>
      <c r="I163">
        <v>1250.5319824000001</v>
      </c>
      <c r="J163">
        <v>1211.0856934000001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12.153959</v>
      </c>
      <c r="B164" s="1">
        <f>DATE(2010,5,13) + TIME(3,41,42)</f>
        <v>40311.153958333336</v>
      </c>
      <c r="C164">
        <v>80</v>
      </c>
      <c r="D164">
        <v>79.900848389000004</v>
      </c>
      <c r="E164">
        <v>50</v>
      </c>
      <c r="F164">
        <v>14.995556831</v>
      </c>
      <c r="G164">
        <v>1398.4948730000001</v>
      </c>
      <c r="H164">
        <v>1384.2336425999999</v>
      </c>
      <c r="I164">
        <v>1250.5352783000001</v>
      </c>
      <c r="J164">
        <v>1211.0888672000001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12.377074</v>
      </c>
      <c r="B165" s="1">
        <f>DATE(2010,5,13) + TIME(9,2,59)</f>
        <v>40311.377071759256</v>
      </c>
      <c r="C165">
        <v>80</v>
      </c>
      <c r="D165">
        <v>79.900917053000001</v>
      </c>
      <c r="E165">
        <v>50</v>
      </c>
      <c r="F165">
        <v>14.995581627</v>
      </c>
      <c r="G165">
        <v>1398.3786620999999</v>
      </c>
      <c r="H165">
        <v>1384.1207274999999</v>
      </c>
      <c r="I165">
        <v>1250.5386963000001</v>
      </c>
      <c r="J165">
        <v>1211.0922852000001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12.602409</v>
      </c>
      <c r="B166" s="1">
        <f>DATE(2010,5,13) + TIME(14,27,28)</f>
        <v>40311.602407407408</v>
      </c>
      <c r="C166">
        <v>80</v>
      </c>
      <c r="D166">
        <v>79.900978088000002</v>
      </c>
      <c r="E166">
        <v>50</v>
      </c>
      <c r="F166">
        <v>14.995605468999999</v>
      </c>
      <c r="G166">
        <v>1398.2633057</v>
      </c>
      <c r="H166">
        <v>1384.0086670000001</v>
      </c>
      <c r="I166">
        <v>1250.5422363</v>
      </c>
      <c r="J166">
        <v>1211.0957031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12.830048</v>
      </c>
      <c r="B167" s="1">
        <f>DATE(2010,5,13) + TIME(19,55,16)</f>
        <v>40311.830046296294</v>
      </c>
      <c r="C167">
        <v>80</v>
      </c>
      <c r="D167">
        <v>79.901039123999993</v>
      </c>
      <c r="E167">
        <v>50</v>
      </c>
      <c r="F167">
        <v>14.995629311</v>
      </c>
      <c r="G167">
        <v>1398.1486815999999</v>
      </c>
      <c r="H167">
        <v>1383.8974608999999</v>
      </c>
      <c r="I167">
        <v>1250.5457764</v>
      </c>
      <c r="J167">
        <v>1211.0991211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13.060333999999999</v>
      </c>
      <c r="B168" s="1">
        <f>DATE(2010,5,14) + TIME(1,26,52)</f>
        <v>40312.060324074075</v>
      </c>
      <c r="C168">
        <v>80</v>
      </c>
      <c r="D168">
        <v>79.901092528999996</v>
      </c>
      <c r="E168">
        <v>50</v>
      </c>
      <c r="F168">
        <v>14.995653151999999</v>
      </c>
      <c r="G168">
        <v>1398.0350341999999</v>
      </c>
      <c r="H168">
        <v>1383.7871094</v>
      </c>
      <c r="I168">
        <v>1250.5494385</v>
      </c>
      <c r="J168">
        <v>1211.1026611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13.293621</v>
      </c>
      <c r="B169" s="1">
        <f>DATE(2010,5,14) + TIME(7,2,48)</f>
        <v>40312.293611111112</v>
      </c>
      <c r="C169">
        <v>80</v>
      </c>
      <c r="D169">
        <v>79.901145935000002</v>
      </c>
      <c r="E169">
        <v>50</v>
      </c>
      <c r="F169">
        <v>14.995677948000001</v>
      </c>
      <c r="G169">
        <v>1397.921875</v>
      </c>
      <c r="H169">
        <v>1383.6773682</v>
      </c>
      <c r="I169">
        <v>1250.5529785000001</v>
      </c>
      <c r="J169">
        <v>1211.1062012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13.530301</v>
      </c>
      <c r="B170" s="1">
        <f>DATE(2010,5,14) + TIME(12,43,37)</f>
        <v>40312.530289351853</v>
      </c>
      <c r="C170">
        <v>80</v>
      </c>
      <c r="D170">
        <v>79.901199340999995</v>
      </c>
      <c r="E170">
        <v>50</v>
      </c>
      <c r="F170">
        <v>14.995700835999999</v>
      </c>
      <c r="G170">
        <v>1397.8093262</v>
      </c>
      <c r="H170">
        <v>1383.5682373</v>
      </c>
      <c r="I170">
        <v>1250.5567627</v>
      </c>
      <c r="J170">
        <v>1211.1097411999999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13.770861</v>
      </c>
      <c r="B171" s="1">
        <f>DATE(2010,5,14) + TIME(18,30,2)</f>
        <v>40312.770856481482</v>
      </c>
      <c r="C171">
        <v>80</v>
      </c>
      <c r="D171">
        <v>79.901245117000002</v>
      </c>
      <c r="E171">
        <v>50</v>
      </c>
      <c r="F171">
        <v>14.995724678</v>
      </c>
      <c r="G171">
        <v>1397.6968993999999</v>
      </c>
      <c r="H171">
        <v>1383.4594727000001</v>
      </c>
      <c r="I171">
        <v>1250.5605469</v>
      </c>
      <c r="J171">
        <v>1211.1134033000001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14.015611</v>
      </c>
      <c r="B172" s="1">
        <f>DATE(2010,5,15) + TIME(0,22,28)</f>
        <v>40313.015601851854</v>
      </c>
      <c r="C172">
        <v>80</v>
      </c>
      <c r="D172">
        <v>79.901290893999999</v>
      </c>
      <c r="E172">
        <v>50</v>
      </c>
      <c r="F172">
        <v>14.995748519999999</v>
      </c>
      <c r="G172">
        <v>1397.5847168</v>
      </c>
      <c r="H172">
        <v>1383.3508300999999</v>
      </c>
      <c r="I172">
        <v>1250.5643310999999</v>
      </c>
      <c r="J172">
        <v>1211.1171875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14.264986</v>
      </c>
      <c r="B173" s="1">
        <f>DATE(2010,5,15) + TIME(6,21,34)</f>
        <v>40313.264976851853</v>
      </c>
      <c r="C173">
        <v>80</v>
      </c>
      <c r="D173">
        <v>79.901336670000006</v>
      </c>
      <c r="E173">
        <v>50</v>
      </c>
      <c r="F173">
        <v>14.995772362</v>
      </c>
      <c r="G173">
        <v>1397.4724120999999</v>
      </c>
      <c r="H173">
        <v>1383.2421875</v>
      </c>
      <c r="I173">
        <v>1250.5682373</v>
      </c>
      <c r="J173">
        <v>1211.1208495999999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14.519482</v>
      </c>
      <c r="B174" s="1">
        <f>DATE(2010,5,15) + TIME(12,28,3)</f>
        <v>40313.519479166665</v>
      </c>
      <c r="C174">
        <v>80</v>
      </c>
      <c r="D174">
        <v>79.901382446</v>
      </c>
      <c r="E174">
        <v>50</v>
      </c>
      <c r="F174">
        <v>14.995796203999999</v>
      </c>
      <c r="G174">
        <v>1397.3598632999999</v>
      </c>
      <c r="H174">
        <v>1383.1334228999999</v>
      </c>
      <c r="I174">
        <v>1250.5721435999999</v>
      </c>
      <c r="J174">
        <v>1211.1247559000001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14.779590000000001</v>
      </c>
      <c r="B175" s="1">
        <f>DATE(2010,5,15) + TIME(18,42,36)</f>
        <v>40313.779583333337</v>
      </c>
      <c r="C175">
        <v>80</v>
      </c>
      <c r="D175">
        <v>79.901428222999996</v>
      </c>
      <c r="E175">
        <v>50</v>
      </c>
      <c r="F175">
        <v>14.995820998999999</v>
      </c>
      <c r="G175">
        <v>1397.2470702999999</v>
      </c>
      <c r="H175">
        <v>1383.0244141000001</v>
      </c>
      <c r="I175">
        <v>1250.5761719</v>
      </c>
      <c r="J175">
        <v>1211.1286620999999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15.045187</v>
      </c>
      <c r="B176" s="1">
        <f>DATE(2010,5,16) + TIME(1,5,4)</f>
        <v>40314.045185185183</v>
      </c>
      <c r="C176">
        <v>80</v>
      </c>
      <c r="D176">
        <v>79.901473999000004</v>
      </c>
      <c r="E176">
        <v>50</v>
      </c>
      <c r="F176">
        <v>14.995844841</v>
      </c>
      <c r="G176">
        <v>1397.1336670000001</v>
      </c>
      <c r="H176">
        <v>1382.9149170000001</v>
      </c>
      <c r="I176">
        <v>1250.5803223</v>
      </c>
      <c r="J176">
        <v>1211.1326904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15.316287000000001</v>
      </c>
      <c r="B177" s="1">
        <f>DATE(2010,5,16) + TIME(7,35,27)</f>
        <v>40314.316284722219</v>
      </c>
      <c r="C177">
        <v>80</v>
      </c>
      <c r="D177">
        <v>79.901512146000002</v>
      </c>
      <c r="E177">
        <v>50</v>
      </c>
      <c r="F177">
        <v>14.995868682999999</v>
      </c>
      <c r="G177">
        <v>1397.0197754000001</v>
      </c>
      <c r="H177">
        <v>1382.8050536999999</v>
      </c>
      <c r="I177">
        <v>1250.5845947</v>
      </c>
      <c r="J177">
        <v>1211.1368408000001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15.59145</v>
      </c>
      <c r="B178" s="1">
        <f>DATE(2010,5,16) + TIME(14,11,41)</f>
        <v>40314.591446759259</v>
      </c>
      <c r="C178">
        <v>80</v>
      </c>
      <c r="D178">
        <v>79.901557921999995</v>
      </c>
      <c r="E178">
        <v>50</v>
      </c>
      <c r="F178">
        <v>14.995893477999999</v>
      </c>
      <c r="G178">
        <v>1396.9055175999999</v>
      </c>
      <c r="H178">
        <v>1382.6949463000001</v>
      </c>
      <c r="I178">
        <v>1250.5889893000001</v>
      </c>
      <c r="J178">
        <v>1211.1409911999999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15.866903000000001</v>
      </c>
      <c r="B179" s="1">
        <f>DATE(2010,5,16) + TIME(20,48,20)</f>
        <v>40314.866898148146</v>
      </c>
      <c r="C179">
        <v>80</v>
      </c>
      <c r="D179">
        <v>79.901596068999993</v>
      </c>
      <c r="E179">
        <v>50</v>
      </c>
      <c r="F179">
        <v>14.99591732</v>
      </c>
      <c r="G179">
        <v>1396.7915039</v>
      </c>
      <c r="H179">
        <v>1382.5849608999999</v>
      </c>
      <c r="I179">
        <v>1250.5933838000001</v>
      </c>
      <c r="J179">
        <v>1211.1452637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16.143160999999999</v>
      </c>
      <c r="B180" s="1">
        <f>DATE(2010,5,17) + TIME(3,26,9)</f>
        <v>40315.143159722225</v>
      </c>
      <c r="C180">
        <v>80</v>
      </c>
      <c r="D180">
        <v>79.901634216000005</v>
      </c>
      <c r="E180">
        <v>50</v>
      </c>
      <c r="F180">
        <v>14.995940208</v>
      </c>
      <c r="G180">
        <v>1396.6793213000001</v>
      </c>
      <c r="H180">
        <v>1382.4768065999999</v>
      </c>
      <c r="I180">
        <v>1250.5977783000001</v>
      </c>
      <c r="J180">
        <v>1211.1495361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16.42069</v>
      </c>
      <c r="B181" s="1">
        <f>DATE(2010,5,17) + TIME(10,5,47)</f>
        <v>40315.420682870368</v>
      </c>
      <c r="C181">
        <v>80</v>
      </c>
      <c r="D181">
        <v>79.901672363000003</v>
      </c>
      <c r="E181">
        <v>50</v>
      </c>
      <c r="F181">
        <v>14.99596405</v>
      </c>
      <c r="G181">
        <v>1396.5686035000001</v>
      </c>
      <c r="H181">
        <v>1382.3702393000001</v>
      </c>
      <c r="I181">
        <v>1250.6021728999999</v>
      </c>
      <c r="J181">
        <v>1211.1538086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16.699945</v>
      </c>
      <c r="B182" s="1">
        <f>DATE(2010,5,17) + TIME(16,47,55)</f>
        <v>40315.699942129628</v>
      </c>
      <c r="C182">
        <v>80</v>
      </c>
      <c r="D182">
        <v>79.901710510000001</v>
      </c>
      <c r="E182">
        <v>50</v>
      </c>
      <c r="F182">
        <v>14.995986938</v>
      </c>
      <c r="G182">
        <v>1396.4592285000001</v>
      </c>
      <c r="H182">
        <v>1382.2650146000001</v>
      </c>
      <c r="I182">
        <v>1250.6065673999999</v>
      </c>
      <c r="J182">
        <v>1211.1580810999999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16.981380999999999</v>
      </c>
      <c r="B183" s="1">
        <f>DATE(2010,5,17) + TIME(23,33,11)</f>
        <v>40315.981377314813</v>
      </c>
      <c r="C183">
        <v>80</v>
      </c>
      <c r="D183">
        <v>79.901748656999999</v>
      </c>
      <c r="E183">
        <v>50</v>
      </c>
      <c r="F183">
        <v>14.996010780000001</v>
      </c>
      <c r="G183">
        <v>1396.3509521000001</v>
      </c>
      <c r="H183">
        <v>1382.1608887</v>
      </c>
      <c r="I183">
        <v>1250.6110839999999</v>
      </c>
      <c r="J183">
        <v>1211.1623535000001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17.264906</v>
      </c>
      <c r="B184" s="1">
        <f>DATE(2010,5,18) + TIME(6,21,27)</f>
        <v>40316.26489583333</v>
      </c>
      <c r="C184">
        <v>80</v>
      </c>
      <c r="D184">
        <v>79.901786803999997</v>
      </c>
      <c r="E184">
        <v>50</v>
      </c>
      <c r="F184">
        <v>14.996033668999999</v>
      </c>
      <c r="G184">
        <v>1396.2435303</v>
      </c>
      <c r="H184">
        <v>1382.0576172000001</v>
      </c>
      <c r="I184">
        <v>1250.6156006000001</v>
      </c>
      <c r="J184">
        <v>1211.1667480000001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17.550115000000002</v>
      </c>
      <c r="B185" s="1">
        <f>DATE(2010,5,18) + TIME(13,12,9)</f>
        <v>40316.550104166665</v>
      </c>
      <c r="C185">
        <v>80</v>
      </c>
      <c r="D185">
        <v>79.901824950999995</v>
      </c>
      <c r="E185">
        <v>50</v>
      </c>
      <c r="F185">
        <v>14.996056556999999</v>
      </c>
      <c r="G185">
        <v>1396.1370850000001</v>
      </c>
      <c r="H185">
        <v>1381.9553223</v>
      </c>
      <c r="I185">
        <v>1250.6201172000001</v>
      </c>
      <c r="J185">
        <v>1211.1711425999999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17.837433999999998</v>
      </c>
      <c r="B186" s="1">
        <f>DATE(2010,5,18) + TIME(20,5,54)</f>
        <v>40316.837430555555</v>
      </c>
      <c r="C186">
        <v>80</v>
      </c>
      <c r="D186">
        <v>79.901863098000007</v>
      </c>
      <c r="E186">
        <v>50</v>
      </c>
      <c r="F186">
        <v>14.996078491</v>
      </c>
      <c r="G186">
        <v>1396.0317382999999</v>
      </c>
      <c r="H186">
        <v>1381.854126</v>
      </c>
      <c r="I186">
        <v>1250.6247559000001</v>
      </c>
      <c r="J186">
        <v>1211.1756591999999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18.127291</v>
      </c>
      <c r="B187" s="1">
        <f>DATE(2010,5,19) + TIME(3,3,17)</f>
        <v>40317.127280092594</v>
      </c>
      <c r="C187">
        <v>80</v>
      </c>
      <c r="D187">
        <v>79.901893615999995</v>
      </c>
      <c r="E187">
        <v>50</v>
      </c>
      <c r="F187">
        <v>14.996101379000001</v>
      </c>
      <c r="G187">
        <v>1395.9272461</v>
      </c>
      <c r="H187">
        <v>1381.7539062000001</v>
      </c>
      <c r="I187">
        <v>1250.6293945</v>
      </c>
      <c r="J187">
        <v>1211.1800536999999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18.420124000000001</v>
      </c>
      <c r="B188" s="1">
        <f>DATE(2010,5,19) + TIME(10,4,58)</f>
        <v>40317.420115740744</v>
      </c>
      <c r="C188">
        <v>80</v>
      </c>
      <c r="D188">
        <v>79.901931762999993</v>
      </c>
      <c r="E188">
        <v>50</v>
      </c>
      <c r="F188">
        <v>14.996123314</v>
      </c>
      <c r="G188">
        <v>1395.8233643000001</v>
      </c>
      <c r="H188">
        <v>1381.6542969</v>
      </c>
      <c r="I188">
        <v>1250.6340332</v>
      </c>
      <c r="J188">
        <v>1211.1845702999999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18.716384999999999</v>
      </c>
      <c r="B189" s="1">
        <f>DATE(2010,5,19) + TIME(17,11,35)</f>
        <v>40317.716377314813</v>
      </c>
      <c r="C189">
        <v>80</v>
      </c>
      <c r="D189">
        <v>79.901969910000005</v>
      </c>
      <c r="E189">
        <v>50</v>
      </c>
      <c r="F189">
        <v>14.996145247999999</v>
      </c>
      <c r="G189">
        <v>1395.7200928</v>
      </c>
      <c r="H189">
        <v>1381.5552978999999</v>
      </c>
      <c r="I189">
        <v>1250.6387939000001</v>
      </c>
      <c r="J189">
        <v>1211.1892089999999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19.016553999999999</v>
      </c>
      <c r="B190" s="1">
        <f>DATE(2010,5,20) + TIME(0,23,50)</f>
        <v>40318.016550925924</v>
      </c>
      <c r="C190">
        <v>80</v>
      </c>
      <c r="D190">
        <v>79.902008057000003</v>
      </c>
      <c r="E190">
        <v>50</v>
      </c>
      <c r="F190">
        <v>14.996168137</v>
      </c>
      <c r="G190">
        <v>1395.6171875</v>
      </c>
      <c r="H190">
        <v>1381.4566649999999</v>
      </c>
      <c r="I190">
        <v>1250.6435547000001</v>
      </c>
      <c r="J190">
        <v>1211.1938477000001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19.321276000000001</v>
      </c>
      <c r="B191" s="1">
        <f>DATE(2010,5,20) + TIME(7,42,38)</f>
        <v>40318.321273148147</v>
      </c>
      <c r="C191">
        <v>80</v>
      </c>
      <c r="D191">
        <v>79.902046204000001</v>
      </c>
      <c r="E191">
        <v>50</v>
      </c>
      <c r="F191">
        <v>14.996190070999999</v>
      </c>
      <c r="G191">
        <v>1395.5145264</v>
      </c>
      <c r="H191">
        <v>1381.3582764</v>
      </c>
      <c r="I191">
        <v>1250.6484375</v>
      </c>
      <c r="J191">
        <v>1211.1984863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19.630925999999999</v>
      </c>
      <c r="B192" s="1">
        <f>DATE(2010,5,20) + TIME(15,8,32)</f>
        <v>40318.630925925929</v>
      </c>
      <c r="C192">
        <v>80</v>
      </c>
      <c r="D192">
        <v>79.902084350999999</v>
      </c>
      <c r="E192">
        <v>50</v>
      </c>
      <c r="F192">
        <v>14.996212006</v>
      </c>
      <c r="G192">
        <v>1395.4119873</v>
      </c>
      <c r="H192">
        <v>1381.2601318</v>
      </c>
      <c r="I192">
        <v>1250.6533202999999</v>
      </c>
      <c r="J192">
        <v>1211.2032471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19.946041000000001</v>
      </c>
      <c r="B193" s="1">
        <f>DATE(2010,5,20) + TIME(22,42,17)</f>
        <v>40318.946030092593</v>
      </c>
      <c r="C193">
        <v>80</v>
      </c>
      <c r="D193">
        <v>79.902122497999997</v>
      </c>
      <c r="E193">
        <v>50</v>
      </c>
      <c r="F193">
        <v>14.99623394</v>
      </c>
      <c r="G193">
        <v>1395.3092041</v>
      </c>
      <c r="H193">
        <v>1381.1618652</v>
      </c>
      <c r="I193">
        <v>1250.6584473</v>
      </c>
      <c r="J193">
        <v>1211.2081298999999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20.26726</v>
      </c>
      <c r="B194" s="1">
        <f>DATE(2010,5,21) + TIME(6,24,51)</f>
        <v>40319.267256944448</v>
      </c>
      <c r="C194">
        <v>80</v>
      </c>
      <c r="D194">
        <v>79.902168274000005</v>
      </c>
      <c r="E194">
        <v>50</v>
      </c>
      <c r="F194">
        <v>14.996256828</v>
      </c>
      <c r="G194">
        <v>1395.2062988</v>
      </c>
      <c r="H194">
        <v>1381.0633545000001</v>
      </c>
      <c r="I194">
        <v>1250.6635742000001</v>
      </c>
      <c r="J194">
        <v>1211.2131348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20.594975999999999</v>
      </c>
      <c r="B195" s="1">
        <f>DATE(2010,5,21) + TIME(14,16,45)</f>
        <v>40319.594965277778</v>
      </c>
      <c r="C195">
        <v>80</v>
      </c>
      <c r="D195">
        <v>79.902206421000002</v>
      </c>
      <c r="E195">
        <v>50</v>
      </c>
      <c r="F195">
        <v>14.996278762999999</v>
      </c>
      <c r="G195">
        <v>1395.1030272999999</v>
      </c>
      <c r="H195">
        <v>1380.9645995999999</v>
      </c>
      <c r="I195">
        <v>1250.6687012</v>
      </c>
      <c r="J195">
        <v>1211.2181396000001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20.929033</v>
      </c>
      <c r="B196" s="1">
        <f>DATE(2010,5,21) + TIME(22,17,48)</f>
        <v>40319.929027777776</v>
      </c>
      <c r="C196">
        <v>80</v>
      </c>
      <c r="D196">
        <v>79.902244568</v>
      </c>
      <c r="E196">
        <v>50</v>
      </c>
      <c r="F196">
        <v>14.996300697000001</v>
      </c>
      <c r="G196">
        <v>1394.9992675999999</v>
      </c>
      <c r="H196">
        <v>1380.8654785000001</v>
      </c>
      <c r="I196">
        <v>1250.6740723</v>
      </c>
      <c r="J196">
        <v>1211.2232666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21.269297000000002</v>
      </c>
      <c r="B197" s="1">
        <f>DATE(2010,5,22) + TIME(6,27,47)</f>
        <v>40320.269293981481</v>
      </c>
      <c r="C197">
        <v>80</v>
      </c>
      <c r="D197">
        <v>79.902290343999994</v>
      </c>
      <c r="E197">
        <v>50</v>
      </c>
      <c r="F197">
        <v>14.996323586000001</v>
      </c>
      <c r="G197">
        <v>1394.8950195</v>
      </c>
      <c r="H197">
        <v>1380.7659911999999</v>
      </c>
      <c r="I197">
        <v>1250.6795654</v>
      </c>
      <c r="J197">
        <v>1211.2285156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21.613548999999999</v>
      </c>
      <c r="B198" s="1">
        <f>DATE(2010,5,22) + TIME(14,43,30)</f>
        <v>40320.613541666666</v>
      </c>
      <c r="C198">
        <v>80</v>
      </c>
      <c r="D198">
        <v>79.902336121000005</v>
      </c>
      <c r="E198">
        <v>50</v>
      </c>
      <c r="F198">
        <v>14.996346473999999</v>
      </c>
      <c r="G198">
        <v>1394.7905272999999</v>
      </c>
      <c r="H198">
        <v>1380.6662598</v>
      </c>
      <c r="I198">
        <v>1250.6851807</v>
      </c>
      <c r="J198">
        <v>1211.2340088000001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21.958898000000001</v>
      </c>
      <c r="B199" s="1">
        <f>DATE(2010,5,22) + TIME(23,0,48)</f>
        <v>40320.95888888889</v>
      </c>
      <c r="C199">
        <v>80</v>
      </c>
      <c r="D199">
        <v>79.902374268000003</v>
      </c>
      <c r="E199">
        <v>50</v>
      </c>
      <c r="F199">
        <v>14.996368408</v>
      </c>
      <c r="G199">
        <v>1394.6864014</v>
      </c>
      <c r="H199">
        <v>1380.5670166</v>
      </c>
      <c r="I199">
        <v>1250.6907959</v>
      </c>
      <c r="J199">
        <v>1211.2393798999999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22.305944</v>
      </c>
      <c r="B200" s="1">
        <f>DATE(2010,5,23) + TIME(7,20,33)</f>
        <v>40321.305937500001</v>
      </c>
      <c r="C200">
        <v>80</v>
      </c>
      <c r="D200">
        <v>79.902420043999996</v>
      </c>
      <c r="E200">
        <v>50</v>
      </c>
      <c r="F200">
        <v>14.996390343</v>
      </c>
      <c r="G200">
        <v>1394.5836182</v>
      </c>
      <c r="H200">
        <v>1380.4688721</v>
      </c>
      <c r="I200">
        <v>1250.6965332</v>
      </c>
      <c r="J200">
        <v>1211.2448730000001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22.654530999999999</v>
      </c>
      <c r="B201" s="1">
        <f>DATE(2010,5,23) + TIME(15,42,31)</f>
        <v>40321.65452546296</v>
      </c>
      <c r="C201">
        <v>80</v>
      </c>
      <c r="D201">
        <v>79.902465820000003</v>
      </c>
      <c r="E201">
        <v>50</v>
      </c>
      <c r="F201">
        <v>14.996412276999999</v>
      </c>
      <c r="G201">
        <v>1394.4818115</v>
      </c>
      <c r="H201">
        <v>1380.3718262</v>
      </c>
      <c r="I201">
        <v>1250.7022704999999</v>
      </c>
      <c r="J201">
        <v>1211.2503661999999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23.003952999999999</v>
      </c>
      <c r="B202" s="1">
        <f>DATE(2010,5,24) + TIME(0,5,41)</f>
        <v>40322.003946759258</v>
      </c>
      <c r="C202">
        <v>80</v>
      </c>
      <c r="D202">
        <v>79.902503967000001</v>
      </c>
      <c r="E202">
        <v>50</v>
      </c>
      <c r="F202">
        <v>14.996434212</v>
      </c>
      <c r="G202">
        <v>1394.3811035000001</v>
      </c>
      <c r="H202">
        <v>1380.2758789</v>
      </c>
      <c r="I202">
        <v>1250.7080077999999</v>
      </c>
      <c r="J202">
        <v>1211.2559814000001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23.354745999999999</v>
      </c>
      <c r="B203" s="1">
        <f>DATE(2010,5,24) + TIME(8,30,50)</f>
        <v>40322.354745370372</v>
      </c>
      <c r="C203">
        <v>80</v>
      </c>
      <c r="D203">
        <v>79.902549743999998</v>
      </c>
      <c r="E203">
        <v>50</v>
      </c>
      <c r="F203">
        <v>14.996456146</v>
      </c>
      <c r="G203">
        <v>1394.2816161999999</v>
      </c>
      <c r="H203">
        <v>1380.1811522999999</v>
      </c>
      <c r="I203">
        <v>1250.7138672000001</v>
      </c>
      <c r="J203">
        <v>1211.2615966999999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23.707439000000001</v>
      </c>
      <c r="B204" s="1">
        <f>DATE(2010,5,24) + TIME(16,58,42)</f>
        <v>40322.707430555558</v>
      </c>
      <c r="C204">
        <v>80</v>
      </c>
      <c r="D204">
        <v>79.902595520000006</v>
      </c>
      <c r="E204">
        <v>50</v>
      </c>
      <c r="F204">
        <v>14.996477127</v>
      </c>
      <c r="G204">
        <v>1394.1831055</v>
      </c>
      <c r="H204">
        <v>1380.0875243999999</v>
      </c>
      <c r="I204">
        <v>1250.7196045000001</v>
      </c>
      <c r="J204">
        <v>1211.2672118999999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24.062563000000001</v>
      </c>
      <c r="B205" s="1">
        <f>DATE(2010,5,25) + TIME(1,30,5)</f>
        <v>40323.062557870369</v>
      </c>
      <c r="C205">
        <v>80</v>
      </c>
      <c r="D205">
        <v>79.902633667000003</v>
      </c>
      <c r="E205">
        <v>50</v>
      </c>
      <c r="F205">
        <v>14.996499062</v>
      </c>
      <c r="G205">
        <v>1394.0855713000001</v>
      </c>
      <c r="H205">
        <v>1379.994751</v>
      </c>
      <c r="I205">
        <v>1250.7255858999999</v>
      </c>
      <c r="J205">
        <v>1211.2728271000001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24.420650999999999</v>
      </c>
      <c r="B206" s="1">
        <f>DATE(2010,5,25) + TIME(10,5,44)</f>
        <v>40323.420648148145</v>
      </c>
      <c r="C206">
        <v>80</v>
      </c>
      <c r="D206">
        <v>79.902679442999997</v>
      </c>
      <c r="E206">
        <v>50</v>
      </c>
      <c r="F206">
        <v>14.996520042</v>
      </c>
      <c r="G206">
        <v>1393.9888916</v>
      </c>
      <c r="H206">
        <v>1379.9027100000001</v>
      </c>
      <c r="I206">
        <v>1250.7314452999999</v>
      </c>
      <c r="J206">
        <v>1211.2785644999999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24.782253999999998</v>
      </c>
      <c r="B207" s="1">
        <f>DATE(2010,5,25) + TIME(18,46,26)</f>
        <v>40323.78224537037</v>
      </c>
      <c r="C207">
        <v>80</v>
      </c>
      <c r="D207">
        <v>79.902725219999994</v>
      </c>
      <c r="E207">
        <v>50</v>
      </c>
      <c r="F207">
        <v>14.996541023000001</v>
      </c>
      <c r="G207">
        <v>1393.8925781</v>
      </c>
      <c r="H207">
        <v>1379.8111572</v>
      </c>
      <c r="I207">
        <v>1250.7374268000001</v>
      </c>
      <c r="J207">
        <v>1211.2843018000001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25.147936000000001</v>
      </c>
      <c r="B208" s="1">
        <f>DATE(2010,5,26) + TIME(3,33,1)</f>
        <v>40324.147928240738</v>
      </c>
      <c r="C208">
        <v>80</v>
      </c>
      <c r="D208">
        <v>79.902770996000001</v>
      </c>
      <c r="E208">
        <v>50</v>
      </c>
      <c r="F208">
        <v>14.996562003999999</v>
      </c>
      <c r="G208">
        <v>1393.796875</v>
      </c>
      <c r="H208">
        <v>1379.7202147999999</v>
      </c>
      <c r="I208">
        <v>1250.7435303</v>
      </c>
      <c r="J208">
        <v>1211.2901611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25.518325000000001</v>
      </c>
      <c r="B209" s="1">
        <f>DATE(2010,5,26) + TIME(12,26,23)</f>
        <v>40324.518321759257</v>
      </c>
      <c r="C209">
        <v>80</v>
      </c>
      <c r="D209">
        <v>79.902816771999994</v>
      </c>
      <c r="E209">
        <v>50</v>
      </c>
      <c r="F209">
        <v>14.996582985</v>
      </c>
      <c r="G209">
        <v>1393.7012939000001</v>
      </c>
      <c r="H209">
        <v>1379.6295166</v>
      </c>
      <c r="I209">
        <v>1250.7497559000001</v>
      </c>
      <c r="J209">
        <v>1211.2960204999999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25.894169999999999</v>
      </c>
      <c r="B210" s="1">
        <f>DATE(2010,5,26) + TIME(21,27,36)</f>
        <v>40324.894166666665</v>
      </c>
      <c r="C210">
        <v>80</v>
      </c>
      <c r="D210">
        <v>79.902870178000001</v>
      </c>
      <c r="E210">
        <v>50</v>
      </c>
      <c r="F210">
        <v>14.996603966</v>
      </c>
      <c r="G210">
        <v>1393.605957</v>
      </c>
      <c r="H210">
        <v>1379.5389404</v>
      </c>
      <c r="I210">
        <v>1250.7559814000001</v>
      </c>
      <c r="J210">
        <v>1211.302124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26.275955</v>
      </c>
      <c r="B211" s="1">
        <f>DATE(2010,5,27) + TIME(6,37,22)</f>
        <v>40325.275949074072</v>
      </c>
      <c r="C211">
        <v>80</v>
      </c>
      <c r="D211">
        <v>79.902915954999997</v>
      </c>
      <c r="E211">
        <v>50</v>
      </c>
      <c r="F211">
        <v>14.996624947000001</v>
      </c>
      <c r="G211">
        <v>1393.5104980000001</v>
      </c>
      <c r="H211">
        <v>1379.4483643000001</v>
      </c>
      <c r="I211">
        <v>1250.7623291</v>
      </c>
      <c r="J211">
        <v>1211.3082274999999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26.664362000000001</v>
      </c>
      <c r="B212" s="1">
        <f>DATE(2010,5,27) + TIME(15,56,40)</f>
        <v>40325.664351851854</v>
      </c>
      <c r="C212">
        <v>80</v>
      </c>
      <c r="D212">
        <v>79.90296936</v>
      </c>
      <c r="E212">
        <v>50</v>
      </c>
      <c r="F212">
        <v>14.996645926999999</v>
      </c>
      <c r="G212">
        <v>1393.4149170000001</v>
      </c>
      <c r="H212">
        <v>1379.3576660000001</v>
      </c>
      <c r="I212">
        <v>1250.7687988</v>
      </c>
      <c r="J212">
        <v>1211.3144531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27.060203000000001</v>
      </c>
      <c r="B213" s="1">
        <f>DATE(2010,5,28) + TIME(1,26,41)</f>
        <v>40326.060196759259</v>
      </c>
      <c r="C213">
        <v>80</v>
      </c>
      <c r="D213">
        <v>79.903015136999997</v>
      </c>
      <c r="E213">
        <v>50</v>
      </c>
      <c r="F213">
        <v>14.996666908</v>
      </c>
      <c r="G213">
        <v>1393.3190918</v>
      </c>
      <c r="H213">
        <v>1379.2668457</v>
      </c>
      <c r="I213">
        <v>1250.7755127</v>
      </c>
      <c r="J213">
        <v>1211.3208007999999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27.463283000000001</v>
      </c>
      <c r="B214" s="1">
        <f>DATE(2010,5,28) + TIME(11,7,7)</f>
        <v>40326.463275462964</v>
      </c>
      <c r="C214">
        <v>80</v>
      </c>
      <c r="D214">
        <v>79.903068542</v>
      </c>
      <c r="E214">
        <v>50</v>
      </c>
      <c r="F214">
        <v>14.996687889</v>
      </c>
      <c r="G214">
        <v>1393.2227783000001</v>
      </c>
      <c r="H214">
        <v>1379.1755370999999</v>
      </c>
      <c r="I214">
        <v>1250.7822266000001</v>
      </c>
      <c r="J214">
        <v>1211.3272704999999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27.873808</v>
      </c>
      <c r="B215" s="1">
        <f>DATE(2010,5,28) + TIME(20,58,16)</f>
        <v>40326.873796296299</v>
      </c>
      <c r="C215">
        <v>80</v>
      </c>
      <c r="D215">
        <v>79.903121948000006</v>
      </c>
      <c r="E215">
        <v>50</v>
      </c>
      <c r="F215">
        <v>14.996708870000001</v>
      </c>
      <c r="G215">
        <v>1393.1260986</v>
      </c>
      <c r="H215">
        <v>1379.0838623</v>
      </c>
      <c r="I215">
        <v>1250.7891846</v>
      </c>
      <c r="J215">
        <v>1211.3339844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28.286555</v>
      </c>
      <c r="B216" s="1">
        <f>DATE(2010,5,29) + TIME(6,52,38)</f>
        <v>40327.286550925928</v>
      </c>
      <c r="C216">
        <v>80</v>
      </c>
      <c r="D216">
        <v>79.903175353999998</v>
      </c>
      <c r="E216">
        <v>50</v>
      </c>
      <c r="F216">
        <v>14.996729851</v>
      </c>
      <c r="G216">
        <v>1393.0290527</v>
      </c>
      <c r="H216">
        <v>1378.9919434000001</v>
      </c>
      <c r="I216">
        <v>1250.7962646000001</v>
      </c>
      <c r="J216">
        <v>1211.3406981999999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28.699771999999999</v>
      </c>
      <c r="B217" s="1">
        <f>DATE(2010,5,29) + TIME(16,47,40)</f>
        <v>40327.69976851852</v>
      </c>
      <c r="C217">
        <v>80</v>
      </c>
      <c r="D217">
        <v>79.903228760000005</v>
      </c>
      <c r="E217">
        <v>50</v>
      </c>
      <c r="F217">
        <v>14.996751785000001</v>
      </c>
      <c r="G217">
        <v>1392.9327393000001</v>
      </c>
      <c r="H217">
        <v>1378.9007568</v>
      </c>
      <c r="I217">
        <v>1250.8033447</v>
      </c>
      <c r="J217">
        <v>1211.3475341999999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29.112992999999999</v>
      </c>
      <c r="B218" s="1">
        <f>DATE(2010,5,30) + TIME(2,42,42)</f>
        <v>40328.112986111111</v>
      </c>
      <c r="C218">
        <v>80</v>
      </c>
      <c r="D218">
        <v>79.903282165999997</v>
      </c>
      <c r="E218">
        <v>50</v>
      </c>
      <c r="F218">
        <v>14.996771812</v>
      </c>
      <c r="G218">
        <v>1392.8376464999999</v>
      </c>
      <c r="H218">
        <v>1378.8107910000001</v>
      </c>
      <c r="I218">
        <v>1250.8104248</v>
      </c>
      <c r="J218">
        <v>1211.3544922000001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29.526872000000001</v>
      </c>
      <c r="B219" s="1">
        <f>DATE(2010,5,30) + TIME(12,38,41)</f>
        <v>40328.526863425926</v>
      </c>
      <c r="C219">
        <v>80</v>
      </c>
      <c r="D219">
        <v>79.903335571</v>
      </c>
      <c r="E219">
        <v>50</v>
      </c>
      <c r="F219">
        <v>14.996792792999999</v>
      </c>
      <c r="G219">
        <v>1392.7438964999999</v>
      </c>
      <c r="H219">
        <v>1378.7220459</v>
      </c>
      <c r="I219">
        <v>1250.8176269999999</v>
      </c>
      <c r="J219">
        <v>1211.3613281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29.942052</v>
      </c>
      <c r="B220" s="1">
        <f>DATE(2010,5,30) + TIME(22,36,33)</f>
        <v>40328.942048611112</v>
      </c>
      <c r="C220">
        <v>80</v>
      </c>
      <c r="D220">
        <v>79.903388977000006</v>
      </c>
      <c r="E220">
        <v>50</v>
      </c>
      <c r="F220">
        <v>14.996812820000001</v>
      </c>
      <c r="G220">
        <v>1392.6513672000001</v>
      </c>
      <c r="H220">
        <v>1378.6345214999999</v>
      </c>
      <c r="I220">
        <v>1250.8248291</v>
      </c>
      <c r="J220">
        <v>1211.3682861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30.359155000000001</v>
      </c>
      <c r="B221" s="1">
        <f>DATE(2010,5,31) + TIME(8,37,10)</f>
        <v>40329.359143518515</v>
      </c>
      <c r="C221">
        <v>80</v>
      </c>
      <c r="D221">
        <v>79.903442382999998</v>
      </c>
      <c r="E221">
        <v>50</v>
      </c>
      <c r="F221">
        <v>14.996833800999999</v>
      </c>
      <c r="G221">
        <v>1392.5596923999999</v>
      </c>
      <c r="H221">
        <v>1378.5478516000001</v>
      </c>
      <c r="I221">
        <v>1250.8321533000001</v>
      </c>
      <c r="J221">
        <v>1211.3752440999999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30.778813</v>
      </c>
      <c r="B222" s="1">
        <f>DATE(2010,5,31) + TIME(18,41,29)</f>
        <v>40329.778807870367</v>
      </c>
      <c r="C222">
        <v>80</v>
      </c>
      <c r="D222">
        <v>79.903495789000004</v>
      </c>
      <c r="E222">
        <v>50</v>
      </c>
      <c r="F222">
        <v>14.996853828000001</v>
      </c>
      <c r="G222">
        <v>1392.46875</v>
      </c>
      <c r="H222">
        <v>1378.4620361</v>
      </c>
      <c r="I222">
        <v>1250.8394774999999</v>
      </c>
      <c r="J222">
        <v>1211.3822021000001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31</v>
      </c>
      <c r="B223" s="1">
        <f>DATE(2010,6,1) + TIME(0,0,0)</f>
        <v>40330</v>
      </c>
      <c r="C223">
        <v>80</v>
      </c>
      <c r="D223">
        <v>79.903518676999994</v>
      </c>
      <c r="E223">
        <v>50</v>
      </c>
      <c r="F223">
        <v>14.996866226</v>
      </c>
      <c r="G223">
        <v>1392.3780518000001</v>
      </c>
      <c r="H223">
        <v>1378.3762207</v>
      </c>
      <c r="I223">
        <v>1250.8463135</v>
      </c>
      <c r="J223">
        <v>1211.3887939000001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31.422851999999999</v>
      </c>
      <c r="B224" s="1">
        <f>DATE(2010,6,1) + TIME(10,8,54)</f>
        <v>40330.422847222224</v>
      </c>
      <c r="C224">
        <v>80</v>
      </c>
      <c r="D224">
        <v>79.903579711999996</v>
      </c>
      <c r="E224">
        <v>50</v>
      </c>
      <c r="F224">
        <v>14.996885300000001</v>
      </c>
      <c r="G224">
        <v>1392.3310547000001</v>
      </c>
      <c r="H224">
        <v>1378.3317870999999</v>
      </c>
      <c r="I224">
        <v>1250.8508300999999</v>
      </c>
      <c r="J224">
        <v>1211.3930664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31.851894000000001</v>
      </c>
      <c r="B225" s="1">
        <f>DATE(2010,6,1) + TIME(20,26,43)</f>
        <v>40330.851886574077</v>
      </c>
      <c r="C225">
        <v>80</v>
      </c>
      <c r="D225">
        <v>79.903640746999997</v>
      </c>
      <c r="E225">
        <v>50</v>
      </c>
      <c r="F225">
        <v>14.996905327</v>
      </c>
      <c r="G225">
        <v>1392.2424315999999</v>
      </c>
      <c r="H225">
        <v>1378.2481689000001</v>
      </c>
      <c r="I225">
        <v>1250.8582764</v>
      </c>
      <c r="J225">
        <v>1211.4002685999999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32.285786000000002</v>
      </c>
      <c r="B226" s="1">
        <f>DATE(2010,6,2) + TIME(6,51,31)</f>
        <v>40331.285775462966</v>
      </c>
      <c r="C226">
        <v>80</v>
      </c>
      <c r="D226">
        <v>79.903694153000004</v>
      </c>
      <c r="E226">
        <v>50</v>
      </c>
      <c r="F226">
        <v>14.996924399999999</v>
      </c>
      <c r="G226">
        <v>1392.1531981999999</v>
      </c>
      <c r="H226">
        <v>1378.1639404</v>
      </c>
      <c r="I226">
        <v>1250.8658447</v>
      </c>
      <c r="J226">
        <v>1211.4074707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32.725481000000002</v>
      </c>
      <c r="B227" s="1">
        <f>DATE(2010,6,2) + TIME(17,24,41)</f>
        <v>40331.725474537037</v>
      </c>
      <c r="C227">
        <v>80</v>
      </c>
      <c r="D227">
        <v>79.903755188000005</v>
      </c>
      <c r="E227">
        <v>50</v>
      </c>
      <c r="F227">
        <v>14.996944427000001</v>
      </c>
      <c r="G227">
        <v>1392.0640868999999</v>
      </c>
      <c r="H227">
        <v>1378.0798339999999</v>
      </c>
      <c r="I227">
        <v>1250.8736572</v>
      </c>
      <c r="J227">
        <v>1211.4149170000001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33.171553000000003</v>
      </c>
      <c r="B228" s="1">
        <f>DATE(2010,6,3) + TIME(4,7,2)</f>
        <v>40332.171550925923</v>
      </c>
      <c r="C228">
        <v>80</v>
      </c>
      <c r="D228">
        <v>79.903816223000007</v>
      </c>
      <c r="E228">
        <v>50</v>
      </c>
      <c r="F228">
        <v>14.996963501</v>
      </c>
      <c r="G228">
        <v>1391.9750977000001</v>
      </c>
      <c r="H228">
        <v>1377.9958495999999</v>
      </c>
      <c r="I228">
        <v>1250.8814697</v>
      </c>
      <c r="J228">
        <v>1211.4224853999999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33.624741999999998</v>
      </c>
      <c r="B229" s="1">
        <f>DATE(2010,6,3) + TIME(14,59,37)</f>
        <v>40332.6247337963</v>
      </c>
      <c r="C229">
        <v>80</v>
      </c>
      <c r="D229">
        <v>79.903877257999994</v>
      </c>
      <c r="E229">
        <v>50</v>
      </c>
      <c r="F229">
        <v>14.996983527999999</v>
      </c>
      <c r="G229">
        <v>1391.8858643000001</v>
      </c>
      <c r="H229">
        <v>1377.9117432</v>
      </c>
      <c r="I229">
        <v>1250.8895264</v>
      </c>
      <c r="J229">
        <v>1211.4301757999999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34.085912999999998</v>
      </c>
      <c r="B230" s="1">
        <f>DATE(2010,6,4) + TIME(2,3,42)</f>
        <v>40333.085902777777</v>
      </c>
      <c r="C230">
        <v>80</v>
      </c>
      <c r="D230">
        <v>79.903938292999996</v>
      </c>
      <c r="E230">
        <v>50</v>
      </c>
      <c r="F230">
        <v>14.997003554999999</v>
      </c>
      <c r="G230">
        <v>1391.7963867000001</v>
      </c>
      <c r="H230">
        <v>1377.8273925999999</v>
      </c>
      <c r="I230">
        <v>1250.8977050999999</v>
      </c>
      <c r="J230">
        <v>1211.4379882999999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34.55556</v>
      </c>
      <c r="B231" s="1">
        <f>DATE(2010,6,4) + TIME(13,20,0)</f>
        <v>40333.555555555555</v>
      </c>
      <c r="C231">
        <v>80</v>
      </c>
      <c r="D231">
        <v>79.903999329000001</v>
      </c>
      <c r="E231">
        <v>50</v>
      </c>
      <c r="F231">
        <v>14.997023582000001</v>
      </c>
      <c r="G231">
        <v>1391.706543</v>
      </c>
      <c r="H231">
        <v>1377.7427978999999</v>
      </c>
      <c r="I231">
        <v>1250.9060059000001</v>
      </c>
      <c r="J231">
        <v>1211.4459228999999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35.032820000000001</v>
      </c>
      <c r="B232" s="1">
        <f>DATE(2010,6,5) + TIME(0,47,15)</f>
        <v>40334.032812500001</v>
      </c>
      <c r="C232">
        <v>80</v>
      </c>
      <c r="D232">
        <v>79.904067992999998</v>
      </c>
      <c r="E232">
        <v>50</v>
      </c>
      <c r="F232">
        <v>14.99704361</v>
      </c>
      <c r="G232">
        <v>1391.6163329999999</v>
      </c>
      <c r="H232">
        <v>1377.6577147999999</v>
      </c>
      <c r="I232">
        <v>1250.9145507999999</v>
      </c>
      <c r="J232">
        <v>1211.4541016000001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35.273088000000001</v>
      </c>
      <c r="B233" s="1">
        <f>DATE(2010,6,5) + TIME(6,33,14)</f>
        <v>40334.273078703707</v>
      </c>
      <c r="C233">
        <v>80</v>
      </c>
      <c r="D233">
        <v>79.904083252000007</v>
      </c>
      <c r="E233">
        <v>50</v>
      </c>
      <c r="F233">
        <v>14.997056961</v>
      </c>
      <c r="G233">
        <v>1391.5251464999999</v>
      </c>
      <c r="H233">
        <v>1377.5716553</v>
      </c>
      <c r="I233">
        <v>1250.9227295000001</v>
      </c>
      <c r="J233">
        <v>1211.4619141000001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35.513356000000002</v>
      </c>
      <c r="B234" s="1">
        <f>DATE(2010,6,5) + TIME(12,19,13)</f>
        <v>40334.513344907406</v>
      </c>
      <c r="C234">
        <v>80</v>
      </c>
      <c r="D234">
        <v>79.904098511000001</v>
      </c>
      <c r="E234">
        <v>50</v>
      </c>
      <c r="F234">
        <v>14.997068405</v>
      </c>
      <c r="G234">
        <v>1391.4775391000001</v>
      </c>
      <c r="H234">
        <v>1377.5267334</v>
      </c>
      <c r="I234">
        <v>1250.9268798999999</v>
      </c>
      <c r="J234">
        <v>1211.4658202999999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35.753624000000002</v>
      </c>
      <c r="B235" s="1">
        <f>DATE(2010,6,5) + TIME(18,5,13)</f>
        <v>40334.753622685188</v>
      </c>
      <c r="C235">
        <v>80</v>
      </c>
      <c r="D235">
        <v>79.904121399000005</v>
      </c>
      <c r="E235">
        <v>50</v>
      </c>
      <c r="F235">
        <v>14.997079849</v>
      </c>
      <c r="G235">
        <v>1391.4339600000001</v>
      </c>
      <c r="H235">
        <v>1377.4857178</v>
      </c>
      <c r="I235">
        <v>1250.9316406</v>
      </c>
      <c r="J235">
        <v>1211.4703368999999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35.993892000000002</v>
      </c>
      <c r="B236" s="1">
        <f>DATE(2010,6,5) + TIME(23,51,12)</f>
        <v>40334.993888888886</v>
      </c>
      <c r="C236">
        <v>80</v>
      </c>
      <c r="D236">
        <v>79.904144286999994</v>
      </c>
      <c r="E236">
        <v>50</v>
      </c>
      <c r="F236">
        <v>14.997091293</v>
      </c>
      <c r="G236">
        <v>1391.3894043</v>
      </c>
      <c r="H236">
        <v>1377.4438477000001</v>
      </c>
      <c r="I236">
        <v>1250.9361572</v>
      </c>
      <c r="J236">
        <v>1211.4747314000001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36.234158999999998</v>
      </c>
      <c r="B237" s="1">
        <f>DATE(2010,6,6) + TIME(5,37,11)</f>
        <v>40335.234155092592</v>
      </c>
      <c r="C237">
        <v>80</v>
      </c>
      <c r="D237">
        <v>79.904190063000001</v>
      </c>
      <c r="E237">
        <v>50</v>
      </c>
      <c r="F237">
        <v>14.997101784</v>
      </c>
      <c r="G237">
        <v>1391.3465576000001</v>
      </c>
      <c r="H237">
        <v>1377.4034423999999</v>
      </c>
      <c r="I237">
        <v>1250.940918</v>
      </c>
      <c r="J237">
        <v>1211.4793701000001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36.474426999999999</v>
      </c>
      <c r="B238" s="1">
        <f>DATE(2010,6,6) + TIME(11,23,10)</f>
        <v>40335.474421296298</v>
      </c>
      <c r="C238">
        <v>80</v>
      </c>
      <c r="D238">
        <v>79.904212951999995</v>
      </c>
      <c r="E238">
        <v>50</v>
      </c>
      <c r="F238">
        <v>14.997112273999999</v>
      </c>
      <c r="G238">
        <v>1391.2998047000001</v>
      </c>
      <c r="H238">
        <v>1377.3592529</v>
      </c>
      <c r="I238">
        <v>1250.9447021000001</v>
      </c>
      <c r="J238">
        <v>1211.4829102000001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36.714694999999999</v>
      </c>
      <c r="B239" s="1">
        <f>DATE(2010,6,6) + TIME(17,9,9)</f>
        <v>40335.714687500003</v>
      </c>
      <c r="C239">
        <v>80</v>
      </c>
      <c r="D239">
        <v>79.904235839999998</v>
      </c>
      <c r="E239">
        <v>50</v>
      </c>
      <c r="F239">
        <v>14.997122765</v>
      </c>
      <c r="G239">
        <v>1391.2572021000001</v>
      </c>
      <c r="H239">
        <v>1377.3192139</v>
      </c>
      <c r="I239">
        <v>1250.9494629000001</v>
      </c>
      <c r="J239">
        <v>1211.4874268000001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37.195231</v>
      </c>
      <c r="B240" s="1">
        <f>DATE(2010,6,7) + TIME(4,41,7)</f>
        <v>40336.195219907408</v>
      </c>
      <c r="C240">
        <v>80</v>
      </c>
      <c r="D240">
        <v>79.904335021999998</v>
      </c>
      <c r="E240">
        <v>50</v>
      </c>
      <c r="F240">
        <v>14.997138023</v>
      </c>
      <c r="G240">
        <v>1391.2155762</v>
      </c>
      <c r="H240">
        <v>1377.2801514</v>
      </c>
      <c r="I240">
        <v>1250.9547118999999</v>
      </c>
      <c r="J240">
        <v>1211.4924315999999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37.675775000000002</v>
      </c>
      <c r="B241" s="1">
        <f>DATE(2010,6,7) + TIME(16,13,6)</f>
        <v>40336.675763888888</v>
      </c>
      <c r="C241">
        <v>80</v>
      </c>
      <c r="D241">
        <v>79.904411315999994</v>
      </c>
      <c r="E241">
        <v>50</v>
      </c>
      <c r="F241">
        <v>14.997155190000001</v>
      </c>
      <c r="G241">
        <v>1391.1292725000001</v>
      </c>
      <c r="H241">
        <v>1377.1989745999999</v>
      </c>
      <c r="I241">
        <v>1250.9633789</v>
      </c>
      <c r="J241">
        <v>1211.5007324000001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38.159191999999997</v>
      </c>
      <c r="B242" s="1">
        <f>DATE(2010,6,8) + TIME(3,49,14)</f>
        <v>40337.159189814818</v>
      </c>
      <c r="C242">
        <v>80</v>
      </c>
      <c r="D242">
        <v>79.904479980000005</v>
      </c>
      <c r="E242">
        <v>50</v>
      </c>
      <c r="F242">
        <v>14.997173309000001</v>
      </c>
      <c r="G242">
        <v>1391.0441894999999</v>
      </c>
      <c r="H242">
        <v>1377.1188964999999</v>
      </c>
      <c r="I242">
        <v>1250.9722899999999</v>
      </c>
      <c r="J242">
        <v>1211.5092772999999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38.646090999999998</v>
      </c>
      <c r="B243" s="1">
        <f>DATE(2010,6,8) + TIME(15,30,22)</f>
        <v>40337.646087962959</v>
      </c>
      <c r="C243">
        <v>80</v>
      </c>
      <c r="D243">
        <v>79.904548645000006</v>
      </c>
      <c r="E243">
        <v>50</v>
      </c>
      <c r="F243">
        <v>14.997191429000001</v>
      </c>
      <c r="G243">
        <v>1390.9597168</v>
      </c>
      <c r="H243">
        <v>1377.0394286999999</v>
      </c>
      <c r="I243">
        <v>1250.9813231999999</v>
      </c>
      <c r="J243">
        <v>1211.5179443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39.137213000000003</v>
      </c>
      <c r="B244" s="1">
        <f>DATE(2010,6,9) + TIME(3,17,35)</f>
        <v>40338.13721064815</v>
      </c>
      <c r="C244">
        <v>80</v>
      </c>
      <c r="D244">
        <v>79.904617310000006</v>
      </c>
      <c r="E244">
        <v>50</v>
      </c>
      <c r="F244">
        <v>14.997210503</v>
      </c>
      <c r="G244">
        <v>1390.8756103999999</v>
      </c>
      <c r="H244">
        <v>1376.9604492000001</v>
      </c>
      <c r="I244">
        <v>1250.9904785000001</v>
      </c>
      <c r="J244">
        <v>1211.5266113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39.633319999999998</v>
      </c>
      <c r="B245" s="1">
        <f>DATE(2010,6,9) + TIME(15,11,58)</f>
        <v>40338.633310185185</v>
      </c>
      <c r="C245">
        <v>80</v>
      </c>
      <c r="D245">
        <v>79.904693604000002</v>
      </c>
      <c r="E245">
        <v>50</v>
      </c>
      <c r="F245">
        <v>14.997229576000001</v>
      </c>
      <c r="G245">
        <v>1390.7917480000001</v>
      </c>
      <c r="H245">
        <v>1376.8817139</v>
      </c>
      <c r="I245">
        <v>1250.9998779</v>
      </c>
      <c r="J245">
        <v>1211.5355225000001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40.135235999999999</v>
      </c>
      <c r="B246" s="1">
        <f>DATE(2010,6,10) + TIME(3,14,44)</f>
        <v>40339.135231481479</v>
      </c>
      <c r="C246">
        <v>80</v>
      </c>
      <c r="D246">
        <v>79.904762267999999</v>
      </c>
      <c r="E246">
        <v>50</v>
      </c>
      <c r="F246">
        <v>14.997247696000001</v>
      </c>
      <c r="G246">
        <v>1390.7081298999999</v>
      </c>
      <c r="H246">
        <v>1376.8031006000001</v>
      </c>
      <c r="I246">
        <v>1251.0092772999999</v>
      </c>
      <c r="J246">
        <v>1211.5445557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40.643999999999998</v>
      </c>
      <c r="B247" s="1">
        <f>DATE(2010,6,10) + TIME(15,27,21)</f>
        <v>40339.643993055557</v>
      </c>
      <c r="C247">
        <v>80</v>
      </c>
      <c r="D247">
        <v>79.904830933</v>
      </c>
      <c r="E247">
        <v>50</v>
      </c>
      <c r="F247">
        <v>14.997266768999999</v>
      </c>
      <c r="G247">
        <v>1390.6246338000001</v>
      </c>
      <c r="H247">
        <v>1376.7246094</v>
      </c>
      <c r="I247">
        <v>1251.0187988</v>
      </c>
      <c r="J247">
        <v>1211.5535889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41.160257999999999</v>
      </c>
      <c r="B248" s="1">
        <f>DATE(2010,6,11) + TIME(3,50,46)</f>
        <v>40340.160254629627</v>
      </c>
      <c r="C248">
        <v>80</v>
      </c>
      <c r="D248">
        <v>79.904899596999996</v>
      </c>
      <c r="E248">
        <v>50</v>
      </c>
      <c r="F248">
        <v>14.997285843</v>
      </c>
      <c r="G248">
        <v>1390.5408935999999</v>
      </c>
      <c r="H248">
        <v>1376.6459961</v>
      </c>
      <c r="I248">
        <v>1251.0285644999999</v>
      </c>
      <c r="J248">
        <v>1211.5629882999999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41.684874000000001</v>
      </c>
      <c r="B249" s="1">
        <f>DATE(2010,6,11) + TIME(16,26,13)</f>
        <v>40340.684872685182</v>
      </c>
      <c r="C249">
        <v>80</v>
      </c>
      <c r="D249">
        <v>79.904975891000007</v>
      </c>
      <c r="E249">
        <v>50</v>
      </c>
      <c r="F249">
        <v>14.997304915999999</v>
      </c>
      <c r="G249">
        <v>1390.4569091999999</v>
      </c>
      <c r="H249">
        <v>1376.5672606999999</v>
      </c>
      <c r="I249">
        <v>1251.0385742000001</v>
      </c>
      <c r="J249">
        <v>1211.5723877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42.218888</v>
      </c>
      <c r="B250" s="1">
        <f>DATE(2010,6,12) + TIME(5,15,11)</f>
        <v>40341.218877314815</v>
      </c>
      <c r="C250">
        <v>80</v>
      </c>
      <c r="D250">
        <v>79.905052185000002</v>
      </c>
      <c r="E250">
        <v>50</v>
      </c>
      <c r="F250">
        <v>14.99732399</v>
      </c>
      <c r="G250">
        <v>1390.3726807</v>
      </c>
      <c r="H250">
        <v>1376.4881591999999</v>
      </c>
      <c r="I250">
        <v>1251.0487060999999</v>
      </c>
      <c r="J250">
        <v>1211.5821533000001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42.763418000000001</v>
      </c>
      <c r="B251" s="1">
        <f>DATE(2010,6,12) + TIME(18,19,19)</f>
        <v>40341.763414351852</v>
      </c>
      <c r="C251">
        <v>80</v>
      </c>
      <c r="D251">
        <v>79.905128478999998</v>
      </c>
      <c r="E251">
        <v>50</v>
      </c>
      <c r="F251">
        <v>14.997343063000001</v>
      </c>
      <c r="G251">
        <v>1390.2879639</v>
      </c>
      <c r="H251">
        <v>1376.4085693</v>
      </c>
      <c r="I251">
        <v>1251.0592041</v>
      </c>
      <c r="J251">
        <v>1211.5920410000001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43.038896000000001</v>
      </c>
      <c r="B252" s="1">
        <f>DATE(2010,6,13) + TIME(0,56,0)</f>
        <v>40342.038888888892</v>
      </c>
      <c r="C252">
        <v>80</v>
      </c>
      <c r="D252">
        <v>79.905151367000002</v>
      </c>
      <c r="E252">
        <v>50</v>
      </c>
      <c r="F252">
        <v>14.997356415</v>
      </c>
      <c r="G252">
        <v>1390.2020264</v>
      </c>
      <c r="H252">
        <v>1376.3278809000001</v>
      </c>
      <c r="I252">
        <v>1251.0692139</v>
      </c>
      <c r="J252">
        <v>1211.6015625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43.314373000000003</v>
      </c>
      <c r="B253" s="1">
        <f>DATE(2010,6,13) + TIME(7,32,41)</f>
        <v>40342.314363425925</v>
      </c>
      <c r="C253">
        <v>80</v>
      </c>
      <c r="D253">
        <v>79.905174255000006</v>
      </c>
      <c r="E253">
        <v>50</v>
      </c>
      <c r="F253">
        <v>14.997367859000001</v>
      </c>
      <c r="G253">
        <v>1390.1569824000001</v>
      </c>
      <c r="H253">
        <v>1376.2855225000001</v>
      </c>
      <c r="I253">
        <v>1251.0743408000001</v>
      </c>
      <c r="J253">
        <v>1211.6064452999999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43.589851000000003</v>
      </c>
      <c r="B254" s="1">
        <f>DATE(2010,6,13) + TIME(14,9,23)</f>
        <v>40342.589849537035</v>
      </c>
      <c r="C254">
        <v>80</v>
      </c>
      <c r="D254">
        <v>79.905197143999999</v>
      </c>
      <c r="E254">
        <v>50</v>
      </c>
      <c r="F254">
        <v>14.997378349</v>
      </c>
      <c r="G254">
        <v>1390.1157227000001</v>
      </c>
      <c r="H254">
        <v>1376.2467041</v>
      </c>
      <c r="I254">
        <v>1251.0802002</v>
      </c>
      <c r="J254">
        <v>1211.6119385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43.865329000000003</v>
      </c>
      <c r="B255" s="1">
        <f>DATE(2010,6,13) + TIME(20,46,4)</f>
        <v>40342.865324074075</v>
      </c>
      <c r="C255">
        <v>80</v>
      </c>
      <c r="D255">
        <v>79.905227660999998</v>
      </c>
      <c r="E255">
        <v>50</v>
      </c>
      <c r="F255">
        <v>14.997388839999999</v>
      </c>
      <c r="G255">
        <v>1390.0734863</v>
      </c>
      <c r="H255">
        <v>1376.2071533000001</v>
      </c>
      <c r="I255">
        <v>1251.0856934000001</v>
      </c>
      <c r="J255">
        <v>1211.6171875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44.140807000000002</v>
      </c>
      <c r="B256" s="1">
        <f>DATE(2010,6,14) + TIME(3,22,45)</f>
        <v>40343.140798611108</v>
      </c>
      <c r="C256">
        <v>80</v>
      </c>
      <c r="D256">
        <v>79.905258179</v>
      </c>
      <c r="E256">
        <v>50</v>
      </c>
      <c r="F256">
        <v>14.99739933</v>
      </c>
      <c r="G256">
        <v>1390.0313721</v>
      </c>
      <c r="H256">
        <v>1376.1676024999999</v>
      </c>
      <c r="I256">
        <v>1251.0911865</v>
      </c>
      <c r="J256">
        <v>1211.6224365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44.416285000000002</v>
      </c>
      <c r="B257" s="1">
        <f>DATE(2010,6,14) + TIME(9,59,27)</f>
        <v>40343.416284722225</v>
      </c>
      <c r="C257">
        <v>80</v>
      </c>
      <c r="D257">
        <v>79.905311584000003</v>
      </c>
      <c r="E257">
        <v>50</v>
      </c>
      <c r="F257">
        <v>14.997409821</v>
      </c>
      <c r="G257">
        <v>1389.9908447</v>
      </c>
      <c r="H257">
        <v>1376.1296387</v>
      </c>
      <c r="I257">
        <v>1251.0970459</v>
      </c>
      <c r="J257">
        <v>1211.6280518000001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44.691763000000002</v>
      </c>
      <c r="B258" s="1">
        <f>DATE(2010,6,14) + TIME(16,36,8)</f>
        <v>40343.691759259258</v>
      </c>
      <c r="C258">
        <v>80</v>
      </c>
      <c r="D258">
        <v>79.905357361</v>
      </c>
      <c r="E258">
        <v>50</v>
      </c>
      <c r="F258">
        <v>14.997419357</v>
      </c>
      <c r="G258">
        <v>1389.9479980000001</v>
      </c>
      <c r="H258">
        <v>1376.0894774999999</v>
      </c>
      <c r="I258">
        <v>1251.1021728999999</v>
      </c>
      <c r="J258">
        <v>1211.6329346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44.967241000000001</v>
      </c>
      <c r="B259" s="1">
        <f>DATE(2010,6,14) + TIME(23,12,49)</f>
        <v>40343.967233796298</v>
      </c>
      <c r="C259">
        <v>80</v>
      </c>
      <c r="D259">
        <v>79.905403136999993</v>
      </c>
      <c r="E259">
        <v>50</v>
      </c>
      <c r="F259">
        <v>14.997428894</v>
      </c>
      <c r="G259">
        <v>1389.9066161999999</v>
      </c>
      <c r="H259">
        <v>1376.0505370999999</v>
      </c>
      <c r="I259">
        <v>1251.1076660000001</v>
      </c>
      <c r="J259">
        <v>1211.6380615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45.242719000000001</v>
      </c>
      <c r="B260" s="1">
        <f>DATE(2010,6,15) + TIME(5,49,30)</f>
        <v>40344.242708333331</v>
      </c>
      <c r="C260">
        <v>80</v>
      </c>
      <c r="D260">
        <v>79.905426024999997</v>
      </c>
      <c r="E260">
        <v>50</v>
      </c>
      <c r="F260">
        <v>14.997438431000001</v>
      </c>
      <c r="G260">
        <v>1389.8642577999999</v>
      </c>
      <c r="H260">
        <v>1376.0107422000001</v>
      </c>
      <c r="I260">
        <v>1251.112793</v>
      </c>
      <c r="J260">
        <v>1211.6429443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45.518197000000001</v>
      </c>
      <c r="B261" s="1">
        <f>DATE(2010,6,15) + TIME(12,26,12)</f>
        <v>40344.518194444441</v>
      </c>
      <c r="C261">
        <v>80</v>
      </c>
      <c r="D261">
        <v>79.905456543</v>
      </c>
      <c r="E261">
        <v>50</v>
      </c>
      <c r="F261">
        <v>14.997447967999999</v>
      </c>
      <c r="G261">
        <v>1389.824707</v>
      </c>
      <c r="H261">
        <v>1375.9736327999999</v>
      </c>
      <c r="I261">
        <v>1251.1186522999999</v>
      </c>
      <c r="J261">
        <v>1211.6485596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46.069153</v>
      </c>
      <c r="B262" s="1">
        <f>DATE(2010,6,16) + TIME(1,39,34)</f>
        <v>40345.069143518522</v>
      </c>
      <c r="C262">
        <v>80</v>
      </c>
      <c r="D262">
        <v>79.905563353999995</v>
      </c>
      <c r="E262">
        <v>50</v>
      </c>
      <c r="F262">
        <v>14.997463226000001</v>
      </c>
      <c r="G262">
        <v>1389.7856445</v>
      </c>
      <c r="H262">
        <v>1375.9372559000001</v>
      </c>
      <c r="I262">
        <v>1251.125</v>
      </c>
      <c r="J262">
        <v>1211.6546631000001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46.621377000000003</v>
      </c>
      <c r="B263" s="1">
        <f>DATE(2010,6,16) + TIME(14,54,46)</f>
        <v>40345.621365740742</v>
      </c>
      <c r="C263">
        <v>80</v>
      </c>
      <c r="D263">
        <v>79.905654906999999</v>
      </c>
      <c r="E263">
        <v>50</v>
      </c>
      <c r="F263">
        <v>14.997479438999999</v>
      </c>
      <c r="G263">
        <v>1389.7050781</v>
      </c>
      <c r="H263">
        <v>1375.8615723</v>
      </c>
      <c r="I263">
        <v>1251.1358643000001</v>
      </c>
      <c r="J263">
        <v>1211.6649170000001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47.178019999999997</v>
      </c>
      <c r="B264" s="1">
        <f>DATE(2010,6,17) + TIME(4,16,20)</f>
        <v>40346.17800925926</v>
      </c>
      <c r="C264">
        <v>80</v>
      </c>
      <c r="D264">
        <v>79.905738830999994</v>
      </c>
      <c r="E264">
        <v>50</v>
      </c>
      <c r="F264">
        <v>14.997495650999999</v>
      </c>
      <c r="G264">
        <v>1389.6252440999999</v>
      </c>
      <c r="H264">
        <v>1375.7868652</v>
      </c>
      <c r="I264">
        <v>1251.1469727000001</v>
      </c>
      <c r="J264">
        <v>1211.6755370999999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47.739807999999996</v>
      </c>
      <c r="B265" s="1">
        <f>DATE(2010,6,17) + TIME(17,45,19)</f>
        <v>40346.739803240744</v>
      </c>
      <c r="C265">
        <v>80</v>
      </c>
      <c r="D265">
        <v>79.905822753999999</v>
      </c>
      <c r="E265">
        <v>50</v>
      </c>
      <c r="F265">
        <v>14.997513770999999</v>
      </c>
      <c r="G265">
        <v>1389.5458983999999</v>
      </c>
      <c r="H265">
        <v>1375.7124022999999</v>
      </c>
      <c r="I265">
        <v>1251.1583252</v>
      </c>
      <c r="J265">
        <v>1211.6862793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48.307628999999999</v>
      </c>
      <c r="B266" s="1">
        <f>DATE(2010,6,18) + TIME(7,22,59)</f>
        <v>40347.307627314818</v>
      </c>
      <c r="C266">
        <v>80</v>
      </c>
      <c r="D266">
        <v>79.905906677000004</v>
      </c>
      <c r="E266">
        <v>50</v>
      </c>
      <c r="F266">
        <v>14.997531891</v>
      </c>
      <c r="G266">
        <v>1389.4665527</v>
      </c>
      <c r="H266">
        <v>1375.6381836</v>
      </c>
      <c r="I266">
        <v>1251.1699219</v>
      </c>
      <c r="J266">
        <v>1211.6972656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48.882592000000002</v>
      </c>
      <c r="B267" s="1">
        <f>DATE(2010,6,18) + TIME(21,10,55)</f>
        <v>40347.882581018515</v>
      </c>
      <c r="C267">
        <v>80</v>
      </c>
      <c r="D267">
        <v>79.905982971</v>
      </c>
      <c r="E267">
        <v>50</v>
      </c>
      <c r="F267">
        <v>14.997550011</v>
      </c>
      <c r="G267">
        <v>1389.3873291</v>
      </c>
      <c r="H267">
        <v>1375.5639647999999</v>
      </c>
      <c r="I267">
        <v>1251.1815185999999</v>
      </c>
      <c r="J267">
        <v>1211.7082519999999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49.465620999999999</v>
      </c>
      <c r="B268" s="1">
        <f>DATE(2010,6,19) + TIME(11,10,29)</f>
        <v>40348.465613425928</v>
      </c>
      <c r="C268">
        <v>80</v>
      </c>
      <c r="D268">
        <v>79.906066894999995</v>
      </c>
      <c r="E268">
        <v>50</v>
      </c>
      <c r="F268">
        <v>14.997568129999999</v>
      </c>
      <c r="G268">
        <v>1389.3079834</v>
      </c>
      <c r="H268">
        <v>1375.489624</v>
      </c>
      <c r="I268">
        <v>1251.1934814000001</v>
      </c>
      <c r="J268">
        <v>1211.7196045000001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50.057581999999996</v>
      </c>
      <c r="B269" s="1">
        <f>DATE(2010,6,20) + TIME(1,22,55)</f>
        <v>40349.057581018518</v>
      </c>
      <c r="C269">
        <v>80</v>
      </c>
      <c r="D269">
        <v>79.906150818</v>
      </c>
      <c r="E269">
        <v>50</v>
      </c>
      <c r="F269">
        <v>14.997586249999999</v>
      </c>
      <c r="G269">
        <v>1389.2283935999999</v>
      </c>
      <c r="H269">
        <v>1375.4151611</v>
      </c>
      <c r="I269">
        <v>1251.2056885</v>
      </c>
      <c r="J269">
        <v>1211.7310791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50.659545999999999</v>
      </c>
      <c r="B270" s="1">
        <f>DATE(2010,6,20) + TIME(15,49,44)</f>
        <v>40349.659537037034</v>
      </c>
      <c r="C270">
        <v>80</v>
      </c>
      <c r="D270">
        <v>79.906242371000005</v>
      </c>
      <c r="E270">
        <v>50</v>
      </c>
      <c r="F270">
        <v>14.997604369999999</v>
      </c>
      <c r="G270">
        <v>1389.1485596</v>
      </c>
      <c r="H270">
        <v>1375.340332</v>
      </c>
      <c r="I270">
        <v>1251.2180175999999</v>
      </c>
      <c r="J270">
        <v>1211.7429199000001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51.272803000000003</v>
      </c>
      <c r="B271" s="1">
        <f>DATE(2010,6,21) + TIME(6,32,50)</f>
        <v>40350.272800925923</v>
      </c>
      <c r="C271">
        <v>80</v>
      </c>
      <c r="D271">
        <v>79.906326293999996</v>
      </c>
      <c r="E271">
        <v>50</v>
      </c>
      <c r="F271">
        <v>14.997623444</v>
      </c>
      <c r="G271">
        <v>1389.0682373</v>
      </c>
      <c r="H271">
        <v>1375.2651367000001</v>
      </c>
      <c r="I271">
        <v>1251.2308350000001</v>
      </c>
      <c r="J271">
        <v>1211.7548827999999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51.583092999999998</v>
      </c>
      <c r="B272" s="1">
        <f>DATE(2010,6,21) + TIME(13,59,39)</f>
        <v>40350.583090277774</v>
      </c>
      <c r="C272">
        <v>80</v>
      </c>
      <c r="D272">
        <v>79.906364440999994</v>
      </c>
      <c r="E272">
        <v>50</v>
      </c>
      <c r="F272">
        <v>14.997635840999999</v>
      </c>
      <c r="G272">
        <v>1388.9868164</v>
      </c>
      <c r="H272">
        <v>1375.1889647999999</v>
      </c>
      <c r="I272">
        <v>1251.2431641000001</v>
      </c>
      <c r="J272">
        <v>1211.7666016000001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51.893383999999998</v>
      </c>
      <c r="B273" s="1">
        <f>DATE(2010,6,21) + TIME(21,26,28)</f>
        <v>40350.893379629626</v>
      </c>
      <c r="C273">
        <v>80</v>
      </c>
      <c r="D273">
        <v>79.906402588000006</v>
      </c>
      <c r="E273">
        <v>50</v>
      </c>
      <c r="F273">
        <v>14.997647284999999</v>
      </c>
      <c r="G273">
        <v>1388.9453125</v>
      </c>
      <c r="H273">
        <v>1375.1500243999999</v>
      </c>
      <c r="I273">
        <v>1251.25</v>
      </c>
      <c r="J273">
        <v>1211.7730713000001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52.203611000000002</v>
      </c>
      <c r="B274" s="1">
        <f>DATE(2010,6,22) + TIME(4,53,11)</f>
        <v>40351.203599537039</v>
      </c>
      <c r="C274">
        <v>80</v>
      </c>
      <c r="D274">
        <v>79.906448363999999</v>
      </c>
      <c r="E274">
        <v>50</v>
      </c>
      <c r="F274">
        <v>14.997657776</v>
      </c>
      <c r="G274">
        <v>1388.9049072</v>
      </c>
      <c r="H274">
        <v>1375.1121826000001</v>
      </c>
      <c r="I274">
        <v>1251.2565918</v>
      </c>
      <c r="J274">
        <v>1211.7794189000001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52.513796999999997</v>
      </c>
      <c r="B275" s="1">
        <f>DATE(2010,6,22) + TIME(12,19,52)</f>
        <v>40351.513796296298</v>
      </c>
      <c r="C275">
        <v>80</v>
      </c>
      <c r="D275">
        <v>79.906486510999997</v>
      </c>
      <c r="E275">
        <v>50</v>
      </c>
      <c r="F275">
        <v>14.997668266</v>
      </c>
      <c r="G275">
        <v>1388.8647461</v>
      </c>
      <c r="H275">
        <v>1375.0744629000001</v>
      </c>
      <c r="I275">
        <v>1251.2633057</v>
      </c>
      <c r="J275">
        <v>1211.7856445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52.823984000000003</v>
      </c>
      <c r="B276" s="1">
        <f>DATE(2010,6,22) + TIME(19,46,32)</f>
        <v>40351.823981481481</v>
      </c>
      <c r="C276">
        <v>80</v>
      </c>
      <c r="D276">
        <v>79.906532287999994</v>
      </c>
      <c r="E276">
        <v>50</v>
      </c>
      <c r="F276">
        <v>14.997678756999999</v>
      </c>
      <c r="G276">
        <v>1388.8248291</v>
      </c>
      <c r="H276">
        <v>1375.0371094</v>
      </c>
      <c r="I276">
        <v>1251.2700195</v>
      </c>
      <c r="J276">
        <v>1211.7919922000001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53.134169999999997</v>
      </c>
      <c r="B277" s="1">
        <f>DATE(2010,6,23) + TIME(3,13,12)</f>
        <v>40352.134166666663</v>
      </c>
      <c r="C277">
        <v>80</v>
      </c>
      <c r="D277">
        <v>79.906578064000001</v>
      </c>
      <c r="E277">
        <v>50</v>
      </c>
      <c r="F277">
        <v>14.997688293</v>
      </c>
      <c r="G277">
        <v>1388.7850341999999</v>
      </c>
      <c r="H277">
        <v>1374.9998779</v>
      </c>
      <c r="I277">
        <v>1251.2767334</v>
      </c>
      <c r="J277">
        <v>1211.7983397999999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53.444356999999997</v>
      </c>
      <c r="B278" s="1">
        <f>DATE(2010,6,23) + TIME(10,39,52)</f>
        <v>40352.444351851853</v>
      </c>
      <c r="C278">
        <v>80</v>
      </c>
      <c r="D278">
        <v>79.906623839999995</v>
      </c>
      <c r="E278">
        <v>50</v>
      </c>
      <c r="F278">
        <v>14.99769783</v>
      </c>
      <c r="G278">
        <v>1388.7456055</v>
      </c>
      <c r="H278">
        <v>1374.9628906</v>
      </c>
      <c r="I278">
        <v>1251.2834473</v>
      </c>
      <c r="J278">
        <v>1211.8046875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53.754544000000003</v>
      </c>
      <c r="B279" s="1">
        <f>DATE(2010,6,23) + TIME(18,6,32)</f>
        <v>40352.754537037035</v>
      </c>
      <c r="C279">
        <v>80</v>
      </c>
      <c r="D279">
        <v>79.906661987000007</v>
      </c>
      <c r="E279">
        <v>50</v>
      </c>
      <c r="F279">
        <v>14.997707367</v>
      </c>
      <c r="G279">
        <v>1388.7062988</v>
      </c>
      <c r="H279">
        <v>1374.9261475000001</v>
      </c>
      <c r="I279">
        <v>1251.2901611</v>
      </c>
      <c r="J279">
        <v>1211.8111572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54.064729999999997</v>
      </c>
      <c r="B280" s="1">
        <f>DATE(2010,6,24) + TIME(1,33,12)</f>
        <v>40353.064722222225</v>
      </c>
      <c r="C280">
        <v>80</v>
      </c>
      <c r="D280">
        <v>79.906707764000004</v>
      </c>
      <c r="E280">
        <v>50</v>
      </c>
      <c r="F280">
        <v>14.99771595</v>
      </c>
      <c r="G280">
        <v>1388.6672363</v>
      </c>
      <c r="H280">
        <v>1374.8895264</v>
      </c>
      <c r="I280">
        <v>1251.2969971</v>
      </c>
      <c r="J280">
        <v>1211.8175048999999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54.685104000000003</v>
      </c>
      <c r="B281" s="1">
        <f>DATE(2010,6,24) + TIME(16,26,32)</f>
        <v>40353.68509259259</v>
      </c>
      <c r="C281">
        <v>80</v>
      </c>
      <c r="D281">
        <v>79.906806946000003</v>
      </c>
      <c r="E281">
        <v>50</v>
      </c>
      <c r="F281">
        <v>14.997730255</v>
      </c>
      <c r="G281">
        <v>1388.6291504000001</v>
      </c>
      <c r="H281">
        <v>1374.854126</v>
      </c>
      <c r="I281">
        <v>1251.3043213000001</v>
      </c>
      <c r="J281">
        <v>1211.8244629000001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55.306136000000002</v>
      </c>
      <c r="B282" s="1">
        <f>DATE(2010,6,25) + TIME(7,20,50)</f>
        <v>40354.306134259263</v>
      </c>
      <c r="C282">
        <v>80</v>
      </c>
      <c r="D282">
        <v>79.906898498999993</v>
      </c>
      <c r="E282">
        <v>50</v>
      </c>
      <c r="F282">
        <v>14.997745514</v>
      </c>
      <c r="G282">
        <v>1388.5526123</v>
      </c>
      <c r="H282">
        <v>1374.7824707</v>
      </c>
      <c r="I282">
        <v>1251.3178711</v>
      </c>
      <c r="J282">
        <v>1211.8372803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55.931683</v>
      </c>
      <c r="B283" s="1">
        <f>DATE(2010,6,25) + TIME(22,21,37)</f>
        <v>40354.93167824074</v>
      </c>
      <c r="C283">
        <v>80</v>
      </c>
      <c r="D283">
        <v>79.906990050999994</v>
      </c>
      <c r="E283">
        <v>50</v>
      </c>
      <c r="F283">
        <v>14.997762679999999</v>
      </c>
      <c r="G283">
        <v>1388.4763184000001</v>
      </c>
      <c r="H283">
        <v>1374.7111815999999</v>
      </c>
      <c r="I283">
        <v>1251.331543</v>
      </c>
      <c r="J283">
        <v>1211.8502197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56.562686999999997</v>
      </c>
      <c r="B284" s="1">
        <f>DATE(2010,6,26) + TIME(13,30,16)</f>
        <v>40355.562685185185</v>
      </c>
      <c r="C284">
        <v>80</v>
      </c>
      <c r="D284">
        <v>79.907081603999998</v>
      </c>
      <c r="E284">
        <v>50</v>
      </c>
      <c r="F284">
        <v>14.997779846</v>
      </c>
      <c r="G284">
        <v>1388.4002685999999</v>
      </c>
      <c r="H284">
        <v>1374.6400146000001</v>
      </c>
      <c r="I284">
        <v>1251.3454589999999</v>
      </c>
      <c r="J284">
        <v>1211.8634033000001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57.200150999999998</v>
      </c>
      <c r="B285" s="1">
        <f>DATE(2010,6,27) + TIME(4,48,13)</f>
        <v>40356.200150462966</v>
      </c>
      <c r="C285">
        <v>80</v>
      </c>
      <c r="D285">
        <v>79.907173157000003</v>
      </c>
      <c r="E285">
        <v>50</v>
      </c>
      <c r="F285">
        <v>14.997797011999999</v>
      </c>
      <c r="G285">
        <v>1388.3244629000001</v>
      </c>
      <c r="H285">
        <v>1374.5690918</v>
      </c>
      <c r="I285">
        <v>1251.3596190999999</v>
      </c>
      <c r="J285">
        <v>1211.8767089999999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57.845326</v>
      </c>
      <c r="B286" s="1">
        <f>DATE(2010,6,27) + TIME(20,17,16)</f>
        <v>40356.845324074071</v>
      </c>
      <c r="C286">
        <v>80</v>
      </c>
      <c r="D286">
        <v>79.907264709000003</v>
      </c>
      <c r="E286">
        <v>50</v>
      </c>
      <c r="F286">
        <v>14.997815131999999</v>
      </c>
      <c r="G286">
        <v>1388.2485352000001</v>
      </c>
      <c r="H286">
        <v>1374.4980469</v>
      </c>
      <c r="I286">
        <v>1251.3740233999999</v>
      </c>
      <c r="J286">
        <v>1211.8902588000001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58.499250000000004</v>
      </c>
      <c r="B287" s="1">
        <f>DATE(2010,6,28) + TIME(11,58,55)</f>
        <v>40357.499247685184</v>
      </c>
      <c r="C287">
        <v>80</v>
      </c>
      <c r="D287">
        <v>79.907363892000006</v>
      </c>
      <c r="E287">
        <v>50</v>
      </c>
      <c r="F287">
        <v>14.997833252</v>
      </c>
      <c r="G287">
        <v>1388.1726074000001</v>
      </c>
      <c r="H287">
        <v>1374.4270019999999</v>
      </c>
      <c r="I287">
        <v>1251.3886719</v>
      </c>
      <c r="J287">
        <v>1211.9040527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59.162942000000001</v>
      </c>
      <c r="B288" s="1">
        <f>DATE(2010,6,29) + TIME(3,54,38)</f>
        <v>40358.162939814814</v>
      </c>
      <c r="C288">
        <v>80</v>
      </c>
      <c r="D288">
        <v>79.907455443999993</v>
      </c>
      <c r="E288">
        <v>50</v>
      </c>
      <c r="F288">
        <v>14.997851372</v>
      </c>
      <c r="G288">
        <v>1388.0963135</v>
      </c>
      <c r="H288">
        <v>1374.3558350000001</v>
      </c>
      <c r="I288">
        <v>1251.4035644999999</v>
      </c>
      <c r="J288">
        <v>1211.9180908000001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59.835693999999997</v>
      </c>
      <c r="B289" s="1">
        <f>DATE(2010,6,29) + TIME(20,3,23)</f>
        <v>40358.835682870369</v>
      </c>
      <c r="C289">
        <v>80</v>
      </c>
      <c r="D289">
        <v>79.907554626000007</v>
      </c>
      <c r="E289">
        <v>50</v>
      </c>
      <c r="F289">
        <v>14.997869492</v>
      </c>
      <c r="G289">
        <v>1388.0197754000001</v>
      </c>
      <c r="H289">
        <v>1374.2843018000001</v>
      </c>
      <c r="I289">
        <v>1251.4188231999999</v>
      </c>
      <c r="J289">
        <v>1211.9324951000001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60.513458999999997</v>
      </c>
      <c r="B290" s="1">
        <f>DATE(2010,6,30) + TIME(12,19,22)</f>
        <v>40359.513449074075</v>
      </c>
      <c r="C290">
        <v>80</v>
      </c>
      <c r="D290">
        <v>79.907653808999996</v>
      </c>
      <c r="E290">
        <v>50</v>
      </c>
      <c r="F290">
        <v>14.997887610999999</v>
      </c>
      <c r="G290">
        <v>1387.9429932</v>
      </c>
      <c r="H290">
        <v>1374.2125243999999</v>
      </c>
      <c r="I290">
        <v>1251.4344481999999</v>
      </c>
      <c r="J290">
        <v>1211.9471435999999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61</v>
      </c>
      <c r="B291" s="1">
        <f>DATE(2010,7,1) + TIME(0,0,0)</f>
        <v>40360</v>
      </c>
      <c r="C291">
        <v>80</v>
      </c>
      <c r="D291">
        <v>79.907714843999997</v>
      </c>
      <c r="E291">
        <v>50</v>
      </c>
      <c r="F291">
        <v>14.997902870000001</v>
      </c>
      <c r="G291">
        <v>1387.8662108999999</v>
      </c>
      <c r="H291">
        <v>1374.1405029</v>
      </c>
      <c r="I291">
        <v>1251.4498291</v>
      </c>
      <c r="J291">
        <v>1211.9616699000001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61.681680999999998</v>
      </c>
      <c r="B292" s="1">
        <f>DATE(2010,7,1) + TIME(16,21,37)</f>
        <v>40360.68167824074</v>
      </c>
      <c r="C292">
        <v>80</v>
      </c>
      <c r="D292">
        <v>79.907821655000006</v>
      </c>
      <c r="E292">
        <v>50</v>
      </c>
      <c r="F292">
        <v>14.997920036</v>
      </c>
      <c r="G292">
        <v>1387.8117675999999</v>
      </c>
      <c r="H292">
        <v>1374.0897216999999</v>
      </c>
      <c r="I292">
        <v>1251.4616699000001</v>
      </c>
      <c r="J292">
        <v>1211.9727783000001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62.366782000000001</v>
      </c>
      <c r="B293" s="1">
        <f>DATE(2010,7,2) + TIME(8,48,9)</f>
        <v>40361.366770833331</v>
      </c>
      <c r="C293">
        <v>80</v>
      </c>
      <c r="D293">
        <v>79.907920837000006</v>
      </c>
      <c r="E293">
        <v>50</v>
      </c>
      <c r="F293">
        <v>14.997937201999999</v>
      </c>
      <c r="G293">
        <v>1387.7363281</v>
      </c>
      <c r="H293">
        <v>1374.0192870999999</v>
      </c>
      <c r="I293">
        <v>1251.4777832</v>
      </c>
      <c r="J293">
        <v>1211.9879149999999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63.052843000000003</v>
      </c>
      <c r="B294" s="1">
        <f>DATE(2010,7,3) + TIME(1,16,5)</f>
        <v>40362.052835648145</v>
      </c>
      <c r="C294">
        <v>80</v>
      </c>
      <c r="D294">
        <v>79.908020019999995</v>
      </c>
      <c r="E294">
        <v>50</v>
      </c>
      <c r="F294">
        <v>14.997955321999999</v>
      </c>
      <c r="G294">
        <v>1387.6611327999999</v>
      </c>
      <c r="H294">
        <v>1373.9488524999999</v>
      </c>
      <c r="I294">
        <v>1251.4940185999999</v>
      </c>
      <c r="J294">
        <v>1212.0032959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63.740994000000001</v>
      </c>
      <c r="B295" s="1">
        <f>DATE(2010,7,3) + TIME(17,47,1)</f>
        <v>40362.740983796299</v>
      </c>
      <c r="C295">
        <v>80</v>
      </c>
      <c r="D295">
        <v>79.908119201999995</v>
      </c>
      <c r="E295">
        <v>50</v>
      </c>
      <c r="F295">
        <v>14.997972488</v>
      </c>
      <c r="G295">
        <v>1387.5865478999999</v>
      </c>
      <c r="H295">
        <v>1373.8791504000001</v>
      </c>
      <c r="I295">
        <v>1251.5104980000001</v>
      </c>
      <c r="J295">
        <v>1212.0186768000001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64.432349000000002</v>
      </c>
      <c r="B296" s="1">
        <f>DATE(2010,7,4) + TIME(10,22,34)</f>
        <v>40363.432337962964</v>
      </c>
      <c r="C296">
        <v>80</v>
      </c>
      <c r="D296">
        <v>79.908218383999994</v>
      </c>
      <c r="E296">
        <v>50</v>
      </c>
      <c r="F296">
        <v>14.997990608</v>
      </c>
      <c r="G296">
        <v>1387.5124512</v>
      </c>
      <c r="H296">
        <v>1373.8099365</v>
      </c>
      <c r="I296">
        <v>1251.5270995999999</v>
      </c>
      <c r="J296">
        <v>1212.0343018000001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65.128018999999995</v>
      </c>
      <c r="B297" s="1">
        <f>DATE(2010,7,5) + TIME(3,4,20)</f>
        <v>40364.128009259257</v>
      </c>
      <c r="C297">
        <v>80</v>
      </c>
      <c r="D297">
        <v>79.908317565999994</v>
      </c>
      <c r="E297">
        <v>50</v>
      </c>
      <c r="F297">
        <v>14.998008728</v>
      </c>
      <c r="G297">
        <v>1387.4388428</v>
      </c>
      <c r="H297">
        <v>1373.7410889</v>
      </c>
      <c r="I297">
        <v>1251.5439452999999</v>
      </c>
      <c r="J297">
        <v>1212.0500488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65.829114000000004</v>
      </c>
      <c r="B298" s="1">
        <f>DATE(2010,7,5) + TIME(19,53,55)</f>
        <v>40364.829108796293</v>
      </c>
      <c r="C298">
        <v>80</v>
      </c>
      <c r="D298">
        <v>79.908416747999993</v>
      </c>
      <c r="E298">
        <v>50</v>
      </c>
      <c r="F298">
        <v>14.998026848</v>
      </c>
      <c r="G298">
        <v>1387.3653564000001</v>
      </c>
      <c r="H298">
        <v>1373.6724853999999</v>
      </c>
      <c r="I298">
        <v>1251.5610352000001</v>
      </c>
      <c r="J298">
        <v>1212.0661620999999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66.536769000000007</v>
      </c>
      <c r="B299" s="1">
        <f>DATE(2010,7,6) + TIME(12,52,56)</f>
        <v>40365.536759259259</v>
      </c>
      <c r="C299">
        <v>80</v>
      </c>
      <c r="D299">
        <v>79.908515929999993</v>
      </c>
      <c r="E299">
        <v>50</v>
      </c>
      <c r="F299">
        <v>14.998044014</v>
      </c>
      <c r="G299">
        <v>1387.2922363</v>
      </c>
      <c r="H299">
        <v>1373.6040039</v>
      </c>
      <c r="I299">
        <v>1251.5783690999999</v>
      </c>
      <c r="J299">
        <v>1212.0823975000001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67.251667999999995</v>
      </c>
      <c r="B300" s="1">
        <f>DATE(2010,7,7) + TIME(6,2,24)</f>
        <v>40366.251666666663</v>
      </c>
      <c r="C300">
        <v>80</v>
      </c>
      <c r="D300">
        <v>79.908622742000006</v>
      </c>
      <c r="E300">
        <v>50</v>
      </c>
      <c r="F300">
        <v>14.998062134</v>
      </c>
      <c r="G300">
        <v>1387.2189940999999</v>
      </c>
      <c r="H300">
        <v>1373.5356445</v>
      </c>
      <c r="I300">
        <v>1251.5960693</v>
      </c>
      <c r="J300">
        <v>1212.0988769999999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67.971852999999996</v>
      </c>
      <c r="B301" s="1">
        <f>DATE(2010,7,7) + TIME(23,19,28)</f>
        <v>40366.971851851849</v>
      </c>
      <c r="C301">
        <v>80</v>
      </c>
      <c r="D301">
        <v>79.908721924000005</v>
      </c>
      <c r="E301">
        <v>50</v>
      </c>
      <c r="F301">
        <v>14.998080254</v>
      </c>
      <c r="G301">
        <v>1387.1457519999999</v>
      </c>
      <c r="H301">
        <v>1373.4671631000001</v>
      </c>
      <c r="I301">
        <v>1251.6140137</v>
      </c>
      <c r="J301">
        <v>1212.1157227000001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68.693287999999995</v>
      </c>
      <c r="B302" s="1">
        <f>DATE(2010,7,8) + TIME(16,38,20)</f>
        <v>40367.693287037036</v>
      </c>
      <c r="C302">
        <v>80</v>
      </c>
      <c r="D302">
        <v>79.908828735</v>
      </c>
      <c r="E302">
        <v>50</v>
      </c>
      <c r="F302">
        <v>14.998098372999999</v>
      </c>
      <c r="G302">
        <v>1387.0727539</v>
      </c>
      <c r="H302">
        <v>1373.3989257999999</v>
      </c>
      <c r="I302">
        <v>1251.6322021000001</v>
      </c>
      <c r="J302">
        <v>1212.1328125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69.417174000000003</v>
      </c>
      <c r="B303" s="1">
        <f>DATE(2010,7,9) + TIME(10,0,43)</f>
        <v>40368.417164351849</v>
      </c>
      <c r="C303">
        <v>80</v>
      </c>
      <c r="D303">
        <v>79.908935546999999</v>
      </c>
      <c r="E303">
        <v>50</v>
      </c>
      <c r="F303">
        <v>14.998116492999999</v>
      </c>
      <c r="G303">
        <v>1387.0002440999999</v>
      </c>
      <c r="H303">
        <v>1373.3311768000001</v>
      </c>
      <c r="I303">
        <v>1251.6506348</v>
      </c>
      <c r="J303">
        <v>1212.1500243999999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70.144717</v>
      </c>
      <c r="B304" s="1">
        <f>DATE(2010,7,10) + TIME(3,28,23)</f>
        <v>40369.14471064815</v>
      </c>
      <c r="C304">
        <v>80</v>
      </c>
      <c r="D304">
        <v>79.909034728999998</v>
      </c>
      <c r="E304">
        <v>50</v>
      </c>
      <c r="F304">
        <v>14.998134613</v>
      </c>
      <c r="G304">
        <v>1386.9282227000001</v>
      </c>
      <c r="H304">
        <v>1373.2637939000001</v>
      </c>
      <c r="I304">
        <v>1251.6693115</v>
      </c>
      <c r="J304">
        <v>1212.1674805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70.877117999999996</v>
      </c>
      <c r="B305" s="1">
        <f>DATE(2010,7,10) + TIME(21,3,2)</f>
        <v>40369.877106481479</v>
      </c>
      <c r="C305">
        <v>80</v>
      </c>
      <c r="D305">
        <v>79.909141540999997</v>
      </c>
      <c r="E305">
        <v>50</v>
      </c>
      <c r="F305">
        <v>14.998151779000001</v>
      </c>
      <c r="G305">
        <v>1386.8564452999999</v>
      </c>
      <c r="H305">
        <v>1373.1967772999999</v>
      </c>
      <c r="I305">
        <v>1251.6882324000001</v>
      </c>
      <c r="J305">
        <v>1212.1851807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71.615600000000001</v>
      </c>
      <c r="B306" s="1">
        <f>DATE(2010,7,11) + TIME(14,46,27)</f>
        <v>40370.615590277775</v>
      </c>
      <c r="C306">
        <v>80</v>
      </c>
      <c r="D306">
        <v>79.909248352000006</v>
      </c>
      <c r="E306">
        <v>50</v>
      </c>
      <c r="F306">
        <v>14.998170853</v>
      </c>
      <c r="G306">
        <v>1386.7850341999999</v>
      </c>
      <c r="H306">
        <v>1373.1300048999999</v>
      </c>
      <c r="I306">
        <v>1251.7073975000001</v>
      </c>
      <c r="J306">
        <v>1212.203125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72.361424999999997</v>
      </c>
      <c r="B307" s="1">
        <f>DATE(2010,7,12) + TIME(8,40,27)</f>
        <v>40371.36142361111</v>
      </c>
      <c r="C307">
        <v>80</v>
      </c>
      <c r="D307">
        <v>79.909355164000004</v>
      </c>
      <c r="E307">
        <v>50</v>
      </c>
      <c r="F307">
        <v>14.998188971999999</v>
      </c>
      <c r="G307">
        <v>1386.7136230000001</v>
      </c>
      <c r="H307">
        <v>1373.0632324000001</v>
      </c>
      <c r="I307">
        <v>1251.7270507999999</v>
      </c>
      <c r="J307">
        <v>1212.2213135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73.112229999999997</v>
      </c>
      <c r="B308" s="1">
        <f>DATE(2010,7,13) + TIME(2,41,36)</f>
        <v>40372.112222222226</v>
      </c>
      <c r="C308">
        <v>80</v>
      </c>
      <c r="D308">
        <v>79.909461974999999</v>
      </c>
      <c r="E308">
        <v>50</v>
      </c>
      <c r="F308">
        <v>14.998207091999999</v>
      </c>
      <c r="G308">
        <v>1386.6420897999999</v>
      </c>
      <c r="H308">
        <v>1372.9964600000001</v>
      </c>
      <c r="I308">
        <v>1251.7469481999999</v>
      </c>
      <c r="J308">
        <v>1212.2398682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73.866009000000005</v>
      </c>
      <c r="B309" s="1">
        <f>DATE(2010,7,13) + TIME(20,47,3)</f>
        <v>40372.866006944445</v>
      </c>
      <c r="C309">
        <v>80</v>
      </c>
      <c r="D309">
        <v>79.909576415999993</v>
      </c>
      <c r="E309">
        <v>50</v>
      </c>
      <c r="F309">
        <v>14.998226166</v>
      </c>
      <c r="G309">
        <v>1386.5709228999999</v>
      </c>
      <c r="H309">
        <v>1372.9298096</v>
      </c>
      <c r="I309">
        <v>1251.7670897999999</v>
      </c>
      <c r="J309">
        <v>1212.2587891000001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74.623997000000003</v>
      </c>
      <c r="B310" s="1">
        <f>DATE(2010,7,14) + TIME(14,58,33)</f>
        <v>40373.623993055553</v>
      </c>
      <c r="C310">
        <v>80</v>
      </c>
      <c r="D310">
        <v>79.909683228000006</v>
      </c>
      <c r="E310">
        <v>50</v>
      </c>
      <c r="F310">
        <v>14.998244286</v>
      </c>
      <c r="G310">
        <v>1386.5</v>
      </c>
      <c r="H310">
        <v>1372.8635254000001</v>
      </c>
      <c r="I310">
        <v>1251.7875977000001</v>
      </c>
      <c r="J310">
        <v>1212.277832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75.004891000000001</v>
      </c>
      <c r="B311" s="1">
        <f>DATE(2010,7,15) + TIME(0,7,2)</f>
        <v>40374.004884259259</v>
      </c>
      <c r="C311">
        <v>80</v>
      </c>
      <c r="D311">
        <v>79.909729003999999</v>
      </c>
      <c r="E311">
        <v>50</v>
      </c>
      <c r="F311">
        <v>14.998257637</v>
      </c>
      <c r="G311">
        <v>1386.4290771000001</v>
      </c>
      <c r="H311">
        <v>1372.7971190999999</v>
      </c>
      <c r="I311">
        <v>1251.8078613</v>
      </c>
      <c r="J311">
        <v>1212.2966309000001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75.385784999999998</v>
      </c>
      <c r="B312" s="1">
        <f>DATE(2010,7,15) + TIME(9,15,31)</f>
        <v>40374.385775462964</v>
      </c>
      <c r="C312">
        <v>80</v>
      </c>
      <c r="D312">
        <v>79.909782410000005</v>
      </c>
      <c r="E312">
        <v>50</v>
      </c>
      <c r="F312">
        <v>14.998270035000001</v>
      </c>
      <c r="G312">
        <v>1386.3929443</v>
      </c>
      <c r="H312">
        <v>1372.7634277</v>
      </c>
      <c r="I312">
        <v>1251.8186035000001</v>
      </c>
      <c r="J312">
        <v>1212.3066406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75.766678999999996</v>
      </c>
      <c r="B313" s="1">
        <f>DATE(2010,7,15) + TIME(18,24,1)</f>
        <v>40374.76667824074</v>
      </c>
      <c r="C313">
        <v>80</v>
      </c>
      <c r="D313">
        <v>79.909835814999994</v>
      </c>
      <c r="E313">
        <v>50</v>
      </c>
      <c r="F313">
        <v>14.998281478999999</v>
      </c>
      <c r="G313">
        <v>1386.3577881000001</v>
      </c>
      <c r="H313">
        <v>1372.7304687999999</v>
      </c>
      <c r="I313">
        <v>1251.8292236</v>
      </c>
      <c r="J313">
        <v>1212.3165283000001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76.147574000000006</v>
      </c>
      <c r="B314" s="1">
        <f>DATE(2010,7,16) + TIME(3,32,30)</f>
        <v>40375.147569444445</v>
      </c>
      <c r="C314">
        <v>80</v>
      </c>
      <c r="D314">
        <v>79.909889221</v>
      </c>
      <c r="E314">
        <v>50</v>
      </c>
      <c r="F314">
        <v>14.998291969</v>
      </c>
      <c r="G314">
        <v>1386.322876</v>
      </c>
      <c r="H314">
        <v>1372.6977539</v>
      </c>
      <c r="I314">
        <v>1251.8399658000001</v>
      </c>
      <c r="J314">
        <v>1212.3264160000001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76.528468000000004</v>
      </c>
      <c r="B315" s="1">
        <f>DATE(2010,7,16) + TIME(12,40,59)</f>
        <v>40375.528460648151</v>
      </c>
      <c r="C315">
        <v>80</v>
      </c>
      <c r="D315">
        <v>79.909942627000007</v>
      </c>
      <c r="E315">
        <v>50</v>
      </c>
      <c r="F315">
        <v>14.99830246</v>
      </c>
      <c r="G315">
        <v>1386.2880858999999</v>
      </c>
      <c r="H315">
        <v>1372.6651611</v>
      </c>
      <c r="I315">
        <v>1251.8507079999999</v>
      </c>
      <c r="J315">
        <v>1212.3364257999999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76.909362000000002</v>
      </c>
      <c r="B316" s="1">
        <f>DATE(2010,7,16) + TIME(21,49,28)</f>
        <v>40375.909351851849</v>
      </c>
      <c r="C316">
        <v>80</v>
      </c>
      <c r="D316">
        <v>79.909996032999999</v>
      </c>
      <c r="E316">
        <v>50</v>
      </c>
      <c r="F316">
        <v>14.998312950000001</v>
      </c>
      <c r="G316">
        <v>1386.253418</v>
      </c>
      <c r="H316">
        <v>1372.6326904</v>
      </c>
      <c r="I316">
        <v>1251.8614502</v>
      </c>
      <c r="J316">
        <v>1212.3464355000001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77.290255999999999</v>
      </c>
      <c r="B317" s="1">
        <f>DATE(2010,7,17) + TIME(6,57,58)</f>
        <v>40376.290254629632</v>
      </c>
      <c r="C317">
        <v>80</v>
      </c>
      <c r="D317">
        <v>79.910049438000001</v>
      </c>
      <c r="E317">
        <v>50</v>
      </c>
      <c r="F317">
        <v>14.998323441</v>
      </c>
      <c r="G317">
        <v>1386.2188721</v>
      </c>
      <c r="H317">
        <v>1372.6004639</v>
      </c>
      <c r="I317">
        <v>1251.8723144999999</v>
      </c>
      <c r="J317">
        <v>1212.3564452999999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77.671149999999997</v>
      </c>
      <c r="B318" s="1">
        <f>DATE(2010,7,17) + TIME(16,6,27)</f>
        <v>40376.67114583333</v>
      </c>
      <c r="C318">
        <v>80</v>
      </c>
      <c r="D318">
        <v>79.910102843999994</v>
      </c>
      <c r="E318">
        <v>50</v>
      </c>
      <c r="F318">
        <v>14.998332977</v>
      </c>
      <c r="G318">
        <v>1386.1845702999999</v>
      </c>
      <c r="H318">
        <v>1372.5682373</v>
      </c>
      <c r="I318">
        <v>1251.8831786999999</v>
      </c>
      <c r="J318">
        <v>1212.3665771000001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78.052043999999995</v>
      </c>
      <c r="B319" s="1">
        <f>DATE(2010,7,18) + TIME(1,14,56)</f>
        <v>40377.052037037036</v>
      </c>
      <c r="C319">
        <v>80</v>
      </c>
      <c r="D319">
        <v>79.91015625</v>
      </c>
      <c r="E319">
        <v>50</v>
      </c>
      <c r="F319">
        <v>14.998343468</v>
      </c>
      <c r="G319">
        <v>1386.1503906</v>
      </c>
      <c r="H319">
        <v>1372.5362548999999</v>
      </c>
      <c r="I319">
        <v>1251.8941649999999</v>
      </c>
      <c r="J319">
        <v>1212.3767089999999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78.432939000000005</v>
      </c>
      <c r="B320" s="1">
        <f>DATE(2010,7,18) + TIME(10,23,25)</f>
        <v>40377.432928240742</v>
      </c>
      <c r="C320">
        <v>80</v>
      </c>
      <c r="D320">
        <v>79.910217285000002</v>
      </c>
      <c r="E320">
        <v>50</v>
      </c>
      <c r="F320">
        <v>14.998353957999999</v>
      </c>
      <c r="G320">
        <v>1386.1163329999999</v>
      </c>
      <c r="H320">
        <v>1372.5043945</v>
      </c>
      <c r="I320">
        <v>1251.9051514</v>
      </c>
      <c r="J320">
        <v>1212.3869629000001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78.813833000000002</v>
      </c>
      <c r="B321" s="1">
        <f>DATE(2010,7,18) + TIME(19,31,55)</f>
        <v>40377.813831018517</v>
      </c>
      <c r="C321">
        <v>80</v>
      </c>
      <c r="D321">
        <v>79.910270690999994</v>
      </c>
      <c r="E321">
        <v>50</v>
      </c>
      <c r="F321">
        <v>14.998364449</v>
      </c>
      <c r="G321">
        <v>1386.0823975000001</v>
      </c>
      <c r="H321">
        <v>1372.4726562000001</v>
      </c>
      <c r="I321">
        <v>1251.9161377</v>
      </c>
      <c r="J321">
        <v>1212.3972168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79.575620999999998</v>
      </c>
      <c r="B322" s="1">
        <f>DATE(2010,7,19) + TIME(13,48,53)</f>
        <v>40378.575613425928</v>
      </c>
      <c r="C322">
        <v>80</v>
      </c>
      <c r="D322">
        <v>79.910385132000002</v>
      </c>
      <c r="E322">
        <v>50</v>
      </c>
      <c r="F322">
        <v>14.998379707</v>
      </c>
      <c r="G322">
        <v>1386.0493164</v>
      </c>
      <c r="H322">
        <v>1372.4417725000001</v>
      </c>
      <c r="I322">
        <v>1251.9277344</v>
      </c>
      <c r="J322">
        <v>1212.4079589999999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80.337948999999995</v>
      </c>
      <c r="B323" s="1">
        <f>DATE(2010,7,20) + TIME(8,6,38)</f>
        <v>40379.337939814817</v>
      </c>
      <c r="C323">
        <v>80</v>
      </c>
      <c r="D323">
        <v>79.910499572999996</v>
      </c>
      <c r="E323">
        <v>50</v>
      </c>
      <c r="F323">
        <v>14.998398781000001</v>
      </c>
      <c r="G323">
        <v>1385.9826660000001</v>
      </c>
      <c r="H323">
        <v>1372.3795166</v>
      </c>
      <c r="I323">
        <v>1251.9499512</v>
      </c>
      <c r="J323">
        <v>1212.4284668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81.107810000000001</v>
      </c>
      <c r="B324" s="1">
        <f>DATE(2010,7,21) + TIME(2,35,14)</f>
        <v>40380.107800925929</v>
      </c>
      <c r="C324">
        <v>80</v>
      </c>
      <c r="D324">
        <v>79.910614014000004</v>
      </c>
      <c r="E324">
        <v>50</v>
      </c>
      <c r="F324">
        <v>14.998419761999999</v>
      </c>
      <c r="G324">
        <v>1385.9162598</v>
      </c>
      <c r="H324">
        <v>1372.3172606999999</v>
      </c>
      <c r="I324">
        <v>1251.9724120999999</v>
      </c>
      <c r="J324">
        <v>1212.4493408000001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81.886386999999999</v>
      </c>
      <c r="B325" s="1">
        <f>DATE(2010,7,21) + TIME(21,16,23)</f>
        <v>40380.886377314811</v>
      </c>
      <c r="C325">
        <v>80</v>
      </c>
      <c r="D325">
        <v>79.910720824999999</v>
      </c>
      <c r="E325">
        <v>50</v>
      </c>
      <c r="F325">
        <v>14.998443604</v>
      </c>
      <c r="G325">
        <v>1385.8496094</v>
      </c>
      <c r="H325">
        <v>1372.2550048999999</v>
      </c>
      <c r="I325">
        <v>1251.9954834</v>
      </c>
      <c r="J325">
        <v>1212.4707031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82.674957000000006</v>
      </c>
      <c r="B326" s="1">
        <f>DATE(2010,7,22) + TIME(16,11,56)</f>
        <v>40381.674953703703</v>
      </c>
      <c r="C326">
        <v>80</v>
      </c>
      <c r="D326">
        <v>79.910835266000007</v>
      </c>
      <c r="E326">
        <v>50</v>
      </c>
      <c r="F326">
        <v>14.998468399</v>
      </c>
      <c r="G326">
        <v>1385.7829589999999</v>
      </c>
      <c r="H326">
        <v>1372.1926269999999</v>
      </c>
      <c r="I326">
        <v>1252.0189209</v>
      </c>
      <c r="J326">
        <v>1212.4924315999999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83.474857</v>
      </c>
      <c r="B327" s="1">
        <f>DATE(2010,7,23) + TIME(11,23,47)</f>
        <v>40382.474849537037</v>
      </c>
      <c r="C327">
        <v>80</v>
      </c>
      <c r="D327">
        <v>79.910949707</v>
      </c>
      <c r="E327">
        <v>50</v>
      </c>
      <c r="F327">
        <v>14.998495102</v>
      </c>
      <c r="G327">
        <v>1385.7158202999999</v>
      </c>
      <c r="H327">
        <v>1372.1298827999999</v>
      </c>
      <c r="I327">
        <v>1252.0429687999999</v>
      </c>
      <c r="J327">
        <v>1212.5146483999999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83.878024999999994</v>
      </c>
      <c r="B328" s="1">
        <f>DATE(2010,7,23) + TIME(21,4,21)</f>
        <v>40382.878020833334</v>
      </c>
      <c r="C328">
        <v>80</v>
      </c>
      <c r="D328">
        <v>79.910995482999994</v>
      </c>
      <c r="E328">
        <v>50</v>
      </c>
      <c r="F328">
        <v>14.998515128999999</v>
      </c>
      <c r="G328">
        <v>1385.6480713000001</v>
      </c>
      <c r="H328">
        <v>1372.0664062000001</v>
      </c>
      <c r="I328">
        <v>1252.0671387</v>
      </c>
      <c r="J328">
        <v>1212.5368652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84.281193000000002</v>
      </c>
      <c r="B329" s="1">
        <f>DATE(2010,7,24) + TIME(6,44,55)</f>
        <v>40383.281192129631</v>
      </c>
      <c r="C329">
        <v>80</v>
      </c>
      <c r="D329">
        <v>79.911056518999999</v>
      </c>
      <c r="E329">
        <v>50</v>
      </c>
      <c r="F329">
        <v>14.998534203</v>
      </c>
      <c r="G329">
        <v>1385.6135254000001</v>
      </c>
      <c r="H329">
        <v>1372.0339355000001</v>
      </c>
      <c r="I329">
        <v>1252.0799560999999</v>
      </c>
      <c r="J329">
        <v>1212.5485839999999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84.684360999999996</v>
      </c>
      <c r="B330" s="1">
        <f>DATE(2010,7,24) + TIME(16,25,28)</f>
        <v>40383.684351851851</v>
      </c>
      <c r="C330">
        <v>80</v>
      </c>
      <c r="D330">
        <v>79.911109924000002</v>
      </c>
      <c r="E330">
        <v>50</v>
      </c>
      <c r="F330">
        <v>14.998552322</v>
      </c>
      <c r="G330">
        <v>1385.5798339999999</v>
      </c>
      <c r="H330">
        <v>1372.0024414</v>
      </c>
      <c r="I330">
        <v>1252.0926514</v>
      </c>
      <c r="J330">
        <v>1212.5603027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85.087528000000006</v>
      </c>
      <c r="B331" s="1">
        <f>DATE(2010,7,25) + TIME(2,6,2)</f>
        <v>40384.087523148148</v>
      </c>
      <c r="C331">
        <v>80</v>
      </c>
      <c r="D331">
        <v>79.911140442000004</v>
      </c>
      <c r="E331">
        <v>50</v>
      </c>
      <c r="F331">
        <v>14.998570442</v>
      </c>
      <c r="G331">
        <v>1385.5454102000001</v>
      </c>
      <c r="H331">
        <v>1371.9700928</v>
      </c>
      <c r="I331">
        <v>1252.1048584</v>
      </c>
      <c r="J331">
        <v>1212.5716553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85.490696</v>
      </c>
      <c r="B332" s="1">
        <f>DATE(2010,7,25) + TIME(11,46,36)</f>
        <v>40384.490694444445</v>
      </c>
      <c r="C332">
        <v>80</v>
      </c>
      <c r="D332">
        <v>79.911209106000001</v>
      </c>
      <c r="E332">
        <v>50</v>
      </c>
      <c r="F332">
        <v>14.998589515999999</v>
      </c>
      <c r="G332">
        <v>1385.5137939000001</v>
      </c>
      <c r="H332">
        <v>1371.9405518000001</v>
      </c>
      <c r="I332">
        <v>1252.1185303</v>
      </c>
      <c r="J332">
        <v>1212.5842285000001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85.893863999999994</v>
      </c>
      <c r="B333" s="1">
        <f>DATE(2010,7,25) + TIME(21,27,9)</f>
        <v>40384.893854166665</v>
      </c>
      <c r="C333">
        <v>80</v>
      </c>
      <c r="D333">
        <v>79.911270142000006</v>
      </c>
      <c r="E333">
        <v>50</v>
      </c>
      <c r="F333">
        <v>14.998608589</v>
      </c>
      <c r="G333">
        <v>1385.4796143000001</v>
      </c>
      <c r="H333">
        <v>1371.9085693</v>
      </c>
      <c r="I333">
        <v>1252.1311035000001</v>
      </c>
      <c r="J333">
        <v>1212.5958252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86.297031000000004</v>
      </c>
      <c r="B334" s="1">
        <f>DATE(2010,7,26) + TIME(7,7,43)</f>
        <v>40385.297025462962</v>
      </c>
      <c r="C334">
        <v>80</v>
      </c>
      <c r="D334">
        <v>79.911331176999994</v>
      </c>
      <c r="E334">
        <v>50</v>
      </c>
      <c r="F334">
        <v>14.998627663000001</v>
      </c>
      <c r="G334">
        <v>1385.4465332</v>
      </c>
      <c r="H334">
        <v>1371.8774414</v>
      </c>
      <c r="I334">
        <v>1252.144043</v>
      </c>
      <c r="J334">
        <v>1212.6076660000001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86.700198999999998</v>
      </c>
      <c r="B335" s="1">
        <f>DATE(2010,7,26) + TIME(16,48,17)</f>
        <v>40385.700196759259</v>
      </c>
      <c r="C335">
        <v>80</v>
      </c>
      <c r="D335">
        <v>79.911392211999996</v>
      </c>
      <c r="E335">
        <v>50</v>
      </c>
      <c r="F335">
        <v>14.998648642999999</v>
      </c>
      <c r="G335">
        <v>1385.4134521000001</v>
      </c>
      <c r="H335">
        <v>1371.8465576000001</v>
      </c>
      <c r="I335">
        <v>1252.1571045000001</v>
      </c>
      <c r="J335">
        <v>1212.6196289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87.103367000000006</v>
      </c>
      <c r="B336" s="1">
        <f>DATE(2010,7,27) + TIME(2,28,50)</f>
        <v>40386.103356481479</v>
      </c>
      <c r="C336">
        <v>80</v>
      </c>
      <c r="D336">
        <v>79.911453246999997</v>
      </c>
      <c r="E336">
        <v>50</v>
      </c>
      <c r="F336">
        <v>14.998669624</v>
      </c>
      <c r="G336">
        <v>1385.3806152</v>
      </c>
      <c r="H336">
        <v>1371.8157959</v>
      </c>
      <c r="I336">
        <v>1252.1701660000001</v>
      </c>
      <c r="J336">
        <v>1212.6317139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87.506534000000002</v>
      </c>
      <c r="B337" s="1">
        <f>DATE(2010,7,27) + TIME(12,9,24)</f>
        <v>40386.506527777776</v>
      </c>
      <c r="C337">
        <v>80</v>
      </c>
      <c r="D337">
        <v>79.911506653000004</v>
      </c>
      <c r="E337">
        <v>50</v>
      </c>
      <c r="F337">
        <v>14.998692513</v>
      </c>
      <c r="G337">
        <v>1385.3479004000001</v>
      </c>
      <c r="H337">
        <v>1371.7850341999999</v>
      </c>
      <c r="I337">
        <v>1252.1833495999999</v>
      </c>
      <c r="J337">
        <v>1212.6439209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87.909701999999996</v>
      </c>
      <c r="B338" s="1">
        <f>DATE(2010,7,27) + TIME(21,49,58)</f>
        <v>40386.909699074073</v>
      </c>
      <c r="C338">
        <v>80</v>
      </c>
      <c r="D338">
        <v>79.911567688000005</v>
      </c>
      <c r="E338">
        <v>50</v>
      </c>
      <c r="F338">
        <v>14.998715401</v>
      </c>
      <c r="G338">
        <v>1385.3153076000001</v>
      </c>
      <c r="H338">
        <v>1371.7545166</v>
      </c>
      <c r="I338">
        <v>1252.1966553</v>
      </c>
      <c r="J338">
        <v>1212.6560059000001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88.312870000000004</v>
      </c>
      <c r="B339" s="1">
        <f>DATE(2010,7,28) + TIME(7,30,31)</f>
        <v>40387.312858796293</v>
      </c>
      <c r="C339">
        <v>80</v>
      </c>
      <c r="D339">
        <v>79.911621093999997</v>
      </c>
      <c r="E339">
        <v>50</v>
      </c>
      <c r="F339">
        <v>14.998741150000001</v>
      </c>
      <c r="G339">
        <v>1385.2828368999999</v>
      </c>
      <c r="H339">
        <v>1371.7241211</v>
      </c>
      <c r="I339">
        <v>1252.2099608999999</v>
      </c>
      <c r="J339">
        <v>1212.6683350000001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88.716037999999998</v>
      </c>
      <c r="B340" s="1">
        <f>DATE(2010,7,28) + TIME(17,11,5)</f>
        <v>40387.71603009259</v>
      </c>
      <c r="C340">
        <v>80</v>
      </c>
      <c r="D340">
        <v>79.911682128999999</v>
      </c>
      <c r="E340">
        <v>50</v>
      </c>
      <c r="F340">
        <v>14.998766899</v>
      </c>
      <c r="G340">
        <v>1385.2503661999999</v>
      </c>
      <c r="H340">
        <v>1371.6937256000001</v>
      </c>
      <c r="I340">
        <v>1252.2235106999999</v>
      </c>
      <c r="J340">
        <v>1212.6806641000001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89.119204999999994</v>
      </c>
      <c r="B341" s="1">
        <f>DATE(2010,7,29) + TIME(2,51,39)</f>
        <v>40388.119201388887</v>
      </c>
      <c r="C341">
        <v>80</v>
      </c>
      <c r="D341">
        <v>79.911743164000001</v>
      </c>
      <c r="E341">
        <v>50</v>
      </c>
      <c r="F341">
        <v>14.998794556</v>
      </c>
      <c r="G341">
        <v>1385.2181396000001</v>
      </c>
      <c r="H341">
        <v>1371.6635742000001</v>
      </c>
      <c r="I341">
        <v>1252.2369385</v>
      </c>
      <c r="J341">
        <v>1212.6931152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89.522373000000002</v>
      </c>
      <c r="B342" s="1">
        <f>DATE(2010,7,29) + TIME(12,32,13)</f>
        <v>40388.522372685184</v>
      </c>
      <c r="C342">
        <v>80</v>
      </c>
      <c r="D342">
        <v>79.911796570000007</v>
      </c>
      <c r="E342">
        <v>50</v>
      </c>
      <c r="F342">
        <v>14.99882412</v>
      </c>
      <c r="G342">
        <v>1385.1860352000001</v>
      </c>
      <c r="H342">
        <v>1371.6334228999999</v>
      </c>
      <c r="I342">
        <v>1252.2506103999999</v>
      </c>
      <c r="J342">
        <v>1212.7055664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89.925540999999996</v>
      </c>
      <c r="B343" s="1">
        <f>DATE(2010,7,29) + TIME(22,12,46)</f>
        <v>40388.925532407404</v>
      </c>
      <c r="C343">
        <v>80</v>
      </c>
      <c r="D343">
        <v>79.911857604999994</v>
      </c>
      <c r="E343">
        <v>50</v>
      </c>
      <c r="F343">
        <v>14.998855591</v>
      </c>
      <c r="G343">
        <v>1385.1540527</v>
      </c>
      <c r="H343">
        <v>1371.6035156</v>
      </c>
      <c r="I343">
        <v>1252.2642822</v>
      </c>
      <c r="J343">
        <v>1212.7181396000001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90.731876</v>
      </c>
      <c r="B344" s="1">
        <f>DATE(2010,7,30) + TIME(17,33,54)</f>
        <v>40389.731874999998</v>
      </c>
      <c r="C344">
        <v>80</v>
      </c>
      <c r="D344">
        <v>79.911979674999998</v>
      </c>
      <c r="E344">
        <v>50</v>
      </c>
      <c r="F344">
        <v>14.998903275</v>
      </c>
      <c r="G344">
        <v>1385.1228027</v>
      </c>
      <c r="H344">
        <v>1371.5742187999999</v>
      </c>
      <c r="I344">
        <v>1252.2785644999999</v>
      </c>
      <c r="J344">
        <v>1212.7312012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91.540987999999999</v>
      </c>
      <c r="B345" s="1">
        <f>DATE(2010,7,31) + TIME(12,59,1)</f>
        <v>40390.540983796294</v>
      </c>
      <c r="C345">
        <v>80</v>
      </c>
      <c r="D345">
        <v>79.912094116000006</v>
      </c>
      <c r="E345">
        <v>50</v>
      </c>
      <c r="F345">
        <v>14.998967171</v>
      </c>
      <c r="G345">
        <v>1385.0599365</v>
      </c>
      <c r="H345">
        <v>1371.5152588000001</v>
      </c>
      <c r="I345">
        <v>1252.3061522999999</v>
      </c>
      <c r="J345">
        <v>1212.7564697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92</v>
      </c>
      <c r="B346" s="1">
        <f>DATE(2010,8,1) + TIME(0,0,0)</f>
        <v>40391</v>
      </c>
      <c r="C346">
        <v>80</v>
      </c>
      <c r="D346">
        <v>79.912155150999993</v>
      </c>
      <c r="E346">
        <v>50</v>
      </c>
      <c r="F346">
        <v>14.999024391000001</v>
      </c>
      <c r="G346">
        <v>1384.9967041</v>
      </c>
      <c r="H346">
        <v>1371.4560547000001</v>
      </c>
      <c r="I346">
        <v>1252.3337402</v>
      </c>
      <c r="J346">
        <v>1212.7816161999999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92.820429000000004</v>
      </c>
      <c r="B347" s="1">
        <f>DATE(2010,8,1) + TIME(19,41,25)</f>
        <v>40391.820428240739</v>
      </c>
      <c r="C347">
        <v>80</v>
      </c>
      <c r="D347">
        <v>79.912277222</v>
      </c>
      <c r="E347">
        <v>50</v>
      </c>
      <c r="F347">
        <v>14.999100685</v>
      </c>
      <c r="G347">
        <v>1384.9609375</v>
      </c>
      <c r="H347">
        <v>1371.4226074000001</v>
      </c>
      <c r="I347">
        <v>1252.3505858999999</v>
      </c>
      <c r="J347">
        <v>1212.7971190999999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93.241122000000004</v>
      </c>
      <c r="B348" s="1">
        <f>DATE(2010,8,2) + TIME(5,47,12)</f>
        <v>40392.241111111114</v>
      </c>
      <c r="C348">
        <v>80</v>
      </c>
      <c r="D348">
        <v>79.912322997999993</v>
      </c>
      <c r="E348">
        <v>50</v>
      </c>
      <c r="F348">
        <v>14.999166489</v>
      </c>
      <c r="G348">
        <v>1384.8979492000001</v>
      </c>
      <c r="H348">
        <v>1371.3634033000001</v>
      </c>
      <c r="I348">
        <v>1252.3790283000001</v>
      </c>
      <c r="J348">
        <v>1212.8231201000001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93.661815000000004</v>
      </c>
      <c r="B349" s="1">
        <f>DATE(2010,8,2) + TIME(15,53,0)</f>
        <v>40392.661805555559</v>
      </c>
      <c r="C349">
        <v>80</v>
      </c>
      <c r="D349">
        <v>79.912384032999995</v>
      </c>
      <c r="E349">
        <v>50</v>
      </c>
      <c r="F349">
        <v>14.999230385000001</v>
      </c>
      <c r="G349">
        <v>1384.8649902</v>
      </c>
      <c r="H349">
        <v>1371.3325195</v>
      </c>
      <c r="I349">
        <v>1252.3944091999999</v>
      </c>
      <c r="J349">
        <v>1212.8371582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94.082508000000004</v>
      </c>
      <c r="B350" s="1">
        <f>DATE(2010,8,3) + TIME(1,58,48)</f>
        <v>40393.082499999997</v>
      </c>
      <c r="C350">
        <v>80</v>
      </c>
      <c r="D350">
        <v>79.912445067999997</v>
      </c>
      <c r="E350">
        <v>50</v>
      </c>
      <c r="F350">
        <v>14.999296188000001</v>
      </c>
      <c r="G350">
        <v>1384.8327637</v>
      </c>
      <c r="H350">
        <v>1371.3023682</v>
      </c>
      <c r="I350">
        <v>1252.409668</v>
      </c>
      <c r="J350">
        <v>1212.8510742000001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94.503201000000004</v>
      </c>
      <c r="B351" s="1">
        <f>DATE(2010,8,3) + TIME(12,4,36)</f>
        <v>40393.503194444442</v>
      </c>
      <c r="C351">
        <v>80</v>
      </c>
      <c r="D351">
        <v>79.912498474000003</v>
      </c>
      <c r="E351">
        <v>50</v>
      </c>
      <c r="F351">
        <v>14.999364852999999</v>
      </c>
      <c r="G351">
        <v>1384.8007812000001</v>
      </c>
      <c r="H351">
        <v>1371.2723389</v>
      </c>
      <c r="I351">
        <v>1252.4250488</v>
      </c>
      <c r="J351">
        <v>1212.8651123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94.923894000000004</v>
      </c>
      <c r="B352" s="1">
        <f>DATE(2010,8,3) + TIME(22,10,24)</f>
        <v>40393.923888888887</v>
      </c>
      <c r="C352">
        <v>80</v>
      </c>
      <c r="D352">
        <v>79.912559509000005</v>
      </c>
      <c r="E352">
        <v>50</v>
      </c>
      <c r="F352">
        <v>14.999436378</v>
      </c>
      <c r="G352">
        <v>1384.7689209</v>
      </c>
      <c r="H352">
        <v>1371.2423096</v>
      </c>
      <c r="I352">
        <v>1252.4405518000001</v>
      </c>
      <c r="J352">
        <v>1212.8792725000001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95.344587000000004</v>
      </c>
      <c r="B353" s="1">
        <f>DATE(2010,8,4) + TIME(8,16,12)</f>
        <v>40394.344583333332</v>
      </c>
      <c r="C353">
        <v>80</v>
      </c>
      <c r="D353">
        <v>79.912620544000006</v>
      </c>
      <c r="E353">
        <v>50</v>
      </c>
      <c r="F353">
        <v>14.999512672</v>
      </c>
      <c r="G353">
        <v>1384.7370605000001</v>
      </c>
      <c r="H353">
        <v>1371.2125243999999</v>
      </c>
      <c r="I353">
        <v>1252.4561768000001</v>
      </c>
      <c r="J353">
        <v>1212.8934326000001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95.765280000000004</v>
      </c>
      <c r="B354" s="1">
        <f>DATE(2010,8,4) + TIME(18,22,0)</f>
        <v>40394.765277777777</v>
      </c>
      <c r="C354">
        <v>80</v>
      </c>
      <c r="D354">
        <v>79.912673949999999</v>
      </c>
      <c r="E354">
        <v>50</v>
      </c>
      <c r="F354">
        <v>14.999593734999999</v>
      </c>
      <c r="G354">
        <v>1384.7054443</v>
      </c>
      <c r="H354">
        <v>1371.1828613</v>
      </c>
      <c r="I354">
        <v>1252.4718018000001</v>
      </c>
      <c r="J354">
        <v>1212.9077147999999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96.185973000000004</v>
      </c>
      <c r="B355" s="1">
        <f>DATE(2010,8,5) + TIME(4,27,48)</f>
        <v>40395.185972222222</v>
      </c>
      <c r="C355">
        <v>80</v>
      </c>
      <c r="D355">
        <v>79.912734985</v>
      </c>
      <c r="E355">
        <v>50</v>
      </c>
      <c r="F355">
        <v>14.999680519</v>
      </c>
      <c r="G355">
        <v>1384.6739502</v>
      </c>
      <c r="H355">
        <v>1371.1531981999999</v>
      </c>
      <c r="I355">
        <v>1252.4876709</v>
      </c>
      <c r="J355">
        <v>1212.9221190999999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96.606667000000002</v>
      </c>
      <c r="B356" s="1">
        <f>DATE(2010,8,5) + TIME(14,33,35)</f>
        <v>40395.60665509259</v>
      </c>
      <c r="C356">
        <v>80</v>
      </c>
      <c r="D356">
        <v>79.912796021000005</v>
      </c>
      <c r="E356">
        <v>50</v>
      </c>
      <c r="F356">
        <v>14.999773026</v>
      </c>
      <c r="G356">
        <v>1384.6424560999999</v>
      </c>
      <c r="H356">
        <v>1371.1237793</v>
      </c>
      <c r="I356">
        <v>1252.5036620999999</v>
      </c>
      <c r="J356">
        <v>1212.9366454999999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97.027360000000002</v>
      </c>
      <c r="B357" s="1">
        <f>DATE(2010,8,6) + TIME(0,39,23)</f>
        <v>40396.027349537035</v>
      </c>
      <c r="C357">
        <v>80</v>
      </c>
      <c r="D357">
        <v>79.912857056000007</v>
      </c>
      <c r="E357">
        <v>50</v>
      </c>
      <c r="F357">
        <v>14.999872207999999</v>
      </c>
      <c r="G357">
        <v>1384.6110839999999</v>
      </c>
      <c r="H357">
        <v>1371.0943603999999</v>
      </c>
      <c r="I357">
        <v>1252.5196533000001</v>
      </c>
      <c r="J357">
        <v>1212.9512939000001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97.448053000000002</v>
      </c>
      <c r="B358" s="1">
        <f>DATE(2010,8,6) + TIME(10,45,11)</f>
        <v>40396.44804398148</v>
      </c>
      <c r="C358">
        <v>80</v>
      </c>
      <c r="D358">
        <v>79.912910460999996</v>
      </c>
      <c r="E358">
        <v>50</v>
      </c>
      <c r="F358">
        <v>14.999979019</v>
      </c>
      <c r="G358">
        <v>1384.5799560999999</v>
      </c>
      <c r="H358">
        <v>1371.0650635</v>
      </c>
      <c r="I358">
        <v>1252.5358887</v>
      </c>
      <c r="J358">
        <v>1212.9660644999999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97.868746000000002</v>
      </c>
      <c r="B359" s="1">
        <f>DATE(2010,8,6) + TIME(20,50,59)</f>
        <v>40396.868738425925</v>
      </c>
      <c r="C359">
        <v>80</v>
      </c>
      <c r="D359">
        <v>79.912971497000001</v>
      </c>
      <c r="E359">
        <v>50</v>
      </c>
      <c r="F359">
        <v>15.000092506</v>
      </c>
      <c r="G359">
        <v>1384.5488281</v>
      </c>
      <c r="H359">
        <v>1371.0357666</v>
      </c>
      <c r="I359">
        <v>1252.552124</v>
      </c>
      <c r="J359">
        <v>1212.9808350000001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98.289439000000002</v>
      </c>
      <c r="B360" s="1">
        <f>DATE(2010,8,7) + TIME(6,56,47)</f>
        <v>40397.28943287037</v>
      </c>
      <c r="C360">
        <v>80</v>
      </c>
      <c r="D360">
        <v>79.913032532000003</v>
      </c>
      <c r="E360">
        <v>50</v>
      </c>
      <c r="F360">
        <v>15.000214576999999</v>
      </c>
      <c r="G360">
        <v>1384.5178223</v>
      </c>
      <c r="H360">
        <v>1371.0067139</v>
      </c>
      <c r="I360">
        <v>1252.5686035000001</v>
      </c>
      <c r="J360">
        <v>1212.9957274999999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98.710132000000002</v>
      </c>
      <c r="B361" s="1">
        <f>DATE(2010,8,7) + TIME(17,2,35)</f>
        <v>40397.710127314815</v>
      </c>
      <c r="C361">
        <v>80</v>
      </c>
      <c r="D361">
        <v>79.913085937999995</v>
      </c>
      <c r="E361">
        <v>50</v>
      </c>
      <c r="F361">
        <v>15.000345230000001</v>
      </c>
      <c r="G361">
        <v>1384.4869385</v>
      </c>
      <c r="H361">
        <v>1370.9776611</v>
      </c>
      <c r="I361">
        <v>1252.5850829999999</v>
      </c>
      <c r="J361">
        <v>1213.0107422000001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99.130825000000002</v>
      </c>
      <c r="B362" s="1">
        <f>DATE(2010,8,8) + TIME(3,8,23)</f>
        <v>40398.13082175926</v>
      </c>
      <c r="C362">
        <v>80</v>
      </c>
      <c r="D362">
        <v>79.913146972999996</v>
      </c>
      <c r="E362">
        <v>50</v>
      </c>
      <c r="F362">
        <v>15.000486373999999</v>
      </c>
      <c r="G362">
        <v>1384.4561768000001</v>
      </c>
      <c r="H362">
        <v>1370.9488524999999</v>
      </c>
      <c r="I362">
        <v>1252.6018065999999</v>
      </c>
      <c r="J362">
        <v>1213.0258789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99.551518000000002</v>
      </c>
      <c r="B363" s="1">
        <f>DATE(2010,8,8) + TIME(13,14,11)</f>
        <v>40398.551516203705</v>
      </c>
      <c r="C363">
        <v>80</v>
      </c>
      <c r="D363">
        <v>79.913208007999998</v>
      </c>
      <c r="E363">
        <v>50</v>
      </c>
      <c r="F363">
        <v>15.000636101</v>
      </c>
      <c r="G363">
        <v>1384.4254149999999</v>
      </c>
      <c r="H363">
        <v>1370.9199219</v>
      </c>
      <c r="I363">
        <v>1252.6186522999999</v>
      </c>
      <c r="J363">
        <v>1213.0411377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100.392904</v>
      </c>
      <c r="B364" s="1">
        <f>DATE(2010,8,9) + TIME(9,25,46)</f>
        <v>40399.392893518518</v>
      </c>
      <c r="C364">
        <v>80</v>
      </c>
      <c r="D364">
        <v>79.913330078000001</v>
      </c>
      <c r="E364">
        <v>50</v>
      </c>
      <c r="F364">
        <v>15.000871657999999</v>
      </c>
      <c r="G364">
        <v>1384.3953856999999</v>
      </c>
      <c r="H364">
        <v>1370.8918457</v>
      </c>
      <c r="I364">
        <v>1252.6359863</v>
      </c>
      <c r="J364">
        <v>1213.0571289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101.234425</v>
      </c>
      <c r="B365" s="1">
        <f>DATE(2010,8,10) + TIME(5,37,34)</f>
        <v>40400.2344212963</v>
      </c>
      <c r="C365">
        <v>80</v>
      </c>
      <c r="D365">
        <v>79.913452148000005</v>
      </c>
      <c r="E365">
        <v>50</v>
      </c>
      <c r="F365">
        <v>15.001187325</v>
      </c>
      <c r="G365">
        <v>1384.3349608999999</v>
      </c>
      <c r="H365">
        <v>1370.8350829999999</v>
      </c>
      <c r="I365">
        <v>1252.6700439000001</v>
      </c>
      <c r="J365">
        <v>1213.0878906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102.088549</v>
      </c>
      <c r="B366" s="1">
        <f>DATE(2010,8,11) + TIME(2,7,30)</f>
        <v>40401.088541666664</v>
      </c>
      <c r="C366">
        <v>80</v>
      </c>
      <c r="D366">
        <v>79.913566588999998</v>
      </c>
      <c r="E366">
        <v>50</v>
      </c>
      <c r="F366">
        <v>15.001572609</v>
      </c>
      <c r="G366">
        <v>1384.2745361</v>
      </c>
      <c r="H366">
        <v>1370.7784423999999</v>
      </c>
      <c r="I366">
        <v>1252.7047118999999</v>
      </c>
      <c r="J366">
        <v>1213.1192627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102.522914</v>
      </c>
      <c r="B367" s="1">
        <f>DATE(2010,8,11) + TIME(12,32,59)</f>
        <v>40401.522905092592</v>
      </c>
      <c r="C367">
        <v>80</v>
      </c>
      <c r="D367">
        <v>79.913619995000005</v>
      </c>
      <c r="E367">
        <v>50</v>
      </c>
      <c r="F367">
        <v>15.001886367999999</v>
      </c>
      <c r="G367">
        <v>1384.213501</v>
      </c>
      <c r="H367">
        <v>1370.7210693</v>
      </c>
      <c r="I367">
        <v>1252.7399902</v>
      </c>
      <c r="J367">
        <v>1213.1511230000001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102.957278</v>
      </c>
      <c r="B368" s="1">
        <f>DATE(2010,8,11) + TIME(22,58,28)</f>
        <v>40401.957268518519</v>
      </c>
      <c r="C368">
        <v>80</v>
      </c>
      <c r="D368">
        <v>79.913681030000006</v>
      </c>
      <c r="E368">
        <v>50</v>
      </c>
      <c r="F368">
        <v>15.002193451</v>
      </c>
      <c r="G368">
        <v>1384.1818848</v>
      </c>
      <c r="H368">
        <v>1370.6912841999999</v>
      </c>
      <c r="I368">
        <v>1252.7586670000001</v>
      </c>
      <c r="J368">
        <v>1213.1680908000001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103.391643</v>
      </c>
      <c r="B369" s="1">
        <f>DATE(2010,8,12) + TIME(9,23,57)</f>
        <v>40402.391631944447</v>
      </c>
      <c r="C369">
        <v>80</v>
      </c>
      <c r="D369">
        <v>79.913742064999994</v>
      </c>
      <c r="E369">
        <v>50</v>
      </c>
      <c r="F369">
        <v>15.002505301999999</v>
      </c>
      <c r="G369">
        <v>1384.1511230000001</v>
      </c>
      <c r="H369">
        <v>1370.6623535000001</v>
      </c>
      <c r="I369">
        <v>1252.7773437999999</v>
      </c>
      <c r="J369">
        <v>1213.1850586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103.826008</v>
      </c>
      <c r="B370" s="1">
        <f>DATE(2010,8,12) + TIME(19,49,27)</f>
        <v>40402.826006944444</v>
      </c>
      <c r="C370">
        <v>80</v>
      </c>
      <c r="D370">
        <v>79.913795471</v>
      </c>
      <c r="E370">
        <v>50</v>
      </c>
      <c r="F370">
        <v>15.002827644</v>
      </c>
      <c r="G370">
        <v>1384.1204834</v>
      </c>
      <c r="H370">
        <v>1370.6335449000001</v>
      </c>
      <c r="I370">
        <v>1252.7962646000001</v>
      </c>
      <c r="J370">
        <v>1213.2021483999999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104.260373</v>
      </c>
      <c r="B371" s="1">
        <f>DATE(2010,8,13) + TIME(6,14,56)</f>
        <v>40403.260370370372</v>
      </c>
      <c r="C371">
        <v>80</v>
      </c>
      <c r="D371">
        <v>79.913856506000002</v>
      </c>
      <c r="E371">
        <v>50</v>
      </c>
      <c r="F371">
        <v>15.003166199000001</v>
      </c>
      <c r="G371">
        <v>1384.0898437999999</v>
      </c>
      <c r="H371">
        <v>1370.6048584</v>
      </c>
      <c r="I371">
        <v>1252.8153076000001</v>
      </c>
      <c r="J371">
        <v>1213.2193603999999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104.694737</v>
      </c>
      <c r="B372" s="1">
        <f>DATE(2010,8,13) + TIME(16,40,25)</f>
        <v>40403.694733796299</v>
      </c>
      <c r="C372">
        <v>80</v>
      </c>
      <c r="D372">
        <v>79.913917541999993</v>
      </c>
      <c r="E372">
        <v>50</v>
      </c>
      <c r="F372">
        <v>15.003523827</v>
      </c>
      <c r="G372">
        <v>1384.0594481999999</v>
      </c>
      <c r="H372">
        <v>1370.5761719</v>
      </c>
      <c r="I372">
        <v>1252.8344727000001</v>
      </c>
      <c r="J372">
        <v>1213.2366943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105.129102</v>
      </c>
      <c r="B373" s="1">
        <f>DATE(2010,8,14) + TIME(3,5,54)</f>
        <v>40404.12909722222</v>
      </c>
      <c r="C373">
        <v>80</v>
      </c>
      <c r="D373">
        <v>79.913978576999995</v>
      </c>
      <c r="E373">
        <v>50</v>
      </c>
      <c r="F373">
        <v>15.003905295999999</v>
      </c>
      <c r="G373">
        <v>1384.0290527</v>
      </c>
      <c r="H373">
        <v>1370.5476074000001</v>
      </c>
      <c r="I373">
        <v>1252.8538818</v>
      </c>
      <c r="J373">
        <v>1213.2542725000001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105.563393</v>
      </c>
      <c r="B374" s="1">
        <f>DATE(2010,8,14) + TIME(13,31,17)</f>
        <v>40404.563391203701</v>
      </c>
      <c r="C374">
        <v>80</v>
      </c>
      <c r="D374">
        <v>79.914039611999996</v>
      </c>
      <c r="E374">
        <v>50</v>
      </c>
      <c r="F374">
        <v>15.004310608000001</v>
      </c>
      <c r="G374">
        <v>1383.9987793</v>
      </c>
      <c r="H374">
        <v>1370.5191649999999</v>
      </c>
      <c r="I374">
        <v>1252.8734131000001</v>
      </c>
      <c r="J374">
        <v>1213.2719727000001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105.99638299999999</v>
      </c>
      <c r="B375" s="1">
        <f>DATE(2010,8,14) + TIME(23,54,47)</f>
        <v>40404.996377314812</v>
      </c>
      <c r="C375">
        <v>80</v>
      </c>
      <c r="D375">
        <v>79.914100646999998</v>
      </c>
      <c r="E375">
        <v>50</v>
      </c>
      <c r="F375">
        <v>15.004743575999999</v>
      </c>
      <c r="G375">
        <v>1383.9686279</v>
      </c>
      <c r="H375">
        <v>1370.4907227000001</v>
      </c>
      <c r="I375">
        <v>1252.8931885</v>
      </c>
      <c r="J375">
        <v>1213.2897949000001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106.42823300000001</v>
      </c>
      <c r="B376" s="1">
        <f>DATE(2010,8,15) + TIME(10,16,39)</f>
        <v>40405.428229166668</v>
      </c>
      <c r="C376">
        <v>80</v>
      </c>
      <c r="D376">
        <v>79.914154053000004</v>
      </c>
      <c r="E376">
        <v>50</v>
      </c>
      <c r="F376">
        <v>15.005205154</v>
      </c>
      <c r="G376">
        <v>1383.9385986</v>
      </c>
      <c r="H376">
        <v>1370.4625243999999</v>
      </c>
      <c r="I376">
        <v>1252.9129639</v>
      </c>
      <c r="J376">
        <v>1213.3077393000001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106.859036</v>
      </c>
      <c r="B377" s="1">
        <f>DATE(2010,8,15) + TIME(20,37,0)</f>
        <v>40405.859027777777</v>
      </c>
      <c r="C377">
        <v>80</v>
      </c>
      <c r="D377">
        <v>79.914215088000006</v>
      </c>
      <c r="E377">
        <v>50</v>
      </c>
      <c r="F377">
        <v>15.005697250000001</v>
      </c>
      <c r="G377">
        <v>1383.9088135</v>
      </c>
      <c r="H377">
        <v>1370.4344481999999</v>
      </c>
      <c r="I377">
        <v>1252.9329834</v>
      </c>
      <c r="J377">
        <v>1213.3258057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107.288899</v>
      </c>
      <c r="B378" s="1">
        <f>DATE(2010,8,16) + TIME(6,56,0)</f>
        <v>40406.288888888892</v>
      </c>
      <c r="C378">
        <v>80</v>
      </c>
      <c r="D378">
        <v>79.914276122999993</v>
      </c>
      <c r="E378">
        <v>50</v>
      </c>
      <c r="F378">
        <v>15.006222725000001</v>
      </c>
      <c r="G378">
        <v>1383.8790283000001</v>
      </c>
      <c r="H378">
        <v>1370.4064940999999</v>
      </c>
      <c r="I378">
        <v>1252.953125</v>
      </c>
      <c r="J378">
        <v>1213.3439940999999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107.71793700000001</v>
      </c>
      <c r="B379" s="1">
        <f>DATE(2010,8,16) + TIME(17,13,49)</f>
        <v>40406.717928240738</v>
      </c>
      <c r="C379">
        <v>80</v>
      </c>
      <c r="D379">
        <v>79.914337157999995</v>
      </c>
      <c r="E379">
        <v>50</v>
      </c>
      <c r="F379">
        <v>15.006782532000001</v>
      </c>
      <c r="G379">
        <v>1383.8496094</v>
      </c>
      <c r="H379">
        <v>1370.3787841999999</v>
      </c>
      <c r="I379">
        <v>1252.9735106999999</v>
      </c>
      <c r="J379">
        <v>1213.3624268000001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108.14627</v>
      </c>
      <c r="B380" s="1">
        <f>DATE(2010,8,17) + TIME(3,30,37)</f>
        <v>40407.146261574075</v>
      </c>
      <c r="C380">
        <v>80</v>
      </c>
      <c r="D380">
        <v>79.914390564000001</v>
      </c>
      <c r="E380">
        <v>50</v>
      </c>
      <c r="F380">
        <v>15.007378578000001</v>
      </c>
      <c r="G380">
        <v>1383.8201904</v>
      </c>
      <c r="H380">
        <v>1370.3510742000001</v>
      </c>
      <c r="I380">
        <v>1252.9938964999999</v>
      </c>
      <c r="J380">
        <v>1213.3808594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109.001779</v>
      </c>
      <c r="B381" s="1">
        <f>DATE(2010,8,18) + TIME(0,2,33)</f>
        <v>40408.001770833333</v>
      </c>
      <c r="C381">
        <v>80</v>
      </c>
      <c r="D381">
        <v>79.914520264000004</v>
      </c>
      <c r="E381">
        <v>50</v>
      </c>
      <c r="F381">
        <v>15.008306503</v>
      </c>
      <c r="G381">
        <v>1383.7913818</v>
      </c>
      <c r="H381">
        <v>1370.3240966999999</v>
      </c>
      <c r="I381">
        <v>1253.0148925999999</v>
      </c>
      <c r="J381">
        <v>1213.4001464999999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109.861664</v>
      </c>
      <c r="B382" s="1">
        <f>DATE(2010,8,18) + TIME(20,40,47)</f>
        <v>40408.861655092594</v>
      </c>
      <c r="C382">
        <v>80</v>
      </c>
      <c r="D382">
        <v>79.914634704999997</v>
      </c>
      <c r="E382">
        <v>50</v>
      </c>
      <c r="F382">
        <v>15.00954628</v>
      </c>
      <c r="G382">
        <v>1383.7336425999999</v>
      </c>
      <c r="H382">
        <v>1370.2697754000001</v>
      </c>
      <c r="I382">
        <v>1253.0562743999999</v>
      </c>
      <c r="J382">
        <v>1213.4375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110.73425899999999</v>
      </c>
      <c r="B383" s="1">
        <f>DATE(2010,8,19) + TIME(17,37,19)</f>
        <v>40409.734247685185</v>
      </c>
      <c r="C383">
        <v>80</v>
      </c>
      <c r="D383">
        <v>79.914756775000001</v>
      </c>
      <c r="E383">
        <v>50</v>
      </c>
      <c r="F383">
        <v>15.011048317</v>
      </c>
      <c r="G383">
        <v>1383.6756591999999</v>
      </c>
      <c r="H383">
        <v>1370.2152100000001</v>
      </c>
      <c r="I383">
        <v>1253.098999</v>
      </c>
      <c r="J383">
        <v>1213.4760742000001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111.174572</v>
      </c>
      <c r="B384" s="1">
        <f>DATE(2010,8,20) + TIME(4,11,22)</f>
        <v>40410.174560185187</v>
      </c>
      <c r="C384">
        <v>80</v>
      </c>
      <c r="D384">
        <v>79.914810181000007</v>
      </c>
      <c r="E384">
        <v>50</v>
      </c>
      <c r="F384">
        <v>15.012260437</v>
      </c>
      <c r="G384">
        <v>1383.6169434000001</v>
      </c>
      <c r="H384">
        <v>1370.1599120999999</v>
      </c>
      <c r="I384">
        <v>1253.1427002</v>
      </c>
      <c r="J384">
        <v>1213.5152588000001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111.611575</v>
      </c>
      <c r="B385" s="1">
        <f>DATE(2010,8,20) + TIME(14,40,40)</f>
        <v>40410.611574074072</v>
      </c>
      <c r="C385">
        <v>80</v>
      </c>
      <c r="D385">
        <v>79.914863585999996</v>
      </c>
      <c r="E385">
        <v>50</v>
      </c>
      <c r="F385">
        <v>15.013431549</v>
      </c>
      <c r="G385">
        <v>1383.5866699000001</v>
      </c>
      <c r="H385">
        <v>1370.1314697</v>
      </c>
      <c r="I385">
        <v>1253.1657714999999</v>
      </c>
      <c r="J385">
        <v>1213.5362548999999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112.04780599999999</v>
      </c>
      <c r="B386" s="1">
        <f>DATE(2010,8,21) + TIME(1,8,50)</f>
        <v>40411.047800925924</v>
      </c>
      <c r="C386">
        <v>80</v>
      </c>
      <c r="D386">
        <v>79.914924622000001</v>
      </c>
      <c r="E386">
        <v>50</v>
      </c>
      <c r="F386">
        <v>15.014608383000001</v>
      </c>
      <c r="G386">
        <v>1383.5574951000001</v>
      </c>
      <c r="H386">
        <v>1370.1038818</v>
      </c>
      <c r="I386">
        <v>1253.1885986</v>
      </c>
      <c r="J386">
        <v>1213.5570068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112.48308400000001</v>
      </c>
      <c r="B387" s="1">
        <f>DATE(2010,8,21) + TIME(11,35,38)</f>
        <v>40411.483078703706</v>
      </c>
      <c r="C387">
        <v>80</v>
      </c>
      <c r="D387">
        <v>79.914985657000003</v>
      </c>
      <c r="E387">
        <v>50</v>
      </c>
      <c r="F387">
        <v>15.015815735</v>
      </c>
      <c r="G387">
        <v>1383.5284423999999</v>
      </c>
      <c r="H387">
        <v>1370.0765381000001</v>
      </c>
      <c r="I387">
        <v>1253.2115478999999</v>
      </c>
      <c r="J387">
        <v>1213.5780029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112.917416</v>
      </c>
      <c r="B388" s="1">
        <f>DATE(2010,8,21) + TIME(22,1,4)</f>
        <v>40411.917407407411</v>
      </c>
      <c r="C388">
        <v>80</v>
      </c>
      <c r="D388">
        <v>79.915039062000005</v>
      </c>
      <c r="E388">
        <v>50</v>
      </c>
      <c r="F388">
        <v>15.01707077</v>
      </c>
      <c r="G388">
        <v>1383.4995117000001</v>
      </c>
      <c r="H388">
        <v>1370.0491943</v>
      </c>
      <c r="I388">
        <v>1253.2348632999999</v>
      </c>
      <c r="J388">
        <v>1213.5991211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113.350818</v>
      </c>
      <c r="B389" s="1">
        <f>DATE(2010,8,22) + TIME(8,25,10)</f>
        <v>40412.350810185184</v>
      </c>
      <c r="C389">
        <v>80</v>
      </c>
      <c r="D389">
        <v>79.915100097999996</v>
      </c>
      <c r="E389">
        <v>50</v>
      </c>
      <c r="F389">
        <v>15.018388748</v>
      </c>
      <c r="G389">
        <v>1383.4707031</v>
      </c>
      <c r="H389">
        <v>1370.0220947</v>
      </c>
      <c r="I389">
        <v>1253.2583007999999</v>
      </c>
      <c r="J389">
        <v>1213.6206055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113.78333000000001</v>
      </c>
      <c r="B390" s="1">
        <f>DATE(2010,8,22) + TIME(18,47,59)</f>
        <v>40412.783321759256</v>
      </c>
      <c r="C390">
        <v>80</v>
      </c>
      <c r="D390">
        <v>79.915161132999998</v>
      </c>
      <c r="E390">
        <v>50</v>
      </c>
      <c r="F390">
        <v>15.019777297999999</v>
      </c>
      <c r="G390">
        <v>1383.4420166</v>
      </c>
      <c r="H390">
        <v>1369.9951172000001</v>
      </c>
      <c r="I390">
        <v>1253.2821045000001</v>
      </c>
      <c r="J390">
        <v>1213.6420897999999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114.215003</v>
      </c>
      <c r="B391" s="1">
        <f>DATE(2010,8,23) + TIME(5,9,36)</f>
        <v>40413.214999999997</v>
      </c>
      <c r="C391">
        <v>80</v>
      </c>
      <c r="D391">
        <v>79.915214539000004</v>
      </c>
      <c r="E391">
        <v>50</v>
      </c>
      <c r="F391">
        <v>15.021245003000001</v>
      </c>
      <c r="G391">
        <v>1383.4135742000001</v>
      </c>
      <c r="H391">
        <v>1369.9681396000001</v>
      </c>
      <c r="I391">
        <v>1253.3059082</v>
      </c>
      <c r="J391">
        <v>1213.6639404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114.645929</v>
      </c>
      <c r="B392" s="1">
        <f>DATE(2010,8,23) + TIME(15,30,8)</f>
        <v>40413.645925925928</v>
      </c>
      <c r="C392">
        <v>80</v>
      </c>
      <c r="D392">
        <v>79.915275574000006</v>
      </c>
      <c r="E392">
        <v>50</v>
      </c>
      <c r="F392">
        <v>15.022798538</v>
      </c>
      <c r="G392">
        <v>1383.3851318</v>
      </c>
      <c r="H392">
        <v>1369.9414062000001</v>
      </c>
      <c r="I392">
        <v>1253.3300781</v>
      </c>
      <c r="J392">
        <v>1213.6859131000001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115.506485</v>
      </c>
      <c r="B393" s="1">
        <f>DATE(2010,8,24) + TIME(12,9,20)</f>
        <v>40414.506481481483</v>
      </c>
      <c r="C393">
        <v>80</v>
      </c>
      <c r="D393">
        <v>79.915397643999995</v>
      </c>
      <c r="E393">
        <v>50</v>
      </c>
      <c r="F393">
        <v>15.025200844</v>
      </c>
      <c r="G393">
        <v>1383.3572998</v>
      </c>
      <c r="H393">
        <v>1369.9151611</v>
      </c>
      <c r="I393">
        <v>1253.3546143000001</v>
      </c>
      <c r="J393">
        <v>1213.7089844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116.36927300000001</v>
      </c>
      <c r="B394" s="1">
        <f>DATE(2010,8,25) + TIME(8,51,45)</f>
        <v>40415.369270833333</v>
      </c>
      <c r="C394">
        <v>80</v>
      </c>
      <c r="D394">
        <v>79.915512085000003</v>
      </c>
      <c r="E394">
        <v>50</v>
      </c>
      <c r="F394">
        <v>15.02837944</v>
      </c>
      <c r="G394">
        <v>1383.3013916</v>
      </c>
      <c r="H394">
        <v>1369.8625488</v>
      </c>
      <c r="I394">
        <v>1253.4038086</v>
      </c>
      <c r="J394">
        <v>1213.7537841999999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117.24240399999999</v>
      </c>
      <c r="B395" s="1">
        <f>DATE(2010,8,26) + TIME(5,49,3)</f>
        <v>40416.242395833331</v>
      </c>
      <c r="C395">
        <v>80</v>
      </c>
      <c r="D395">
        <v>79.915634155000006</v>
      </c>
      <c r="E395">
        <v>50</v>
      </c>
      <c r="F395">
        <v>15.032195091</v>
      </c>
      <c r="G395">
        <v>1383.2453613</v>
      </c>
      <c r="H395">
        <v>1369.8096923999999</v>
      </c>
      <c r="I395">
        <v>1253.4544678</v>
      </c>
      <c r="J395">
        <v>1213.8000488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117.684985</v>
      </c>
      <c r="B396" s="1">
        <f>DATE(2010,8,26) + TIME(16,26,22)</f>
        <v>40416.684976851851</v>
      </c>
      <c r="C396">
        <v>80</v>
      </c>
      <c r="D396">
        <v>79.915687560999999</v>
      </c>
      <c r="E396">
        <v>50</v>
      </c>
      <c r="F396">
        <v>15.035252570999999</v>
      </c>
      <c r="G396">
        <v>1383.1888428</v>
      </c>
      <c r="H396">
        <v>1369.7563477000001</v>
      </c>
      <c r="I396">
        <v>1253.5068358999999</v>
      </c>
      <c r="J396">
        <v>1213.8470459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118.127567</v>
      </c>
      <c r="B397" s="1">
        <f>DATE(2010,8,27) + TIME(3,3,41)</f>
        <v>40417.127557870372</v>
      </c>
      <c r="C397">
        <v>80</v>
      </c>
      <c r="D397">
        <v>79.915740967000005</v>
      </c>
      <c r="E397">
        <v>50</v>
      </c>
      <c r="F397">
        <v>15.038208008</v>
      </c>
      <c r="G397">
        <v>1383.1595459</v>
      </c>
      <c r="H397">
        <v>1369.7286377</v>
      </c>
      <c r="I397">
        <v>1253.5341797000001</v>
      </c>
      <c r="J397">
        <v>1213.8726807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118.569176</v>
      </c>
      <c r="B398" s="1">
        <f>DATE(2010,8,27) + TIME(13,39,36)</f>
        <v>40417.569166666668</v>
      </c>
      <c r="C398">
        <v>80</v>
      </c>
      <c r="D398">
        <v>79.915802002000007</v>
      </c>
      <c r="E398">
        <v>50</v>
      </c>
      <c r="F398">
        <v>15.041163445</v>
      </c>
      <c r="G398">
        <v>1383.1309814000001</v>
      </c>
      <c r="H398">
        <v>1369.7016602000001</v>
      </c>
      <c r="I398">
        <v>1253.5617675999999</v>
      </c>
      <c r="J398">
        <v>1213.8981934000001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119.00955500000001</v>
      </c>
      <c r="B399" s="1">
        <f>DATE(2010,8,28) + TIME(0,13,45)</f>
        <v>40418.009548611109</v>
      </c>
      <c r="C399">
        <v>80</v>
      </c>
      <c r="D399">
        <v>79.915863036999994</v>
      </c>
      <c r="E399">
        <v>50</v>
      </c>
      <c r="F399">
        <v>15.044182777</v>
      </c>
      <c r="G399">
        <v>1383.1025391000001</v>
      </c>
      <c r="H399">
        <v>1369.6749268000001</v>
      </c>
      <c r="I399">
        <v>1253.5895995999999</v>
      </c>
      <c r="J399">
        <v>1213.9241943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119.448717</v>
      </c>
      <c r="B400" s="1">
        <f>DATE(2010,8,28) + TIME(10,46,9)</f>
        <v>40418.44871527778</v>
      </c>
      <c r="C400">
        <v>80</v>
      </c>
      <c r="D400">
        <v>79.915916443</v>
      </c>
      <c r="E400">
        <v>50</v>
      </c>
      <c r="F400">
        <v>15.047310829000001</v>
      </c>
      <c r="G400">
        <v>1383.0743408000001</v>
      </c>
      <c r="H400">
        <v>1369.6481934000001</v>
      </c>
      <c r="I400">
        <v>1253.6177978999999</v>
      </c>
      <c r="J400">
        <v>1213.9504394999999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119.886683</v>
      </c>
      <c r="B401" s="1">
        <f>DATE(2010,8,28) + TIME(21,16,49)</f>
        <v>40418.886678240742</v>
      </c>
      <c r="C401">
        <v>80</v>
      </c>
      <c r="D401">
        <v>79.915977478000002</v>
      </c>
      <c r="E401">
        <v>50</v>
      </c>
      <c r="F401">
        <v>15.050578117000001</v>
      </c>
      <c r="G401">
        <v>1383.0461425999999</v>
      </c>
      <c r="H401">
        <v>1369.621582</v>
      </c>
      <c r="I401">
        <v>1253.6462402</v>
      </c>
      <c r="J401">
        <v>1213.9769286999999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120.323491</v>
      </c>
      <c r="B402" s="1">
        <f>DATE(2010,8,29) + TIME(7,45,49)</f>
        <v>40419.323483796295</v>
      </c>
      <c r="C402">
        <v>80</v>
      </c>
      <c r="D402">
        <v>79.916038513000004</v>
      </c>
      <c r="E402">
        <v>50</v>
      </c>
      <c r="F402">
        <v>15.054006576999999</v>
      </c>
      <c r="G402">
        <v>1383.0181885</v>
      </c>
      <c r="H402">
        <v>1369.5952147999999</v>
      </c>
      <c r="I402">
        <v>1253.6750488</v>
      </c>
      <c r="J402">
        <v>1214.0037841999999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120.759542</v>
      </c>
      <c r="B403" s="1">
        <f>DATE(2010,8,29) + TIME(18,13,44)</f>
        <v>40419.75953703704</v>
      </c>
      <c r="C403">
        <v>80</v>
      </c>
      <c r="D403">
        <v>79.916091918999996</v>
      </c>
      <c r="E403">
        <v>50</v>
      </c>
      <c r="F403">
        <v>15.057616233999999</v>
      </c>
      <c r="G403">
        <v>1382.9903564000001</v>
      </c>
      <c r="H403">
        <v>1369.5688477000001</v>
      </c>
      <c r="I403">
        <v>1253.7041016000001</v>
      </c>
      <c r="J403">
        <v>1214.0311279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121.194919</v>
      </c>
      <c r="B404" s="1">
        <f>DATE(2010,8,30) + TIME(4,40,41)</f>
        <v>40420.194918981484</v>
      </c>
      <c r="C404">
        <v>80</v>
      </c>
      <c r="D404">
        <v>79.916152953999998</v>
      </c>
      <c r="E404">
        <v>50</v>
      </c>
      <c r="F404">
        <v>15.061422348000001</v>
      </c>
      <c r="G404">
        <v>1382.9625243999999</v>
      </c>
      <c r="H404">
        <v>1369.5426024999999</v>
      </c>
      <c r="I404">
        <v>1253.7335204999999</v>
      </c>
      <c r="J404">
        <v>1214.0587158000001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121.62970799999999</v>
      </c>
      <c r="B405" s="1">
        <f>DATE(2010,8,30) + TIME(15,6,46)</f>
        <v>40420.629699074074</v>
      </c>
      <c r="C405">
        <v>80</v>
      </c>
      <c r="D405">
        <v>79.916206360000004</v>
      </c>
      <c r="E405">
        <v>50</v>
      </c>
      <c r="F405">
        <v>15.065440177999999</v>
      </c>
      <c r="G405">
        <v>1382.9349365</v>
      </c>
      <c r="H405">
        <v>1369.5164795000001</v>
      </c>
      <c r="I405">
        <v>1253.7634277</v>
      </c>
      <c r="J405">
        <v>1214.0867920000001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122.063999</v>
      </c>
      <c r="B406" s="1">
        <f>DATE(2010,8,31) + TIME(1,32,9)</f>
        <v>40421.063993055555</v>
      </c>
      <c r="C406">
        <v>80</v>
      </c>
      <c r="D406">
        <v>79.916267395000006</v>
      </c>
      <c r="E406">
        <v>50</v>
      </c>
      <c r="F406">
        <v>15.069684028999999</v>
      </c>
      <c r="G406">
        <v>1382.9073486</v>
      </c>
      <c r="H406">
        <v>1369.4903564000001</v>
      </c>
      <c r="I406">
        <v>1253.7935791</v>
      </c>
      <c r="J406">
        <v>1214.1152344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122.497899</v>
      </c>
      <c r="B407" s="1">
        <f>DATE(2010,8,31) + TIME(11,56,58)</f>
        <v>40421.497893518521</v>
      </c>
      <c r="C407">
        <v>80</v>
      </c>
      <c r="D407">
        <v>79.916320800999998</v>
      </c>
      <c r="E407">
        <v>50</v>
      </c>
      <c r="F407">
        <v>15.074166298</v>
      </c>
      <c r="G407">
        <v>1382.8798827999999</v>
      </c>
      <c r="H407">
        <v>1369.4644774999999</v>
      </c>
      <c r="I407">
        <v>1253.8240966999999</v>
      </c>
      <c r="J407">
        <v>1214.1441649999999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123</v>
      </c>
      <c r="B408" s="1">
        <f>DATE(2010,9,1) + TIME(0,0,0)</f>
        <v>40422</v>
      </c>
      <c r="C408">
        <v>80</v>
      </c>
      <c r="D408">
        <v>79.916389464999995</v>
      </c>
      <c r="E408">
        <v>50</v>
      </c>
      <c r="F408">
        <v>15.079343796</v>
      </c>
      <c r="G408">
        <v>1382.8525391000001</v>
      </c>
      <c r="H408">
        <v>1369.4385986</v>
      </c>
      <c r="I408">
        <v>1253.8548584</v>
      </c>
      <c r="J408">
        <v>1214.1737060999999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123.867239</v>
      </c>
      <c r="B409" s="1">
        <f>DATE(2010,9,1) + TIME(20,48,49)</f>
        <v>40422.8672337963</v>
      </c>
      <c r="C409">
        <v>80</v>
      </c>
      <c r="D409">
        <v>79.916511536000002</v>
      </c>
      <c r="E409">
        <v>50</v>
      </c>
      <c r="F409">
        <v>15.086860657000001</v>
      </c>
      <c r="G409">
        <v>1382.8211670000001</v>
      </c>
      <c r="H409">
        <v>1369.4089355000001</v>
      </c>
      <c r="I409">
        <v>1253.8909911999999</v>
      </c>
      <c r="J409">
        <v>1214.2095947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124.739805</v>
      </c>
      <c r="B410" s="1">
        <f>DATE(2010,9,2) + TIME(17,45,19)</f>
        <v>40423.739803240744</v>
      </c>
      <c r="C410">
        <v>80</v>
      </c>
      <c r="D410">
        <v>79.916625976999995</v>
      </c>
      <c r="E410">
        <v>50</v>
      </c>
      <c r="F410">
        <v>15.096634865</v>
      </c>
      <c r="G410">
        <v>1382.7669678</v>
      </c>
      <c r="H410">
        <v>1369.3577881000001</v>
      </c>
      <c r="I410">
        <v>1253.9548339999999</v>
      </c>
      <c r="J410">
        <v>1214.2700195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125.625203</v>
      </c>
      <c r="B411" s="1">
        <f>DATE(2010,9,3) + TIME(15,0,17)</f>
        <v>40424.625196759262</v>
      </c>
      <c r="C411">
        <v>80</v>
      </c>
      <c r="D411">
        <v>79.916748046999999</v>
      </c>
      <c r="E411">
        <v>50</v>
      </c>
      <c r="F411">
        <v>15.108249664000001</v>
      </c>
      <c r="G411">
        <v>1382.7124022999999</v>
      </c>
      <c r="H411">
        <v>1369.3061522999999</v>
      </c>
      <c r="I411">
        <v>1254.0209961</v>
      </c>
      <c r="J411">
        <v>1214.333374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126.071687</v>
      </c>
      <c r="B412" s="1">
        <f>DATE(2010,9,4) + TIME(1,43,13)</f>
        <v>40425.07167824074</v>
      </c>
      <c r="C412">
        <v>80</v>
      </c>
      <c r="D412">
        <v>79.916793823000006</v>
      </c>
      <c r="E412">
        <v>50</v>
      </c>
      <c r="F412">
        <v>15.117464066</v>
      </c>
      <c r="G412">
        <v>1382.6572266000001</v>
      </c>
      <c r="H412">
        <v>1369.2539062000001</v>
      </c>
      <c r="I412">
        <v>1254.0909423999999</v>
      </c>
      <c r="J412">
        <v>1214.3979492000001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126.932042</v>
      </c>
      <c r="B413" s="1">
        <f>DATE(2010,9,4) + TIME(22,22,8)</f>
        <v>40425.932037037041</v>
      </c>
      <c r="C413">
        <v>80</v>
      </c>
      <c r="D413">
        <v>79.916915893999999</v>
      </c>
      <c r="E413">
        <v>50</v>
      </c>
      <c r="F413">
        <v>15.130062103</v>
      </c>
      <c r="G413">
        <v>1382.6289062000001</v>
      </c>
      <c r="H413">
        <v>1369.2270507999999</v>
      </c>
      <c r="I413">
        <v>1254.1254882999999</v>
      </c>
      <c r="J413">
        <v>1214.4360352000001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127.373176</v>
      </c>
      <c r="B414" s="1">
        <f>DATE(2010,9,5) + TIME(8,57,22)</f>
        <v>40426.373171296298</v>
      </c>
      <c r="C414">
        <v>80</v>
      </c>
      <c r="D414">
        <v>79.916969299000002</v>
      </c>
      <c r="E414">
        <v>50</v>
      </c>
      <c r="F414">
        <v>15.140415192000001</v>
      </c>
      <c r="G414">
        <v>1382.5758057</v>
      </c>
      <c r="H414">
        <v>1369.1768798999999</v>
      </c>
      <c r="I414">
        <v>1254.1967772999999</v>
      </c>
      <c r="J414">
        <v>1214.5020752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128.223196</v>
      </c>
      <c r="B415" s="1">
        <f>DATE(2010,9,6) + TIME(5,21,24)</f>
        <v>40427.223194444443</v>
      </c>
      <c r="C415">
        <v>80</v>
      </c>
      <c r="D415">
        <v>79.917083739999995</v>
      </c>
      <c r="E415">
        <v>50</v>
      </c>
      <c r="F415">
        <v>15.154745102</v>
      </c>
      <c r="G415">
        <v>1382.5479736</v>
      </c>
      <c r="H415">
        <v>1369.1505127</v>
      </c>
      <c r="I415">
        <v>1254.2324219</v>
      </c>
      <c r="J415">
        <v>1214.5421143000001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129.10212000000001</v>
      </c>
      <c r="B416" s="1">
        <f>DATE(2010,9,7) + TIME(2,27,3)</f>
        <v>40428.102118055554</v>
      </c>
      <c r="C416">
        <v>80</v>
      </c>
      <c r="D416">
        <v>79.917198181000003</v>
      </c>
      <c r="E416">
        <v>50</v>
      </c>
      <c r="F416">
        <v>15.172046661</v>
      </c>
      <c r="G416">
        <v>1382.4958495999999</v>
      </c>
      <c r="H416">
        <v>1369.1009521000001</v>
      </c>
      <c r="I416">
        <v>1254.3048096</v>
      </c>
      <c r="J416">
        <v>1214.6141356999999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129.98454899999999</v>
      </c>
      <c r="B417" s="1">
        <f>DATE(2010,9,7) + TIME(23,37,45)</f>
        <v>40428.984548611108</v>
      </c>
      <c r="C417">
        <v>80</v>
      </c>
      <c r="D417">
        <v>79.917312621999997</v>
      </c>
      <c r="E417">
        <v>50</v>
      </c>
      <c r="F417">
        <v>15.192017555</v>
      </c>
      <c r="G417">
        <v>1382.4415283000001</v>
      </c>
      <c r="H417">
        <v>1369.0495605000001</v>
      </c>
      <c r="I417">
        <v>1254.3819579999999</v>
      </c>
      <c r="J417">
        <v>1214.6918945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130.428496</v>
      </c>
      <c r="B418" s="1">
        <f>DATE(2010,9,8) + TIME(10,17,2)</f>
        <v>40429.428495370368</v>
      </c>
      <c r="C418">
        <v>80</v>
      </c>
      <c r="D418">
        <v>79.917366028000004</v>
      </c>
      <c r="E418">
        <v>50</v>
      </c>
      <c r="F418">
        <v>15.207582474000001</v>
      </c>
      <c r="G418">
        <v>1382.3873291</v>
      </c>
      <c r="H418">
        <v>1368.9981689000001</v>
      </c>
      <c r="I418">
        <v>1254.4639893000001</v>
      </c>
      <c r="J418">
        <v>1214.7698975000001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130.872444</v>
      </c>
      <c r="B419" s="1">
        <f>DATE(2010,9,8) + TIME(20,56,19)</f>
        <v>40429.872442129628</v>
      </c>
      <c r="C419">
        <v>80</v>
      </c>
      <c r="D419">
        <v>79.917419433999996</v>
      </c>
      <c r="E419">
        <v>50</v>
      </c>
      <c r="F419">
        <v>15.222430229</v>
      </c>
      <c r="G419">
        <v>1382.3591309000001</v>
      </c>
      <c r="H419">
        <v>1368.9714355000001</v>
      </c>
      <c r="I419">
        <v>1254.5050048999999</v>
      </c>
      <c r="J419">
        <v>1214.8142089999999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131.31639200000001</v>
      </c>
      <c r="B420" s="1">
        <f>DATE(2010,9,9) + TIME(7,35,36)</f>
        <v>40430.316388888888</v>
      </c>
      <c r="C420">
        <v>80</v>
      </c>
      <c r="D420">
        <v>79.917480468999997</v>
      </c>
      <c r="E420">
        <v>50</v>
      </c>
      <c r="F420">
        <v>15.237109183999999</v>
      </c>
      <c r="G420">
        <v>1382.3317870999999</v>
      </c>
      <c r="H420">
        <v>1368.9454346</v>
      </c>
      <c r="I420">
        <v>1254.5466309000001</v>
      </c>
      <c r="J420">
        <v>1214.8588867000001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131.760086</v>
      </c>
      <c r="B421" s="1">
        <f>DATE(2010,9,9) + TIME(18,14,31)</f>
        <v>40430.760081018518</v>
      </c>
      <c r="C421">
        <v>80</v>
      </c>
      <c r="D421">
        <v>79.917533875000004</v>
      </c>
      <c r="E421">
        <v>50</v>
      </c>
      <c r="F421">
        <v>15.251963614999999</v>
      </c>
      <c r="G421">
        <v>1382.3045654</v>
      </c>
      <c r="H421">
        <v>1368.9195557</v>
      </c>
      <c r="I421">
        <v>1254.5892334</v>
      </c>
      <c r="J421">
        <v>1214.9042969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132.20303899999999</v>
      </c>
      <c r="B422" s="1">
        <f>DATE(2010,9,10) + TIME(4,52,22)</f>
        <v>40431.203032407408</v>
      </c>
      <c r="C422">
        <v>80</v>
      </c>
      <c r="D422">
        <v>79.917594910000005</v>
      </c>
      <c r="E422">
        <v>50</v>
      </c>
      <c r="F422">
        <v>15.267212868</v>
      </c>
      <c r="G422">
        <v>1382.2773437999999</v>
      </c>
      <c r="H422">
        <v>1368.8936768000001</v>
      </c>
      <c r="I422">
        <v>1254.6324463000001</v>
      </c>
      <c r="J422">
        <v>1214.9505615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132.64523800000001</v>
      </c>
      <c r="B423" s="1">
        <f>DATE(2010,9,10) + TIME(15,29,8)</f>
        <v>40431.645231481481</v>
      </c>
      <c r="C423">
        <v>80</v>
      </c>
      <c r="D423">
        <v>79.917648314999994</v>
      </c>
      <c r="E423">
        <v>50</v>
      </c>
      <c r="F423">
        <v>15.283006668000001</v>
      </c>
      <c r="G423">
        <v>1382.2501221</v>
      </c>
      <c r="H423">
        <v>1368.8677978999999</v>
      </c>
      <c r="I423">
        <v>1254.6765137</v>
      </c>
      <c r="J423">
        <v>1214.9978027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133.08666500000001</v>
      </c>
      <c r="B424" s="1">
        <f>DATE(2010,9,11) + TIME(2,4,47)</f>
        <v>40432.086655092593</v>
      </c>
      <c r="C424">
        <v>80</v>
      </c>
      <c r="D424">
        <v>79.917709350999999</v>
      </c>
      <c r="E424">
        <v>50</v>
      </c>
      <c r="F424">
        <v>15.299448012999999</v>
      </c>
      <c r="G424">
        <v>1382.2230225000001</v>
      </c>
      <c r="H424">
        <v>1368.8420410000001</v>
      </c>
      <c r="I424">
        <v>1254.7211914</v>
      </c>
      <c r="J424">
        <v>1215.0460204999999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133.52732499999999</v>
      </c>
      <c r="B425" s="1">
        <f>DATE(2010,9,11) + TIME(12,39,20)</f>
        <v>40432.527314814812</v>
      </c>
      <c r="C425">
        <v>80</v>
      </c>
      <c r="D425">
        <v>79.917762756000002</v>
      </c>
      <c r="E425">
        <v>50</v>
      </c>
      <c r="F425">
        <v>15.316614151</v>
      </c>
      <c r="G425">
        <v>1382.1959228999999</v>
      </c>
      <c r="H425">
        <v>1368.8164062000001</v>
      </c>
      <c r="I425">
        <v>1254.7664795000001</v>
      </c>
      <c r="J425">
        <v>1215.0952147999999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133.96724699999999</v>
      </c>
      <c r="B426" s="1">
        <f>DATE(2010,9,11) + TIME(23,12,50)</f>
        <v>40432.967245370368</v>
      </c>
      <c r="C426">
        <v>80</v>
      </c>
      <c r="D426">
        <v>79.917823791999993</v>
      </c>
      <c r="E426">
        <v>50</v>
      </c>
      <c r="F426">
        <v>15.334566116</v>
      </c>
      <c r="G426">
        <v>1382.1689452999999</v>
      </c>
      <c r="H426">
        <v>1368.7907714999999</v>
      </c>
      <c r="I426">
        <v>1254.8125</v>
      </c>
      <c r="J426">
        <v>1215.1455077999999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134.406485</v>
      </c>
      <c r="B427" s="1">
        <f>DATE(2010,9,12) + TIME(9,45,20)</f>
        <v>40433.406481481485</v>
      </c>
      <c r="C427">
        <v>80</v>
      </c>
      <c r="D427">
        <v>79.917877196999996</v>
      </c>
      <c r="E427">
        <v>50</v>
      </c>
      <c r="F427">
        <v>15.353355408000001</v>
      </c>
      <c r="G427">
        <v>1382.1420897999999</v>
      </c>
      <c r="H427">
        <v>1368.7651367000001</v>
      </c>
      <c r="I427">
        <v>1254.8591309000001</v>
      </c>
      <c r="J427">
        <v>1215.1970214999999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134.84510499999999</v>
      </c>
      <c r="B428" s="1">
        <f>DATE(2010,9,12) + TIME(20,16,57)</f>
        <v>40433.845104166663</v>
      </c>
      <c r="C428">
        <v>80</v>
      </c>
      <c r="D428">
        <v>79.917930603000002</v>
      </c>
      <c r="E428">
        <v>50</v>
      </c>
      <c r="F428">
        <v>15.373027801999999</v>
      </c>
      <c r="G428">
        <v>1382.1152344</v>
      </c>
      <c r="H428">
        <v>1368.739624</v>
      </c>
      <c r="I428">
        <v>1254.9064940999999</v>
      </c>
      <c r="J428">
        <v>1215.2496338000001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135.28319099999999</v>
      </c>
      <c r="B429" s="1">
        <f>DATE(2010,9,13) + TIME(6,47,47)</f>
        <v>40434.283182870371</v>
      </c>
      <c r="C429">
        <v>80</v>
      </c>
      <c r="D429">
        <v>79.917991638000004</v>
      </c>
      <c r="E429">
        <v>50</v>
      </c>
      <c r="F429">
        <v>15.393627167</v>
      </c>
      <c r="G429">
        <v>1382.088501</v>
      </c>
      <c r="H429">
        <v>1368.7141113</v>
      </c>
      <c r="I429">
        <v>1254.9544678</v>
      </c>
      <c r="J429">
        <v>1215.3034668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135.72084100000001</v>
      </c>
      <c r="B430" s="1">
        <f>DATE(2010,9,13) + TIME(17,18,0)</f>
        <v>40434.720833333333</v>
      </c>
      <c r="C430">
        <v>80</v>
      </c>
      <c r="D430">
        <v>79.918045043999996</v>
      </c>
      <c r="E430">
        <v>50</v>
      </c>
      <c r="F430">
        <v>15.415196419000001</v>
      </c>
      <c r="G430">
        <v>1382.0616454999999</v>
      </c>
      <c r="H430">
        <v>1368.6887207</v>
      </c>
      <c r="I430">
        <v>1255.0032959</v>
      </c>
      <c r="J430">
        <v>1215.3586425999999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136.158162</v>
      </c>
      <c r="B431" s="1">
        <f>DATE(2010,9,14) + TIME(3,47,45)</f>
        <v>40435.158159722225</v>
      </c>
      <c r="C431">
        <v>80</v>
      </c>
      <c r="D431">
        <v>79.918106078999998</v>
      </c>
      <c r="E431">
        <v>50</v>
      </c>
      <c r="F431">
        <v>15.43778038</v>
      </c>
      <c r="G431">
        <v>1382.0350341999999</v>
      </c>
      <c r="H431">
        <v>1368.6633300999999</v>
      </c>
      <c r="I431">
        <v>1255.0527344</v>
      </c>
      <c r="J431">
        <v>1215.4150391000001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136.59527600000001</v>
      </c>
      <c r="B432" s="1">
        <f>DATE(2010,9,14) + TIME(14,17,11)</f>
        <v>40435.595266203702</v>
      </c>
      <c r="C432">
        <v>80</v>
      </c>
      <c r="D432">
        <v>79.918159485000004</v>
      </c>
      <c r="E432">
        <v>50</v>
      </c>
      <c r="F432">
        <v>15.46142292</v>
      </c>
      <c r="G432">
        <v>1382.0083007999999</v>
      </c>
      <c r="H432">
        <v>1368.6379394999999</v>
      </c>
      <c r="I432">
        <v>1255.1029053</v>
      </c>
      <c r="J432">
        <v>1215.4729004000001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137.03231099999999</v>
      </c>
      <c r="B433" s="1">
        <f>DATE(2010,9,15) + TIME(0,46,31)</f>
        <v>40436.03230324074</v>
      </c>
      <c r="C433">
        <v>80</v>
      </c>
      <c r="D433">
        <v>79.918212890999996</v>
      </c>
      <c r="E433">
        <v>50</v>
      </c>
      <c r="F433">
        <v>15.486170768999999</v>
      </c>
      <c r="G433">
        <v>1381.9816894999999</v>
      </c>
      <c r="H433">
        <v>1368.6125488</v>
      </c>
      <c r="I433">
        <v>1255.1539307</v>
      </c>
      <c r="J433">
        <v>1215.5321045000001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137.469346</v>
      </c>
      <c r="B434" s="1">
        <f>DATE(2010,9,15) + TIME(11,15,51)</f>
        <v>40436.469340277778</v>
      </c>
      <c r="C434">
        <v>80</v>
      </c>
      <c r="D434">
        <v>79.918273925999998</v>
      </c>
      <c r="E434">
        <v>50</v>
      </c>
      <c r="F434">
        <v>15.512071608999999</v>
      </c>
      <c r="G434">
        <v>1381.9550781</v>
      </c>
      <c r="H434">
        <v>1368.5872803</v>
      </c>
      <c r="I434">
        <v>1255.2056885</v>
      </c>
      <c r="J434">
        <v>1215.5928954999999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137.90638100000001</v>
      </c>
      <c r="B435" s="1">
        <f>DATE(2010,9,15) + TIME(21,45,11)</f>
        <v>40436.906377314815</v>
      </c>
      <c r="C435">
        <v>80</v>
      </c>
      <c r="D435">
        <v>79.918327332000004</v>
      </c>
      <c r="E435">
        <v>50</v>
      </c>
      <c r="F435">
        <v>15.539168358</v>
      </c>
      <c r="G435">
        <v>1381.9284668</v>
      </c>
      <c r="H435">
        <v>1368.5618896000001</v>
      </c>
      <c r="I435">
        <v>1255.2581786999999</v>
      </c>
      <c r="J435">
        <v>1215.6551514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138.34341599999999</v>
      </c>
      <c r="B436" s="1">
        <f>DATE(2010,9,16) + TIME(8,14,31)</f>
        <v>40437.343414351853</v>
      </c>
      <c r="C436">
        <v>80</v>
      </c>
      <c r="D436">
        <v>79.918380737000007</v>
      </c>
      <c r="E436">
        <v>50</v>
      </c>
      <c r="F436">
        <v>15.567505836</v>
      </c>
      <c r="G436">
        <v>1381.9018555</v>
      </c>
      <c r="H436">
        <v>1368.536499</v>
      </c>
      <c r="I436">
        <v>1255.3116454999999</v>
      </c>
      <c r="J436">
        <v>1215.7189940999999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138.780451</v>
      </c>
      <c r="B437" s="1">
        <f>DATE(2010,9,16) + TIME(18,43,50)</f>
        <v>40437.780439814815</v>
      </c>
      <c r="C437">
        <v>80</v>
      </c>
      <c r="D437">
        <v>79.918434142999999</v>
      </c>
      <c r="E437">
        <v>50</v>
      </c>
      <c r="F437">
        <v>15.597128868</v>
      </c>
      <c r="G437">
        <v>1381.8753661999999</v>
      </c>
      <c r="H437">
        <v>1368.5112305</v>
      </c>
      <c r="I437">
        <v>1255.3658447</v>
      </c>
      <c r="J437">
        <v>1215.7845459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139.65452099999999</v>
      </c>
      <c r="B438" s="1">
        <f>DATE(2010,9,17) + TIME(15,42,30)</f>
        <v>40438.654513888891</v>
      </c>
      <c r="C438">
        <v>80</v>
      </c>
      <c r="D438">
        <v>79.918556213000002</v>
      </c>
      <c r="E438">
        <v>50</v>
      </c>
      <c r="F438">
        <v>15.642064095</v>
      </c>
      <c r="G438">
        <v>1381.848999</v>
      </c>
      <c r="H438">
        <v>1368.4860839999999</v>
      </c>
      <c r="I438">
        <v>1255.4161377</v>
      </c>
      <c r="J438">
        <v>1215.8587646000001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140.53254999999999</v>
      </c>
      <c r="B439" s="1">
        <f>DATE(2010,9,18) + TIME(12,46,52)</f>
        <v>40439.532546296294</v>
      </c>
      <c r="C439">
        <v>80</v>
      </c>
      <c r="D439">
        <v>79.918670653999996</v>
      </c>
      <c r="E439">
        <v>50</v>
      </c>
      <c r="F439">
        <v>15.700452804999999</v>
      </c>
      <c r="G439">
        <v>1381.7963867000001</v>
      </c>
      <c r="H439">
        <v>1368.4360352000001</v>
      </c>
      <c r="I439">
        <v>1255.5296631000001</v>
      </c>
      <c r="J439">
        <v>1215.9930420000001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140.982046</v>
      </c>
      <c r="B440" s="1">
        <f>DATE(2010,9,18) + TIME(23,34,8)</f>
        <v>40439.982037037036</v>
      </c>
      <c r="C440">
        <v>80</v>
      </c>
      <c r="D440">
        <v>79.918716431000007</v>
      </c>
      <c r="E440">
        <v>50</v>
      </c>
      <c r="F440">
        <v>15.747953415</v>
      </c>
      <c r="G440">
        <v>1381.7432861</v>
      </c>
      <c r="H440">
        <v>1368.385376</v>
      </c>
      <c r="I440">
        <v>1255.6531981999999</v>
      </c>
      <c r="J440">
        <v>1216.1269531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141.43154100000001</v>
      </c>
      <c r="B441" s="1">
        <f>DATE(2010,9,19) + TIME(10,21,25)</f>
        <v>40440.431539351855</v>
      </c>
      <c r="C441">
        <v>80</v>
      </c>
      <c r="D441">
        <v>79.918777465999995</v>
      </c>
      <c r="E441">
        <v>50</v>
      </c>
      <c r="F441">
        <v>15.793325424000001</v>
      </c>
      <c r="G441">
        <v>1381.7152100000001</v>
      </c>
      <c r="H441">
        <v>1368.3585204999999</v>
      </c>
      <c r="I441">
        <v>1255.7125243999999</v>
      </c>
      <c r="J441">
        <v>1216.2088623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141.88103699999999</v>
      </c>
      <c r="B442" s="1">
        <f>DATE(2010,9,19) + TIME(21,8,41)</f>
        <v>40440.881030092591</v>
      </c>
      <c r="C442">
        <v>80</v>
      </c>
      <c r="D442">
        <v>79.918830872000001</v>
      </c>
      <c r="E442">
        <v>50</v>
      </c>
      <c r="F442">
        <v>15.838074684</v>
      </c>
      <c r="G442">
        <v>1381.6878661999999</v>
      </c>
      <c r="H442">
        <v>1368.3325195</v>
      </c>
      <c r="I442">
        <v>1255.7731934000001</v>
      </c>
      <c r="J442">
        <v>1216.2912598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142.33053200000001</v>
      </c>
      <c r="B443" s="1">
        <f>DATE(2010,9,20) + TIME(7,55,57)</f>
        <v>40441.330520833333</v>
      </c>
      <c r="C443">
        <v>80</v>
      </c>
      <c r="D443">
        <v>79.918891907000003</v>
      </c>
      <c r="E443">
        <v>50</v>
      </c>
      <c r="F443">
        <v>15.883145332</v>
      </c>
      <c r="G443">
        <v>1381.6606445</v>
      </c>
      <c r="H443">
        <v>1368.3063964999999</v>
      </c>
      <c r="I443">
        <v>1255.8352050999999</v>
      </c>
      <c r="J443">
        <v>1216.3751221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142.78002799999999</v>
      </c>
      <c r="B444" s="1">
        <f>DATE(2010,9,20) + TIME(18,43,14)</f>
        <v>40441.780023148145</v>
      </c>
      <c r="C444">
        <v>80</v>
      </c>
      <c r="D444">
        <v>79.918945312000005</v>
      </c>
      <c r="E444">
        <v>50</v>
      </c>
      <c r="F444">
        <v>15.929134369</v>
      </c>
      <c r="G444">
        <v>1381.6333007999999</v>
      </c>
      <c r="H444">
        <v>1368.2803954999999</v>
      </c>
      <c r="I444">
        <v>1255.8984375</v>
      </c>
      <c r="J444">
        <v>1216.4606934000001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143.229523</v>
      </c>
      <c r="B445" s="1">
        <f>DATE(2010,9,21) + TIME(5,30,30)</f>
        <v>40442.229513888888</v>
      </c>
      <c r="C445">
        <v>80</v>
      </c>
      <c r="D445">
        <v>79.918998717999997</v>
      </c>
      <c r="E445">
        <v>50</v>
      </c>
      <c r="F445">
        <v>15.976425171000001</v>
      </c>
      <c r="G445">
        <v>1381.6060791</v>
      </c>
      <c r="H445">
        <v>1368.2542725000001</v>
      </c>
      <c r="I445">
        <v>1255.9627685999999</v>
      </c>
      <c r="J445">
        <v>1216.5480957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143.67901900000001</v>
      </c>
      <c r="B446" s="1">
        <f>DATE(2010,9,21) + TIME(16,17,47)</f>
        <v>40442.679016203707</v>
      </c>
      <c r="C446">
        <v>80</v>
      </c>
      <c r="D446">
        <v>79.919059752999999</v>
      </c>
      <c r="E446">
        <v>50</v>
      </c>
      <c r="F446">
        <v>16.025272369</v>
      </c>
      <c r="G446">
        <v>1381.5788574000001</v>
      </c>
      <c r="H446">
        <v>1368.2282714999999</v>
      </c>
      <c r="I446">
        <v>1256.0280762</v>
      </c>
      <c r="J446">
        <v>1216.6376952999999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144.128514</v>
      </c>
      <c r="B447" s="1">
        <f>DATE(2010,9,22) + TIME(3,5,3)</f>
        <v>40443.128506944442</v>
      </c>
      <c r="C447">
        <v>80</v>
      </c>
      <c r="D447">
        <v>79.919113159000005</v>
      </c>
      <c r="E447">
        <v>50</v>
      </c>
      <c r="F447">
        <v>16.075843810999999</v>
      </c>
      <c r="G447">
        <v>1381.5515137</v>
      </c>
      <c r="H447">
        <v>1368.2022704999999</v>
      </c>
      <c r="I447">
        <v>1256.0943603999999</v>
      </c>
      <c r="J447">
        <v>1216.7294922000001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144.57801000000001</v>
      </c>
      <c r="B448" s="1">
        <f>DATE(2010,9,22) + TIME(13,52,20)</f>
        <v>40443.578009259261</v>
      </c>
      <c r="C448">
        <v>80</v>
      </c>
      <c r="D448">
        <v>79.919174193999993</v>
      </c>
      <c r="E448">
        <v>50</v>
      </c>
      <c r="F448">
        <v>16.128261565999999</v>
      </c>
      <c r="G448">
        <v>1381.5242920000001</v>
      </c>
      <c r="H448">
        <v>1368.1761475000001</v>
      </c>
      <c r="I448">
        <v>1256.1616211</v>
      </c>
      <c r="J448">
        <v>1216.8236084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145.02750499999999</v>
      </c>
      <c r="B449" s="1">
        <f>DATE(2010,9,23) + TIME(0,39,36)</f>
        <v>40444.027499999997</v>
      </c>
      <c r="C449">
        <v>80</v>
      </c>
      <c r="D449">
        <v>79.919227599999999</v>
      </c>
      <c r="E449">
        <v>50</v>
      </c>
      <c r="F449">
        <v>16.18261528</v>
      </c>
      <c r="G449">
        <v>1381.4970702999999</v>
      </c>
      <c r="H449">
        <v>1368.1501464999999</v>
      </c>
      <c r="I449">
        <v>1256.2298584</v>
      </c>
      <c r="J449">
        <v>1216.9201660000001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145.477</v>
      </c>
      <c r="B450" s="1">
        <f>DATE(2010,9,23) + TIME(11,26,52)</f>
        <v>40444.476990740739</v>
      </c>
      <c r="C450">
        <v>80</v>
      </c>
      <c r="D450">
        <v>79.919281006000006</v>
      </c>
      <c r="E450">
        <v>50</v>
      </c>
      <c r="F450">
        <v>16.238975525000001</v>
      </c>
      <c r="G450">
        <v>1381.4698486</v>
      </c>
      <c r="H450">
        <v>1368.1241454999999</v>
      </c>
      <c r="I450">
        <v>1256.2989502</v>
      </c>
      <c r="J450">
        <v>1217.0189209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145.92649599999999</v>
      </c>
      <c r="B451" s="1">
        <f>DATE(2010,9,23) + TIME(22,14,9)</f>
        <v>40444.926493055558</v>
      </c>
      <c r="C451">
        <v>80</v>
      </c>
      <c r="D451">
        <v>79.919342040999993</v>
      </c>
      <c r="E451">
        <v>50</v>
      </c>
      <c r="F451">
        <v>16.297399520999999</v>
      </c>
      <c r="G451">
        <v>1381.4426269999999</v>
      </c>
      <c r="H451">
        <v>1368.0980225000001</v>
      </c>
      <c r="I451">
        <v>1256.3688964999999</v>
      </c>
      <c r="J451">
        <v>1217.1202393000001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146.375991</v>
      </c>
      <c r="B452" s="1">
        <f>DATE(2010,9,24) + TIME(9,1,25)</f>
        <v>40445.375983796293</v>
      </c>
      <c r="C452">
        <v>80</v>
      </c>
      <c r="D452">
        <v>79.919395446999999</v>
      </c>
      <c r="E452">
        <v>50</v>
      </c>
      <c r="F452">
        <v>16.357934952000001</v>
      </c>
      <c r="G452">
        <v>1381.4154053</v>
      </c>
      <c r="H452">
        <v>1368.0720214999999</v>
      </c>
      <c r="I452">
        <v>1256.4398193</v>
      </c>
      <c r="J452">
        <v>1217.2241211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146.82548700000001</v>
      </c>
      <c r="B453" s="1">
        <f>DATE(2010,9,24) + TIME(19,48,42)</f>
        <v>40445.825486111113</v>
      </c>
      <c r="C453">
        <v>80</v>
      </c>
      <c r="D453">
        <v>79.919456482000001</v>
      </c>
      <c r="E453">
        <v>50</v>
      </c>
      <c r="F453">
        <v>16.420623779</v>
      </c>
      <c r="G453">
        <v>1381.3883057</v>
      </c>
      <c r="H453">
        <v>1368.0460204999999</v>
      </c>
      <c r="I453">
        <v>1256.5114745999999</v>
      </c>
      <c r="J453">
        <v>1217.3304443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147.27498199999999</v>
      </c>
      <c r="B454" s="1">
        <f>DATE(2010,9,25) + TIME(6,35,58)</f>
        <v>40446.274976851855</v>
      </c>
      <c r="C454">
        <v>80</v>
      </c>
      <c r="D454">
        <v>79.919509887999993</v>
      </c>
      <c r="E454">
        <v>50</v>
      </c>
      <c r="F454">
        <v>16.485502242999999</v>
      </c>
      <c r="G454">
        <v>1381.3610839999999</v>
      </c>
      <c r="H454">
        <v>1368.0198975000001</v>
      </c>
      <c r="I454">
        <v>1256.5841064000001</v>
      </c>
      <c r="J454">
        <v>1217.4393310999999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147.724478</v>
      </c>
      <c r="B455" s="1">
        <f>DATE(2010,9,25) + TIME(17,23,14)</f>
        <v>40446.72446759259</v>
      </c>
      <c r="C455">
        <v>80</v>
      </c>
      <c r="D455">
        <v>79.919563292999996</v>
      </c>
      <c r="E455">
        <v>50</v>
      </c>
      <c r="F455">
        <v>16.552597045999999</v>
      </c>
      <c r="G455">
        <v>1381.3338623</v>
      </c>
      <c r="H455">
        <v>1367.9938964999999</v>
      </c>
      <c r="I455">
        <v>1256.6575928</v>
      </c>
      <c r="J455">
        <v>1217.5507812000001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148.17397299999999</v>
      </c>
      <c r="B456" s="1">
        <f>DATE(2010,9,26) + TIME(4,10,31)</f>
        <v>40447.17396990741</v>
      </c>
      <c r="C456">
        <v>80</v>
      </c>
      <c r="D456">
        <v>79.919624329000001</v>
      </c>
      <c r="E456">
        <v>50</v>
      </c>
      <c r="F456">
        <v>16.621936798</v>
      </c>
      <c r="G456">
        <v>1381.3067627</v>
      </c>
      <c r="H456">
        <v>1367.9678954999999</v>
      </c>
      <c r="I456">
        <v>1256.7319336</v>
      </c>
      <c r="J456">
        <v>1217.6646728999999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148.623469</v>
      </c>
      <c r="B457" s="1">
        <f>DATE(2010,9,26) + TIME(14,57,47)</f>
        <v>40447.623460648145</v>
      </c>
      <c r="C457">
        <v>80</v>
      </c>
      <c r="D457">
        <v>79.919677734000004</v>
      </c>
      <c r="E457">
        <v>50</v>
      </c>
      <c r="F457">
        <v>16.693544387999999</v>
      </c>
      <c r="G457">
        <v>1381.2795410000001</v>
      </c>
      <c r="H457">
        <v>1367.9418945</v>
      </c>
      <c r="I457">
        <v>1256.8070068</v>
      </c>
      <c r="J457">
        <v>1217.7813721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149.07296400000001</v>
      </c>
      <c r="B458" s="1">
        <f>DATE(2010,9,27) + TIME(1,45,4)</f>
        <v>40448.072962962964</v>
      </c>
      <c r="C458">
        <v>80</v>
      </c>
      <c r="D458">
        <v>79.919731139999996</v>
      </c>
      <c r="E458">
        <v>50</v>
      </c>
      <c r="F458">
        <v>16.767435074000002</v>
      </c>
      <c r="G458">
        <v>1381.2524414</v>
      </c>
      <c r="H458">
        <v>1367.9158935999999</v>
      </c>
      <c r="I458">
        <v>1256.8830565999999</v>
      </c>
      <c r="J458">
        <v>1217.9005127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149.52246</v>
      </c>
      <c r="B459" s="1">
        <f>DATE(2010,9,27) + TIME(12,32,20)</f>
        <v>40448.522453703707</v>
      </c>
      <c r="C459">
        <v>80</v>
      </c>
      <c r="D459">
        <v>79.919792174999998</v>
      </c>
      <c r="E459">
        <v>50</v>
      </c>
      <c r="F459">
        <v>16.843620300000001</v>
      </c>
      <c r="G459">
        <v>1381.2253418</v>
      </c>
      <c r="H459">
        <v>1367.8898925999999</v>
      </c>
      <c r="I459">
        <v>1256.9598389</v>
      </c>
      <c r="J459">
        <v>1218.0223389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149.97195500000001</v>
      </c>
      <c r="B460" s="1">
        <f>DATE(2010,9,27) + TIME(23,19,36)</f>
        <v>40448.971944444442</v>
      </c>
      <c r="C460">
        <v>80</v>
      </c>
      <c r="D460">
        <v>79.919845581000004</v>
      </c>
      <c r="E460">
        <v>50</v>
      </c>
      <c r="F460">
        <v>16.922096251999999</v>
      </c>
      <c r="G460">
        <v>1381.1982422000001</v>
      </c>
      <c r="H460">
        <v>1367.8638916</v>
      </c>
      <c r="I460">
        <v>1257.0374756000001</v>
      </c>
      <c r="J460">
        <v>1218.1467285000001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150.42145099999999</v>
      </c>
      <c r="B461" s="1">
        <f>DATE(2010,9,28) + TIME(10,6,53)</f>
        <v>40449.421446759261</v>
      </c>
      <c r="C461">
        <v>80</v>
      </c>
      <c r="D461">
        <v>79.919898986999996</v>
      </c>
      <c r="E461">
        <v>50</v>
      </c>
      <c r="F461">
        <v>17.002880095999998</v>
      </c>
      <c r="G461">
        <v>1381.1711425999999</v>
      </c>
      <c r="H461">
        <v>1367.8378906</v>
      </c>
      <c r="I461">
        <v>1257.1158447</v>
      </c>
      <c r="J461">
        <v>1218.2736815999999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150.870946</v>
      </c>
      <c r="B462" s="1">
        <f>DATE(2010,9,28) + TIME(20,54,9)</f>
        <v>40449.870937500003</v>
      </c>
      <c r="C462">
        <v>80</v>
      </c>
      <c r="D462">
        <v>79.919960021999998</v>
      </c>
      <c r="E462">
        <v>50</v>
      </c>
      <c r="F462">
        <v>17.085983276</v>
      </c>
      <c r="G462">
        <v>1381.1441649999999</v>
      </c>
      <c r="H462">
        <v>1367.8120117000001</v>
      </c>
      <c r="I462">
        <v>1257.1950684000001</v>
      </c>
      <c r="J462">
        <v>1218.4031981999999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151.32044200000001</v>
      </c>
      <c r="B463" s="1">
        <f>DATE(2010,9,29) + TIME(7,41,26)</f>
        <v>40450.320439814815</v>
      </c>
      <c r="C463">
        <v>80</v>
      </c>
      <c r="D463">
        <v>79.920013428000004</v>
      </c>
      <c r="E463">
        <v>50</v>
      </c>
      <c r="F463">
        <v>17.171405792000002</v>
      </c>
      <c r="G463">
        <v>1381.1170654</v>
      </c>
      <c r="H463">
        <v>1367.7860106999999</v>
      </c>
      <c r="I463">
        <v>1257.2750243999999</v>
      </c>
      <c r="J463">
        <v>1218.5354004000001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151.769937</v>
      </c>
      <c r="B464" s="1">
        <f>DATE(2010,9,29) + TIME(18,28,42)</f>
        <v>40450.769930555558</v>
      </c>
      <c r="C464">
        <v>80</v>
      </c>
      <c r="D464">
        <v>79.920066833000007</v>
      </c>
      <c r="E464">
        <v>50</v>
      </c>
      <c r="F464">
        <v>17.259141922000001</v>
      </c>
      <c r="G464">
        <v>1381.0900879000001</v>
      </c>
      <c r="H464">
        <v>1367.7601318</v>
      </c>
      <c r="I464">
        <v>1257.3557129000001</v>
      </c>
      <c r="J464">
        <v>1218.6700439000001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152.21943200000001</v>
      </c>
      <c r="B465" s="1">
        <f>DATE(2010,9,30) + TIME(5,15,58)</f>
        <v>40451.219421296293</v>
      </c>
      <c r="C465">
        <v>80</v>
      </c>
      <c r="D465">
        <v>79.920120238999999</v>
      </c>
      <c r="E465">
        <v>50</v>
      </c>
      <c r="F465">
        <v>17.349182128999999</v>
      </c>
      <c r="G465">
        <v>1381.0631103999999</v>
      </c>
      <c r="H465">
        <v>1367.7342529</v>
      </c>
      <c r="I465">
        <v>1257.4372559000001</v>
      </c>
      <c r="J465">
        <v>1218.807251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153</v>
      </c>
      <c r="B466" s="1">
        <f>DATE(2010,10,1) + TIME(0,0,0)</f>
        <v>40452</v>
      </c>
      <c r="C466">
        <v>80</v>
      </c>
      <c r="D466">
        <v>79.920227050999998</v>
      </c>
      <c r="E466">
        <v>50</v>
      </c>
      <c r="F466">
        <v>17.473669052000002</v>
      </c>
      <c r="G466">
        <v>1381.0361327999999</v>
      </c>
      <c r="H466">
        <v>1367.708374</v>
      </c>
      <c r="I466">
        <v>1257.5095214999999</v>
      </c>
      <c r="J466">
        <v>1218.9642334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153.898991</v>
      </c>
      <c r="B467" s="1">
        <f>DATE(2010,10,1) + TIME(21,34,32)</f>
        <v>40452.898981481485</v>
      </c>
      <c r="C467">
        <v>80</v>
      </c>
      <c r="D467">
        <v>79.920333862000007</v>
      </c>
      <c r="E467">
        <v>50</v>
      </c>
      <c r="F467">
        <v>17.632337570000001</v>
      </c>
      <c r="G467">
        <v>1380.9898682</v>
      </c>
      <c r="H467">
        <v>1367.6639404</v>
      </c>
      <c r="I467">
        <v>1257.6547852000001</v>
      </c>
      <c r="J467">
        <v>1219.2073975000001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154.82339899999999</v>
      </c>
      <c r="B468" s="1">
        <f>DATE(2010,10,2) + TIME(19,45,41)</f>
        <v>40453.823391203703</v>
      </c>
      <c r="C468">
        <v>80</v>
      </c>
      <c r="D468">
        <v>79.920448303000001</v>
      </c>
      <c r="E468">
        <v>50</v>
      </c>
      <c r="F468">
        <v>17.818897246999999</v>
      </c>
      <c r="G468">
        <v>1380.9364014</v>
      </c>
      <c r="H468">
        <v>1367.6126709</v>
      </c>
      <c r="I468">
        <v>1257.8255615</v>
      </c>
      <c r="J468">
        <v>1219.4938964999999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155.773889</v>
      </c>
      <c r="B469" s="1">
        <f>DATE(2010,10,3) + TIME(18,34,23)</f>
        <v>40454.773877314816</v>
      </c>
      <c r="C469">
        <v>80</v>
      </c>
      <c r="D469">
        <v>79.920562743999994</v>
      </c>
      <c r="E469">
        <v>50</v>
      </c>
      <c r="F469">
        <v>18.026376723999999</v>
      </c>
      <c r="G469">
        <v>1380.8813477000001</v>
      </c>
      <c r="H469">
        <v>1367.5598144999999</v>
      </c>
      <c r="I469">
        <v>1258.0021973</v>
      </c>
      <c r="J469">
        <v>1219.8022461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156.729433</v>
      </c>
      <c r="B470" s="1">
        <f>DATE(2010,10,4) + TIME(17,30,23)</f>
        <v>40455.729432870372</v>
      </c>
      <c r="C470">
        <v>80</v>
      </c>
      <c r="D470">
        <v>79.920684813999998</v>
      </c>
      <c r="E470">
        <v>50</v>
      </c>
      <c r="F470">
        <v>18.249784470000002</v>
      </c>
      <c r="G470">
        <v>1380.8250731999999</v>
      </c>
      <c r="H470">
        <v>1367.5057373</v>
      </c>
      <c r="I470">
        <v>1258.1864014</v>
      </c>
      <c r="J470">
        <v>1220.1298827999999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157.693715</v>
      </c>
      <c r="B471" s="1">
        <f>DATE(2010,10,5) + TIME(16,38,57)</f>
        <v>40456.693715277775</v>
      </c>
      <c r="C471">
        <v>80</v>
      </c>
      <c r="D471">
        <v>79.920799255000006</v>
      </c>
      <c r="E471">
        <v>50</v>
      </c>
      <c r="F471">
        <v>18.486196518</v>
      </c>
      <c r="G471">
        <v>1380.7685547000001</v>
      </c>
      <c r="H471">
        <v>1367.4515381000001</v>
      </c>
      <c r="I471">
        <v>1258.3739014</v>
      </c>
      <c r="J471">
        <v>1220.4708252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158.669882</v>
      </c>
      <c r="B472" s="1">
        <f>DATE(2010,10,6) + TIME(16,4,37)</f>
        <v>40457.669872685183</v>
      </c>
      <c r="C472">
        <v>80</v>
      </c>
      <c r="D472">
        <v>79.920921325999998</v>
      </c>
      <c r="E472">
        <v>50</v>
      </c>
      <c r="F472">
        <v>18.734643936000001</v>
      </c>
      <c r="G472">
        <v>1380.7117920000001</v>
      </c>
      <c r="H472">
        <v>1367.3969727000001</v>
      </c>
      <c r="I472">
        <v>1258.5655518000001</v>
      </c>
      <c r="J472">
        <v>1220.8251952999999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159.66048599999999</v>
      </c>
      <c r="B473" s="1">
        <f>DATE(2010,10,7) + TIME(15,51,5)</f>
        <v>40458.660474537035</v>
      </c>
      <c r="C473">
        <v>80</v>
      </c>
      <c r="D473">
        <v>79.921035767000006</v>
      </c>
      <c r="E473">
        <v>50</v>
      </c>
      <c r="F473">
        <v>18.994916916000001</v>
      </c>
      <c r="G473">
        <v>1380.6546631000001</v>
      </c>
      <c r="H473">
        <v>1367.3420410000001</v>
      </c>
      <c r="I473">
        <v>1258.7623291</v>
      </c>
      <c r="J473">
        <v>1221.1934814000001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160.668057</v>
      </c>
      <c r="B474" s="1">
        <f>DATE(2010,10,8) + TIME(16,2,0)</f>
        <v>40459.668055555558</v>
      </c>
      <c r="C474">
        <v>80</v>
      </c>
      <c r="D474">
        <v>79.921157836999996</v>
      </c>
      <c r="E474">
        <v>50</v>
      </c>
      <c r="F474">
        <v>19.267011642</v>
      </c>
      <c r="G474">
        <v>1380.5970459</v>
      </c>
      <c r="H474">
        <v>1367.2866211</v>
      </c>
      <c r="I474">
        <v>1258.9647216999999</v>
      </c>
      <c r="J474">
        <v>1221.5764160000001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161.694917</v>
      </c>
      <c r="B475" s="1">
        <f>DATE(2010,10,9) + TIME(16,40,40)</f>
        <v>40460.694907407407</v>
      </c>
      <c r="C475">
        <v>80</v>
      </c>
      <c r="D475">
        <v>79.921279906999999</v>
      </c>
      <c r="E475">
        <v>50</v>
      </c>
      <c r="F475">
        <v>19.551155090000002</v>
      </c>
      <c r="G475">
        <v>1380.5386963000001</v>
      </c>
      <c r="H475">
        <v>1367.2305908000001</v>
      </c>
      <c r="I475">
        <v>1259.1732178</v>
      </c>
      <c r="J475">
        <v>1221.9748535000001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162.734272</v>
      </c>
      <c r="B476" s="1">
        <f>DATE(2010,10,10) + TIME(17,37,21)</f>
        <v>40461.734270833331</v>
      </c>
      <c r="C476">
        <v>80</v>
      </c>
      <c r="D476">
        <v>79.921409607000001</v>
      </c>
      <c r="E476">
        <v>50</v>
      </c>
      <c r="F476">
        <v>19.846490859999999</v>
      </c>
      <c r="G476">
        <v>1380.4796143000001</v>
      </c>
      <c r="H476">
        <v>1367.1738281</v>
      </c>
      <c r="I476">
        <v>1259.3884277</v>
      </c>
      <c r="J476">
        <v>1222.3886719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163.78670500000001</v>
      </c>
      <c r="B477" s="1">
        <f>DATE(2010,10,11) + TIME(18,52,51)</f>
        <v>40462.78670138889</v>
      </c>
      <c r="C477">
        <v>80</v>
      </c>
      <c r="D477">
        <v>79.921531677000004</v>
      </c>
      <c r="E477">
        <v>50</v>
      </c>
      <c r="F477">
        <v>20.152109146000001</v>
      </c>
      <c r="G477">
        <v>1380.4202881000001</v>
      </c>
      <c r="H477">
        <v>1367.1166992000001</v>
      </c>
      <c r="I477">
        <v>1259.6086425999999</v>
      </c>
      <c r="J477">
        <v>1222.8154297000001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164.855099</v>
      </c>
      <c r="B478" s="1">
        <f>DATE(2010,10,12) + TIME(20,31,20)</f>
        <v>40463.855092592596</v>
      </c>
      <c r="C478">
        <v>80</v>
      </c>
      <c r="D478">
        <v>79.921661377000007</v>
      </c>
      <c r="E478">
        <v>50</v>
      </c>
      <c r="F478">
        <v>20.467485428</v>
      </c>
      <c r="G478">
        <v>1380.3607178</v>
      </c>
      <c r="H478">
        <v>1367.0594481999999</v>
      </c>
      <c r="I478">
        <v>1259.8337402</v>
      </c>
      <c r="J478">
        <v>1223.2550048999999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165.942205</v>
      </c>
      <c r="B479" s="1">
        <f>DATE(2010,10,13) + TIME(22,36,46)</f>
        <v>40464.942199074074</v>
      </c>
      <c r="C479">
        <v>80</v>
      </c>
      <c r="D479">
        <v>79.921791076999995</v>
      </c>
      <c r="E479">
        <v>50</v>
      </c>
      <c r="F479">
        <v>20.792169570999999</v>
      </c>
      <c r="G479">
        <v>1380.3006591999999</v>
      </c>
      <c r="H479">
        <v>1367.0017089999999</v>
      </c>
      <c r="I479">
        <v>1260.0642089999999</v>
      </c>
      <c r="J479">
        <v>1223.7072754000001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167.04457199999999</v>
      </c>
      <c r="B480" s="1">
        <f>DATE(2010,10,15) + TIME(1,4,10)</f>
        <v>40466.044560185182</v>
      </c>
      <c r="C480">
        <v>80</v>
      </c>
      <c r="D480">
        <v>79.921920775999993</v>
      </c>
      <c r="E480">
        <v>50</v>
      </c>
      <c r="F480">
        <v>21.125352858999999</v>
      </c>
      <c r="G480">
        <v>1380.2401123</v>
      </c>
      <c r="H480">
        <v>1366.9436035000001</v>
      </c>
      <c r="I480">
        <v>1260.3009033000001</v>
      </c>
      <c r="J480">
        <v>1224.1721190999999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168.16166200000001</v>
      </c>
      <c r="B481" s="1">
        <f>DATE(2010,10,16) + TIME(3,52,47)</f>
        <v>40467.16165509259</v>
      </c>
      <c r="C481">
        <v>80</v>
      </c>
      <c r="D481">
        <v>79.922050475999995</v>
      </c>
      <c r="E481">
        <v>50</v>
      </c>
      <c r="F481">
        <v>21.465860367000001</v>
      </c>
      <c r="G481">
        <v>1380.1794434000001</v>
      </c>
      <c r="H481">
        <v>1366.8852539</v>
      </c>
      <c r="I481">
        <v>1260.5424805</v>
      </c>
      <c r="J481">
        <v>1224.6477050999999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169.29670899999999</v>
      </c>
      <c r="B482" s="1">
        <f>DATE(2010,10,17) + TIME(7,7,15)</f>
        <v>40468.296701388892</v>
      </c>
      <c r="C482">
        <v>80</v>
      </c>
      <c r="D482">
        <v>79.922180175999998</v>
      </c>
      <c r="E482">
        <v>50</v>
      </c>
      <c r="F482">
        <v>21.812990189000001</v>
      </c>
      <c r="G482">
        <v>1380.1185303</v>
      </c>
      <c r="H482">
        <v>1366.8267822</v>
      </c>
      <c r="I482">
        <v>1260.7886963000001</v>
      </c>
      <c r="J482">
        <v>1225.1329346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170.45272299999999</v>
      </c>
      <c r="B483" s="1">
        <f>DATE(2010,10,18) + TIME(10,51,55)</f>
        <v>40469.452719907407</v>
      </c>
      <c r="C483">
        <v>80</v>
      </c>
      <c r="D483">
        <v>79.922317504999995</v>
      </c>
      <c r="E483">
        <v>50</v>
      </c>
      <c r="F483">
        <v>22.166559219</v>
      </c>
      <c r="G483">
        <v>1380.0573730000001</v>
      </c>
      <c r="H483">
        <v>1366.7680664</v>
      </c>
      <c r="I483">
        <v>1261.0400391000001</v>
      </c>
      <c r="J483">
        <v>1225.6280518000001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171.629794</v>
      </c>
      <c r="B484" s="1">
        <f>DATE(2010,10,19) + TIME(15,6,54)</f>
        <v>40470.629791666666</v>
      </c>
      <c r="C484">
        <v>80</v>
      </c>
      <c r="D484">
        <v>79.922454834000007</v>
      </c>
      <c r="E484">
        <v>50</v>
      </c>
      <c r="F484">
        <v>22.526157379000001</v>
      </c>
      <c r="G484">
        <v>1379.9958495999999</v>
      </c>
      <c r="H484">
        <v>1366.7089844</v>
      </c>
      <c r="I484">
        <v>1261.2969971</v>
      </c>
      <c r="J484">
        <v>1226.1329346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172.825547</v>
      </c>
      <c r="B485" s="1">
        <f>DATE(2010,10,20) + TIME(19,48,47)</f>
        <v>40471.825543981482</v>
      </c>
      <c r="C485">
        <v>80</v>
      </c>
      <c r="D485">
        <v>79.922592163000004</v>
      </c>
      <c r="E485">
        <v>50</v>
      </c>
      <c r="F485">
        <v>22.890830994000002</v>
      </c>
      <c r="G485">
        <v>1379.934082</v>
      </c>
      <c r="H485">
        <v>1366.6496582</v>
      </c>
      <c r="I485">
        <v>1261.5593262</v>
      </c>
      <c r="J485">
        <v>1226.6467285000001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174.04363900000001</v>
      </c>
      <c r="B486" s="1">
        <f>DATE(2010,10,22) + TIME(1,2,50)</f>
        <v>40473.043634259258</v>
      </c>
      <c r="C486">
        <v>80</v>
      </c>
      <c r="D486">
        <v>79.922729492000002</v>
      </c>
      <c r="E486">
        <v>50</v>
      </c>
      <c r="F486">
        <v>23.259860992</v>
      </c>
      <c r="G486">
        <v>1379.8721923999999</v>
      </c>
      <c r="H486">
        <v>1366.5902100000001</v>
      </c>
      <c r="I486">
        <v>1261.8259277</v>
      </c>
      <c r="J486">
        <v>1227.1679687999999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175.28748400000001</v>
      </c>
      <c r="B487" s="1">
        <f>DATE(2010,10,23) + TIME(6,53,58)</f>
        <v>40474.287476851852</v>
      </c>
      <c r="C487">
        <v>80</v>
      </c>
      <c r="D487">
        <v>79.922874450999998</v>
      </c>
      <c r="E487">
        <v>50</v>
      </c>
      <c r="F487">
        <v>23.633119582999999</v>
      </c>
      <c r="G487">
        <v>1379.8100586</v>
      </c>
      <c r="H487">
        <v>1366.5306396000001</v>
      </c>
      <c r="I487">
        <v>1262.0975341999999</v>
      </c>
      <c r="J487">
        <v>1227.6966553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176.56054900000001</v>
      </c>
      <c r="B488" s="1">
        <f>DATE(2010,10,24) + TIME(13,27,11)</f>
        <v>40475.560543981483</v>
      </c>
      <c r="C488">
        <v>80</v>
      </c>
      <c r="D488">
        <v>79.923019409000005</v>
      </c>
      <c r="E488">
        <v>50</v>
      </c>
      <c r="F488">
        <v>24.010698317999999</v>
      </c>
      <c r="G488">
        <v>1379.7475586</v>
      </c>
      <c r="H488">
        <v>1366.4707031</v>
      </c>
      <c r="I488">
        <v>1262.3742675999999</v>
      </c>
      <c r="J488">
        <v>1228.2332764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177.86638500000001</v>
      </c>
      <c r="B489" s="1">
        <f>DATE(2010,10,25) + TIME(20,47,35)</f>
        <v>40476.866377314815</v>
      </c>
      <c r="C489">
        <v>80</v>
      </c>
      <c r="D489">
        <v>79.923171996999997</v>
      </c>
      <c r="E489">
        <v>50</v>
      </c>
      <c r="F489">
        <v>24.392766952999999</v>
      </c>
      <c r="G489">
        <v>1379.6845702999999</v>
      </c>
      <c r="H489">
        <v>1366.4104004000001</v>
      </c>
      <c r="I489">
        <v>1262.6566161999999</v>
      </c>
      <c r="J489">
        <v>1228.7781981999999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179.20097000000001</v>
      </c>
      <c r="B490" s="1">
        <f>DATE(2010,10,27) + TIME(4,49,23)</f>
        <v>40478.200960648152</v>
      </c>
      <c r="C490">
        <v>80</v>
      </c>
      <c r="D490">
        <v>79.923316955999994</v>
      </c>
      <c r="E490">
        <v>50</v>
      </c>
      <c r="F490">
        <v>24.778768539000001</v>
      </c>
      <c r="G490">
        <v>1379.6210937999999</v>
      </c>
      <c r="H490">
        <v>1366.3496094</v>
      </c>
      <c r="I490">
        <v>1262.9448242000001</v>
      </c>
      <c r="J490">
        <v>1229.3310547000001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180.56707399999999</v>
      </c>
      <c r="B491" s="1">
        <f>DATE(2010,10,28) + TIME(13,36,35)</f>
        <v>40479.567071759258</v>
      </c>
      <c r="C491">
        <v>80</v>
      </c>
      <c r="D491">
        <v>79.923477172999995</v>
      </c>
      <c r="E491">
        <v>50</v>
      </c>
      <c r="F491">
        <v>25.168018341</v>
      </c>
      <c r="G491">
        <v>1379.557251</v>
      </c>
      <c r="H491">
        <v>1366.2885742000001</v>
      </c>
      <c r="I491">
        <v>1263.2375488</v>
      </c>
      <c r="J491">
        <v>1229.8898925999999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181.96902399999999</v>
      </c>
      <c r="B492" s="1">
        <f>DATE(2010,10,29) + TIME(23,15,23)</f>
        <v>40480.9690162037</v>
      </c>
      <c r="C492">
        <v>80</v>
      </c>
      <c r="D492">
        <v>79.923629761000001</v>
      </c>
      <c r="E492">
        <v>50</v>
      </c>
      <c r="F492">
        <v>25.560424805</v>
      </c>
      <c r="G492">
        <v>1379.4931641000001</v>
      </c>
      <c r="H492">
        <v>1366.2271728999999</v>
      </c>
      <c r="I492">
        <v>1263.534668</v>
      </c>
      <c r="J492">
        <v>1230.4544678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183.40527700000001</v>
      </c>
      <c r="B493" s="1">
        <f>DATE(2010,10,31) + TIME(9,43,35)</f>
        <v>40482.405266203707</v>
      </c>
      <c r="C493">
        <v>80</v>
      </c>
      <c r="D493">
        <v>79.923789978000002</v>
      </c>
      <c r="E493">
        <v>50</v>
      </c>
      <c r="F493">
        <v>25.955406189000001</v>
      </c>
      <c r="G493">
        <v>1379.4285889</v>
      </c>
      <c r="H493">
        <v>1366.1654053</v>
      </c>
      <c r="I493">
        <v>1263.8366699000001</v>
      </c>
      <c r="J493">
        <v>1231.0247803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184</v>
      </c>
      <c r="B494" s="1">
        <f>DATE(2010,11,1) + TIME(0,0,0)</f>
        <v>40483</v>
      </c>
      <c r="C494">
        <v>80</v>
      </c>
      <c r="D494">
        <v>79.923851013000004</v>
      </c>
      <c r="E494">
        <v>50</v>
      </c>
      <c r="F494">
        <v>26.228013992000001</v>
      </c>
      <c r="G494">
        <v>1379.3645019999999</v>
      </c>
      <c r="H494">
        <v>1366.104126</v>
      </c>
      <c r="I494">
        <v>1264.1491699000001</v>
      </c>
      <c r="J494">
        <v>1231.5179443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184.000001</v>
      </c>
      <c r="B495" s="1">
        <f>DATE(2010,11,1) + TIME(0,0,0)</f>
        <v>40483</v>
      </c>
      <c r="C495">
        <v>80</v>
      </c>
      <c r="D495">
        <v>79.923698424999998</v>
      </c>
      <c r="E495">
        <v>50</v>
      </c>
      <c r="F495">
        <v>26.228181839000001</v>
      </c>
      <c r="G495">
        <v>1365.2294922000001</v>
      </c>
      <c r="H495">
        <v>1353.1738281</v>
      </c>
      <c r="I495">
        <v>1298.3048096</v>
      </c>
      <c r="J495">
        <v>1265.1129149999999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184.00000399999999</v>
      </c>
      <c r="B496" s="1">
        <f>DATE(2010,11,1) + TIME(0,0,0)</f>
        <v>40483</v>
      </c>
      <c r="C496">
        <v>80</v>
      </c>
      <c r="D496">
        <v>79.923316955999994</v>
      </c>
      <c r="E496">
        <v>50</v>
      </c>
      <c r="F496">
        <v>26.228651047</v>
      </c>
      <c r="G496">
        <v>1363.0209961</v>
      </c>
      <c r="H496">
        <v>1350.9642334</v>
      </c>
      <c r="I496">
        <v>1300.7885742000001</v>
      </c>
      <c r="J496">
        <v>1267.7901611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184.000013</v>
      </c>
      <c r="B497" s="1">
        <f>DATE(2010,11,1) + TIME(0,0,1)</f>
        <v>40483.000011574077</v>
      </c>
      <c r="C497">
        <v>80</v>
      </c>
      <c r="D497">
        <v>79.922538756999998</v>
      </c>
      <c r="E497">
        <v>50</v>
      </c>
      <c r="F497">
        <v>26.229860305999999</v>
      </c>
      <c r="G497">
        <v>1358.5665283000001</v>
      </c>
      <c r="H497">
        <v>1346.5087891000001</v>
      </c>
      <c r="I497">
        <v>1306.9761963000001</v>
      </c>
      <c r="J497">
        <v>1274.3635254000001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184.00004000000001</v>
      </c>
      <c r="B498" s="1">
        <f>DATE(2010,11,1) + TIME(0,0,3)</f>
        <v>40483.000034722223</v>
      </c>
      <c r="C498">
        <v>80</v>
      </c>
      <c r="D498">
        <v>79.921409607000001</v>
      </c>
      <c r="E498">
        <v>50</v>
      </c>
      <c r="F498">
        <v>26.232534408999999</v>
      </c>
      <c r="G498">
        <v>1352.0662841999999</v>
      </c>
      <c r="H498">
        <v>1340.0096435999999</v>
      </c>
      <c r="I498">
        <v>1319.2019043</v>
      </c>
      <c r="J498">
        <v>1287.0457764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184.00012100000001</v>
      </c>
      <c r="B499" s="1">
        <f>DATE(2010,11,1) + TIME(0,0,10)</f>
        <v>40483.000115740739</v>
      </c>
      <c r="C499">
        <v>80</v>
      </c>
      <c r="D499">
        <v>79.920120238999999</v>
      </c>
      <c r="E499">
        <v>50</v>
      </c>
      <c r="F499">
        <v>26.237730026000001</v>
      </c>
      <c r="G499">
        <v>1344.8261719</v>
      </c>
      <c r="H499">
        <v>1332.7816161999999</v>
      </c>
      <c r="I499">
        <v>1336.4731445</v>
      </c>
      <c r="J499">
        <v>1304.4381103999999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184.00036399999999</v>
      </c>
      <c r="B500" s="1">
        <f>DATE(2010,11,1) + TIME(0,0,31)</f>
        <v>40483.000358796293</v>
      </c>
      <c r="C500">
        <v>80</v>
      </c>
      <c r="D500">
        <v>79.918746948000006</v>
      </c>
      <c r="E500">
        <v>50</v>
      </c>
      <c r="F500">
        <v>26.248872757000001</v>
      </c>
      <c r="G500">
        <v>1337.5451660000001</v>
      </c>
      <c r="H500">
        <v>1325.5155029</v>
      </c>
      <c r="I500">
        <v>1355.5983887</v>
      </c>
      <c r="J500">
        <v>1323.6047363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184.001093</v>
      </c>
      <c r="B501" s="1">
        <f>DATE(2010,11,1) + TIME(0,1,34)</f>
        <v>40483.001087962963</v>
      </c>
      <c r="C501">
        <v>80</v>
      </c>
      <c r="D501">
        <v>79.917160034000005</v>
      </c>
      <c r="E501">
        <v>50</v>
      </c>
      <c r="F501">
        <v>26.277105331000001</v>
      </c>
      <c r="G501">
        <v>1330.2084961</v>
      </c>
      <c r="H501">
        <v>1318.1777344</v>
      </c>
      <c r="I501">
        <v>1374.9953613</v>
      </c>
      <c r="J501">
        <v>1343.1166992000001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184.00327999999999</v>
      </c>
      <c r="B502" s="1">
        <f>DATE(2010,11,1) + TIME(0,4,43)</f>
        <v>40483.003275462965</v>
      </c>
      <c r="C502">
        <v>80</v>
      </c>
      <c r="D502">
        <v>79.914863585999996</v>
      </c>
      <c r="E502">
        <v>50</v>
      </c>
      <c r="F502">
        <v>26.356164931999999</v>
      </c>
      <c r="G502">
        <v>1322.4841309000001</v>
      </c>
      <c r="H502">
        <v>1310.3825684000001</v>
      </c>
      <c r="I502">
        <v>1394.0444336</v>
      </c>
      <c r="J502">
        <v>1362.2615966999999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184.00984099999999</v>
      </c>
      <c r="B503" s="1">
        <f>DATE(2010,11,1) + TIME(0,14,10)</f>
        <v>40483.009837962964</v>
      </c>
      <c r="C503">
        <v>80</v>
      </c>
      <c r="D503">
        <v>79.910575867000006</v>
      </c>
      <c r="E503">
        <v>50</v>
      </c>
      <c r="F503">
        <v>26.586402892999999</v>
      </c>
      <c r="G503">
        <v>1314.2890625</v>
      </c>
      <c r="H503">
        <v>1302.0852050999999</v>
      </c>
      <c r="I503">
        <v>1410.8234863</v>
      </c>
      <c r="J503">
        <v>1379.1060791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184.02952400000001</v>
      </c>
      <c r="B504" s="1">
        <f>DATE(2010,11,1) + TIME(0,42,30)</f>
        <v>40483.029513888891</v>
      </c>
      <c r="C504">
        <v>80</v>
      </c>
      <c r="D504">
        <v>79.900886536000002</v>
      </c>
      <c r="E504">
        <v>50</v>
      </c>
      <c r="F504">
        <v>27.255485534999998</v>
      </c>
      <c r="G504">
        <v>1307.1457519999999</v>
      </c>
      <c r="H504">
        <v>1294.8880615</v>
      </c>
      <c r="I504">
        <v>1421.7751464999999</v>
      </c>
      <c r="J504">
        <v>1390.3941649999999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184.05473900000001</v>
      </c>
      <c r="B505" s="1">
        <f>DATE(2010,11,1) + TIME(1,18,49)</f>
        <v>40483.0547337963</v>
      </c>
      <c r="C505">
        <v>80</v>
      </c>
      <c r="D505">
        <v>79.889678954999994</v>
      </c>
      <c r="E505">
        <v>50</v>
      </c>
      <c r="F505">
        <v>28.082256316999999</v>
      </c>
      <c r="G505">
        <v>1304.1235352000001</v>
      </c>
      <c r="H505">
        <v>1291.8521728999999</v>
      </c>
      <c r="I505">
        <v>1424.8455810999999</v>
      </c>
      <c r="J505">
        <v>1393.9830322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184.08071699999999</v>
      </c>
      <c r="B506" s="1">
        <f>DATE(2010,11,1) + TIME(1,56,13)</f>
        <v>40483.080706018518</v>
      </c>
      <c r="C506">
        <v>80</v>
      </c>
      <c r="D506">
        <v>79.878593445000007</v>
      </c>
      <c r="E506">
        <v>50</v>
      </c>
      <c r="F506">
        <v>28.903081894</v>
      </c>
      <c r="G506">
        <v>1302.9533690999999</v>
      </c>
      <c r="H506">
        <v>1290.6776123</v>
      </c>
      <c r="I506">
        <v>1425.1878661999999</v>
      </c>
      <c r="J506">
        <v>1394.8624268000001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184.10742200000001</v>
      </c>
      <c r="B507" s="1">
        <f>DATE(2010,11,1) + TIME(2,34,41)</f>
        <v>40483.107418981483</v>
      </c>
      <c r="C507">
        <v>80</v>
      </c>
      <c r="D507">
        <v>79.867446899000001</v>
      </c>
      <c r="E507">
        <v>50</v>
      </c>
      <c r="F507">
        <v>29.715156555</v>
      </c>
      <c r="G507">
        <v>1302.4693603999999</v>
      </c>
      <c r="H507">
        <v>1290.1917725000001</v>
      </c>
      <c r="I507">
        <v>1424.7001952999999</v>
      </c>
      <c r="J507">
        <v>1394.9041748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184.13487599999999</v>
      </c>
      <c r="B508" s="1">
        <f>DATE(2010,11,1) + TIME(3,14,13)</f>
        <v>40483.134872685187</v>
      </c>
      <c r="C508">
        <v>80</v>
      </c>
      <c r="D508">
        <v>79.856170653999996</v>
      </c>
      <c r="E508">
        <v>50</v>
      </c>
      <c r="F508">
        <v>30.517814636000001</v>
      </c>
      <c r="G508">
        <v>1302.2591553</v>
      </c>
      <c r="H508">
        <v>1289.9805908000001</v>
      </c>
      <c r="I508">
        <v>1423.9626464999999</v>
      </c>
      <c r="J508">
        <v>1394.6787108999999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184.163104</v>
      </c>
      <c r="B509" s="1">
        <f>DATE(2010,11,1) + TIME(3,54,52)</f>
        <v>40483.163101851853</v>
      </c>
      <c r="C509">
        <v>80</v>
      </c>
      <c r="D509">
        <v>79.844741821</v>
      </c>
      <c r="E509">
        <v>50</v>
      </c>
      <c r="F509">
        <v>31.310255050999999</v>
      </c>
      <c r="G509">
        <v>1302.1633300999999</v>
      </c>
      <c r="H509">
        <v>1289.8840332</v>
      </c>
      <c r="I509">
        <v>1423.1676024999999</v>
      </c>
      <c r="J509">
        <v>1394.3759766000001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184.19216499999999</v>
      </c>
      <c r="B510" s="1">
        <f>DATE(2010,11,1) + TIME(4,36,43)</f>
        <v>40483.192164351851</v>
      </c>
      <c r="C510">
        <v>80</v>
      </c>
      <c r="D510">
        <v>79.833122252999999</v>
      </c>
      <c r="E510">
        <v>50</v>
      </c>
      <c r="F510">
        <v>32.092540741000001</v>
      </c>
      <c r="G510">
        <v>1302.1175536999999</v>
      </c>
      <c r="H510">
        <v>1289.8376464999999</v>
      </c>
      <c r="I510">
        <v>1422.3785399999999</v>
      </c>
      <c r="J510">
        <v>1394.059082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184.22212999999999</v>
      </c>
      <c r="B511" s="1">
        <f>DATE(2010,11,1) + TIME(5,19,52)</f>
        <v>40483.222129629627</v>
      </c>
      <c r="C511">
        <v>80</v>
      </c>
      <c r="D511">
        <v>79.821289062000005</v>
      </c>
      <c r="E511">
        <v>50</v>
      </c>
      <c r="F511">
        <v>32.864986420000001</v>
      </c>
      <c r="G511">
        <v>1302.0944824000001</v>
      </c>
      <c r="H511">
        <v>1289.8139647999999</v>
      </c>
      <c r="I511">
        <v>1421.6138916</v>
      </c>
      <c r="J511">
        <v>1393.7475586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184.25306900000001</v>
      </c>
      <c r="B512" s="1">
        <f>DATE(2010,11,1) + TIME(6,4,25)</f>
        <v>40483.253067129626</v>
      </c>
      <c r="C512">
        <v>80</v>
      </c>
      <c r="D512">
        <v>79.80921936</v>
      </c>
      <c r="E512">
        <v>50</v>
      </c>
      <c r="F512">
        <v>33.627620696999998</v>
      </c>
      <c r="G512">
        <v>1302.0822754000001</v>
      </c>
      <c r="H512">
        <v>1289.8011475000001</v>
      </c>
      <c r="I512">
        <v>1420.8779297000001</v>
      </c>
      <c r="J512">
        <v>1393.4461670000001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184.28505799999999</v>
      </c>
      <c r="B513" s="1">
        <f>DATE(2010,11,1) + TIME(6,50,29)</f>
        <v>40483.285057870373</v>
      </c>
      <c r="C513">
        <v>80</v>
      </c>
      <c r="D513">
        <v>79.796897888000004</v>
      </c>
      <c r="E513">
        <v>50</v>
      </c>
      <c r="F513">
        <v>34.380447388</v>
      </c>
      <c r="G513">
        <v>1302.0753173999999</v>
      </c>
      <c r="H513">
        <v>1289.7937012</v>
      </c>
      <c r="I513">
        <v>1420.1699219</v>
      </c>
      <c r="J513">
        <v>1393.1552733999999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184.31817100000001</v>
      </c>
      <c r="B514" s="1">
        <f>DATE(2010,11,1) + TIME(7,38,10)</f>
        <v>40483.318171296298</v>
      </c>
      <c r="C514">
        <v>80</v>
      </c>
      <c r="D514">
        <v>79.784301757999998</v>
      </c>
      <c r="E514">
        <v>50</v>
      </c>
      <c r="F514">
        <v>35.123188018999997</v>
      </c>
      <c r="G514">
        <v>1302.0710449000001</v>
      </c>
      <c r="H514">
        <v>1289.7889404</v>
      </c>
      <c r="I514">
        <v>1419.4882812000001</v>
      </c>
      <c r="J514">
        <v>1392.8740233999999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184.35249899999999</v>
      </c>
      <c r="B515" s="1">
        <f>DATE(2010,11,1) + TIME(8,27,35)</f>
        <v>40483.352488425924</v>
      </c>
      <c r="C515">
        <v>80</v>
      </c>
      <c r="D515">
        <v>79.771415709999999</v>
      </c>
      <c r="E515">
        <v>50</v>
      </c>
      <c r="F515">
        <v>35.855762482000003</v>
      </c>
      <c r="G515">
        <v>1302.0681152</v>
      </c>
      <c r="H515">
        <v>1289.7854004000001</v>
      </c>
      <c r="I515">
        <v>1418.8309326000001</v>
      </c>
      <c r="J515">
        <v>1392.6011963000001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184.38816199999999</v>
      </c>
      <c r="B516" s="1">
        <f>DATE(2010,11,1) + TIME(9,18,57)</f>
        <v>40483.388159722221</v>
      </c>
      <c r="C516">
        <v>80</v>
      </c>
      <c r="D516">
        <v>79.758186339999995</v>
      </c>
      <c r="E516">
        <v>50</v>
      </c>
      <c r="F516">
        <v>36.578422545999999</v>
      </c>
      <c r="G516">
        <v>1302.0657959</v>
      </c>
      <c r="H516">
        <v>1289.7825928</v>
      </c>
      <c r="I516">
        <v>1418.1961670000001</v>
      </c>
      <c r="J516">
        <v>1392.3356934000001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184.42527999999999</v>
      </c>
      <c r="B517" s="1">
        <f>DATE(2010,11,1) + TIME(10,12,24)</f>
        <v>40483.42527777778</v>
      </c>
      <c r="C517">
        <v>80</v>
      </c>
      <c r="D517">
        <v>79.744598389000004</v>
      </c>
      <c r="E517">
        <v>50</v>
      </c>
      <c r="F517">
        <v>37.291088104000004</v>
      </c>
      <c r="G517">
        <v>1302.0638428</v>
      </c>
      <c r="H517">
        <v>1289.7799072</v>
      </c>
      <c r="I517">
        <v>1417.5821533000001</v>
      </c>
      <c r="J517">
        <v>1392.0767822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184.46399199999999</v>
      </c>
      <c r="B518" s="1">
        <f>DATE(2010,11,1) + TIME(11,8,8)</f>
        <v>40483.46398148148</v>
      </c>
      <c r="C518">
        <v>80</v>
      </c>
      <c r="D518">
        <v>79.730613708000007</v>
      </c>
      <c r="E518">
        <v>50</v>
      </c>
      <c r="F518">
        <v>37.993652343999997</v>
      </c>
      <c r="G518">
        <v>1302.0617675999999</v>
      </c>
      <c r="H518">
        <v>1289.7773437999999</v>
      </c>
      <c r="I518">
        <v>1416.9876709</v>
      </c>
      <c r="J518">
        <v>1391.8236084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184.504448</v>
      </c>
      <c r="B519" s="1">
        <f>DATE(2010,11,1) + TIME(12,6,24)</f>
        <v>40483.504444444443</v>
      </c>
      <c r="C519">
        <v>80</v>
      </c>
      <c r="D519">
        <v>79.716194153000004</v>
      </c>
      <c r="E519">
        <v>50</v>
      </c>
      <c r="F519">
        <v>38.685924530000001</v>
      </c>
      <c r="G519">
        <v>1302.0596923999999</v>
      </c>
      <c r="H519">
        <v>1289.7746582</v>
      </c>
      <c r="I519">
        <v>1416.411499</v>
      </c>
      <c r="J519">
        <v>1391.5755615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184.54682299999999</v>
      </c>
      <c r="B520" s="1">
        <f>DATE(2010,11,1) + TIME(13,7,25)</f>
        <v>40483.546817129631</v>
      </c>
      <c r="C520">
        <v>80</v>
      </c>
      <c r="D520">
        <v>79.701286315999994</v>
      </c>
      <c r="E520">
        <v>50</v>
      </c>
      <c r="F520">
        <v>39.367637633999998</v>
      </c>
      <c r="G520">
        <v>1302.0574951000001</v>
      </c>
      <c r="H520">
        <v>1289.7718506000001</v>
      </c>
      <c r="I520">
        <v>1415.8525391000001</v>
      </c>
      <c r="J520">
        <v>1391.3322754000001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184.591328</v>
      </c>
      <c r="B521" s="1">
        <f>DATE(2010,11,1) + TIME(14,11,30)</f>
        <v>40483.591319444444</v>
      </c>
      <c r="C521">
        <v>80</v>
      </c>
      <c r="D521">
        <v>79.685852050999998</v>
      </c>
      <c r="E521">
        <v>50</v>
      </c>
      <c r="F521">
        <v>40.038715363000001</v>
      </c>
      <c r="G521">
        <v>1302.0551757999999</v>
      </c>
      <c r="H521">
        <v>1289.7687988</v>
      </c>
      <c r="I521">
        <v>1415.3095702999999</v>
      </c>
      <c r="J521">
        <v>1391.0928954999999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184.638203</v>
      </c>
      <c r="B522" s="1">
        <f>DATE(2010,11,1) + TIME(15,19,0)</f>
        <v>40483.638194444444</v>
      </c>
      <c r="C522">
        <v>80</v>
      </c>
      <c r="D522">
        <v>79.669815063000001</v>
      </c>
      <c r="E522">
        <v>50</v>
      </c>
      <c r="F522">
        <v>40.699066162000001</v>
      </c>
      <c r="G522">
        <v>1302.0527344</v>
      </c>
      <c r="H522">
        <v>1289.765625</v>
      </c>
      <c r="I522">
        <v>1414.7816161999999</v>
      </c>
      <c r="J522">
        <v>1390.8569336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184.687727</v>
      </c>
      <c r="B523" s="1">
        <f>DATE(2010,11,1) + TIME(16,30,19)</f>
        <v>40483.687719907408</v>
      </c>
      <c r="C523">
        <v>80</v>
      </c>
      <c r="D523">
        <v>79.653106688999998</v>
      </c>
      <c r="E523">
        <v>50</v>
      </c>
      <c r="F523">
        <v>41.348209380999997</v>
      </c>
      <c r="G523">
        <v>1302.0499268000001</v>
      </c>
      <c r="H523">
        <v>1289.762207</v>
      </c>
      <c r="I523">
        <v>1414.2677002</v>
      </c>
      <c r="J523">
        <v>1390.6239014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184.74023</v>
      </c>
      <c r="B524" s="1">
        <f>DATE(2010,11,1) + TIME(17,45,55)</f>
        <v>40483.740219907406</v>
      </c>
      <c r="C524">
        <v>80</v>
      </c>
      <c r="D524">
        <v>79.635658264</v>
      </c>
      <c r="E524">
        <v>50</v>
      </c>
      <c r="F524">
        <v>41.985774994000003</v>
      </c>
      <c r="G524">
        <v>1302.0469971</v>
      </c>
      <c r="H524">
        <v>1289.7585449000001</v>
      </c>
      <c r="I524">
        <v>1413.7666016000001</v>
      </c>
      <c r="J524">
        <v>1390.3930664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184.79610500000001</v>
      </c>
      <c r="B525" s="1">
        <f>DATE(2010,11,1) + TIME(19,6,23)</f>
        <v>40483.796099537038</v>
      </c>
      <c r="C525">
        <v>80</v>
      </c>
      <c r="D525">
        <v>79.617362975999995</v>
      </c>
      <c r="E525">
        <v>50</v>
      </c>
      <c r="F525">
        <v>42.611316680999998</v>
      </c>
      <c r="G525">
        <v>1302.0439452999999</v>
      </c>
      <c r="H525">
        <v>1289.7545166</v>
      </c>
      <c r="I525">
        <v>1413.2775879000001</v>
      </c>
      <c r="J525">
        <v>1390.1639404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184.85582400000001</v>
      </c>
      <c r="B526" s="1">
        <f>DATE(2010,11,1) + TIME(20,32,23)</f>
        <v>40483.855821759258</v>
      </c>
      <c r="C526">
        <v>80</v>
      </c>
      <c r="D526">
        <v>79.598106384000005</v>
      </c>
      <c r="E526">
        <v>50</v>
      </c>
      <c r="F526">
        <v>43.224327086999999</v>
      </c>
      <c r="G526">
        <v>1302.0405272999999</v>
      </c>
      <c r="H526">
        <v>1289.7503661999999</v>
      </c>
      <c r="I526">
        <v>1412.7995605000001</v>
      </c>
      <c r="J526">
        <v>1389.9356689000001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184.919963</v>
      </c>
      <c r="B527" s="1">
        <f>DATE(2010,11,1) + TIME(22,4,44)</f>
        <v>40483.919953703706</v>
      </c>
      <c r="C527">
        <v>80</v>
      </c>
      <c r="D527">
        <v>79.577751160000005</v>
      </c>
      <c r="E527">
        <v>50</v>
      </c>
      <c r="F527">
        <v>43.824192046999997</v>
      </c>
      <c r="G527">
        <v>1302.0368652</v>
      </c>
      <c r="H527">
        <v>1289.7458495999999</v>
      </c>
      <c r="I527">
        <v>1412.3316649999999</v>
      </c>
      <c r="J527">
        <v>1389.7075195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184.98923199999999</v>
      </c>
      <c r="B528" s="1">
        <f>DATE(2010,11,1) + TIME(23,44,29)</f>
        <v>40483.989224537036</v>
      </c>
      <c r="C528">
        <v>80</v>
      </c>
      <c r="D528">
        <v>79.556137085000003</v>
      </c>
      <c r="E528">
        <v>50</v>
      </c>
      <c r="F528">
        <v>44.410186768000003</v>
      </c>
      <c r="G528">
        <v>1302.0329589999999</v>
      </c>
      <c r="H528">
        <v>1289.7409668</v>
      </c>
      <c r="I528">
        <v>1411.8725586</v>
      </c>
      <c r="J528">
        <v>1389.4790039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185.06451799999999</v>
      </c>
      <c r="B529" s="1">
        <f>DATE(2010,11,2) + TIME(1,32,54)</f>
        <v>40484.064513888887</v>
      </c>
      <c r="C529">
        <v>80</v>
      </c>
      <c r="D529">
        <v>79.533042907999999</v>
      </c>
      <c r="E529">
        <v>50</v>
      </c>
      <c r="F529">
        <v>44.981456756999997</v>
      </c>
      <c r="G529">
        <v>1302.0286865</v>
      </c>
      <c r="H529">
        <v>1289.7358397999999</v>
      </c>
      <c r="I529">
        <v>1411.4215088000001</v>
      </c>
      <c r="J529">
        <v>1389.2489014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185.146939</v>
      </c>
      <c r="B530" s="1">
        <f>DATE(2010,11,2) + TIME(3,31,35)</f>
        <v>40484.146932870368</v>
      </c>
      <c r="C530">
        <v>80</v>
      </c>
      <c r="D530">
        <v>79.508216857999997</v>
      </c>
      <c r="E530">
        <v>50</v>
      </c>
      <c r="F530">
        <v>45.536884307999998</v>
      </c>
      <c r="G530">
        <v>1302.0240478999999</v>
      </c>
      <c r="H530">
        <v>1289.7301024999999</v>
      </c>
      <c r="I530">
        <v>1410.9771728999999</v>
      </c>
      <c r="J530">
        <v>1389.0162353999999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185.23796200000001</v>
      </c>
      <c r="B531" s="1">
        <f>DATE(2010,11,2) + TIME(5,42,39)</f>
        <v>40484.237951388888</v>
      </c>
      <c r="C531">
        <v>80</v>
      </c>
      <c r="D531">
        <v>79.481330872000001</v>
      </c>
      <c r="E531">
        <v>50</v>
      </c>
      <c r="F531">
        <v>46.075260161999999</v>
      </c>
      <c r="G531">
        <v>1302.019043</v>
      </c>
      <c r="H531">
        <v>1289.723999</v>
      </c>
      <c r="I531">
        <v>1410.5384521000001</v>
      </c>
      <c r="J531">
        <v>1388.7800293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185.33954199999999</v>
      </c>
      <c r="B532" s="1">
        <f>DATE(2010,11,2) + TIME(8,8,56)</f>
        <v>40484.339537037034</v>
      </c>
      <c r="C532">
        <v>80</v>
      </c>
      <c r="D532">
        <v>79.451934813999998</v>
      </c>
      <c r="E532">
        <v>50</v>
      </c>
      <c r="F532">
        <v>46.595123291</v>
      </c>
      <c r="G532">
        <v>1302.0134277</v>
      </c>
      <c r="H532">
        <v>1289.7172852000001</v>
      </c>
      <c r="I532">
        <v>1410.1037598</v>
      </c>
      <c r="J532">
        <v>1388.5385742000001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185.44320999999999</v>
      </c>
      <c r="B533" s="1">
        <f>DATE(2010,11,2) + TIME(10,38,13)</f>
        <v>40484.443206018521</v>
      </c>
      <c r="C533">
        <v>80</v>
      </c>
      <c r="D533">
        <v>79.422203064000001</v>
      </c>
      <c r="E533">
        <v>50</v>
      </c>
      <c r="F533">
        <v>47.052886962999999</v>
      </c>
      <c r="G533">
        <v>1302.0072021000001</v>
      </c>
      <c r="H533">
        <v>1289.7098389</v>
      </c>
      <c r="I533">
        <v>1409.7001952999999</v>
      </c>
      <c r="J533">
        <v>1388.3024902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185.548588</v>
      </c>
      <c r="B534" s="1">
        <f>DATE(2010,11,2) + TIME(13,9,58)</f>
        <v>40484.548587962963</v>
      </c>
      <c r="C534">
        <v>80</v>
      </c>
      <c r="D534">
        <v>79.392219542999996</v>
      </c>
      <c r="E534">
        <v>50</v>
      </c>
      <c r="F534">
        <v>47.453395843999999</v>
      </c>
      <c r="G534">
        <v>1302.0007324000001</v>
      </c>
      <c r="H534">
        <v>1289.7022704999999</v>
      </c>
      <c r="I534">
        <v>1409.3312988</v>
      </c>
      <c r="J534">
        <v>1388.0791016000001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185.655923</v>
      </c>
      <c r="B535" s="1">
        <f>DATE(2010,11,2) + TIME(15,44,31)</f>
        <v>40484.655914351853</v>
      </c>
      <c r="C535">
        <v>80</v>
      </c>
      <c r="D535">
        <v>79.361923218000001</v>
      </c>
      <c r="E535">
        <v>50</v>
      </c>
      <c r="F535">
        <v>47.803585052000003</v>
      </c>
      <c r="G535">
        <v>1301.9941406</v>
      </c>
      <c r="H535">
        <v>1289.6945800999999</v>
      </c>
      <c r="I535">
        <v>1408.9925536999999</v>
      </c>
      <c r="J535">
        <v>1387.8675536999999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185.76538600000001</v>
      </c>
      <c r="B536" s="1">
        <f>DATE(2010,11,2) + TIME(18,22,9)</f>
        <v>40484.765381944446</v>
      </c>
      <c r="C536">
        <v>80</v>
      </c>
      <c r="D536">
        <v>79.331260681000003</v>
      </c>
      <c r="E536">
        <v>50</v>
      </c>
      <c r="F536">
        <v>48.109275818</v>
      </c>
      <c r="G536">
        <v>1301.9874268000001</v>
      </c>
      <c r="H536">
        <v>1289.6867675999999</v>
      </c>
      <c r="I536">
        <v>1408.6800536999999</v>
      </c>
      <c r="J536">
        <v>1387.6660156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185.87716499999999</v>
      </c>
      <c r="B537" s="1">
        <f>DATE(2010,11,2) + TIME(21,3,7)</f>
        <v>40484.877164351848</v>
      </c>
      <c r="C537">
        <v>80</v>
      </c>
      <c r="D537">
        <v>79.300201415999993</v>
      </c>
      <c r="E537">
        <v>50</v>
      </c>
      <c r="F537">
        <v>48.375644684000001</v>
      </c>
      <c r="G537">
        <v>1301.9807129000001</v>
      </c>
      <c r="H537">
        <v>1289.6788329999999</v>
      </c>
      <c r="I537">
        <v>1408.390625</v>
      </c>
      <c r="J537">
        <v>1387.4735106999999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185.99174600000001</v>
      </c>
      <c r="B538" s="1">
        <f>DATE(2010,11,2) + TIME(23,48,6)</f>
        <v>40484.991736111115</v>
      </c>
      <c r="C538">
        <v>80</v>
      </c>
      <c r="D538">
        <v>79.268615722999996</v>
      </c>
      <c r="E538">
        <v>50</v>
      </c>
      <c r="F538">
        <v>48.607784271</v>
      </c>
      <c r="G538">
        <v>1301.9737548999999</v>
      </c>
      <c r="H538">
        <v>1289.6707764</v>
      </c>
      <c r="I538">
        <v>1408.1207274999999</v>
      </c>
      <c r="J538">
        <v>1387.2888184000001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186.10961900000001</v>
      </c>
      <c r="B539" s="1">
        <f>DATE(2010,11,3) + TIME(2,37,51)</f>
        <v>40485.109618055554</v>
      </c>
      <c r="C539">
        <v>80</v>
      </c>
      <c r="D539">
        <v>79.236396790000001</v>
      </c>
      <c r="E539">
        <v>50</v>
      </c>
      <c r="F539">
        <v>48.809959411999998</v>
      </c>
      <c r="G539">
        <v>1301.9667969</v>
      </c>
      <c r="H539">
        <v>1289.6624756000001</v>
      </c>
      <c r="I539">
        <v>1407.8676757999999</v>
      </c>
      <c r="J539">
        <v>1387.1107178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186.231335</v>
      </c>
      <c r="B540" s="1">
        <f>DATE(2010,11,3) + TIME(5,33,7)</f>
        <v>40485.23133101852</v>
      </c>
      <c r="C540">
        <v>80</v>
      </c>
      <c r="D540">
        <v>79.203414917000003</v>
      </c>
      <c r="E540">
        <v>50</v>
      </c>
      <c r="F540">
        <v>48.985836028999998</v>
      </c>
      <c r="G540">
        <v>1301.9594727000001</v>
      </c>
      <c r="H540">
        <v>1289.6540527</v>
      </c>
      <c r="I540">
        <v>1407.6289062000001</v>
      </c>
      <c r="J540">
        <v>1386.9378661999999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186.35748599999999</v>
      </c>
      <c r="B541" s="1">
        <f>DATE(2010,11,3) + TIME(8,34,46)</f>
        <v>40485.357476851852</v>
      </c>
      <c r="C541">
        <v>80</v>
      </c>
      <c r="D541">
        <v>79.169540405000006</v>
      </c>
      <c r="E541">
        <v>50</v>
      </c>
      <c r="F541">
        <v>49.138542174999998</v>
      </c>
      <c r="G541">
        <v>1301.9520264</v>
      </c>
      <c r="H541">
        <v>1289.6452637</v>
      </c>
      <c r="I541">
        <v>1407.4022216999999</v>
      </c>
      <c r="J541">
        <v>1386.7695312000001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186.48851999999999</v>
      </c>
      <c r="B542" s="1">
        <f>DATE(2010,11,3) + TIME(11,43,28)</f>
        <v>40485.488518518519</v>
      </c>
      <c r="C542">
        <v>80</v>
      </c>
      <c r="D542">
        <v>79.134674071999996</v>
      </c>
      <c r="E542">
        <v>50</v>
      </c>
      <c r="F542">
        <v>49.270374298</v>
      </c>
      <c r="G542">
        <v>1301.9438477000001</v>
      </c>
      <c r="H542">
        <v>1289.6357422000001</v>
      </c>
      <c r="I542">
        <v>1407.1835937999999</v>
      </c>
      <c r="J542">
        <v>1386.6024170000001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186.625227</v>
      </c>
      <c r="B543" s="1">
        <f>DATE(2010,11,3) + TIME(15,0,19)</f>
        <v>40485.625219907408</v>
      </c>
      <c r="C543">
        <v>80</v>
      </c>
      <c r="D543">
        <v>79.098640442000004</v>
      </c>
      <c r="E543">
        <v>50</v>
      </c>
      <c r="F543">
        <v>49.384124755999999</v>
      </c>
      <c r="G543">
        <v>1301.9361572</v>
      </c>
      <c r="H543">
        <v>1289.6267089999999</v>
      </c>
      <c r="I543">
        <v>1406.9783935999999</v>
      </c>
      <c r="J543">
        <v>1386.4426269999999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186.76823200000001</v>
      </c>
      <c r="B544" s="1">
        <f>DATE(2010,11,3) + TIME(18,26,15)</f>
        <v>40485.768229166664</v>
      </c>
      <c r="C544">
        <v>80</v>
      </c>
      <c r="D544">
        <v>79.061294556000007</v>
      </c>
      <c r="E544">
        <v>50</v>
      </c>
      <c r="F544">
        <v>49.481765746999997</v>
      </c>
      <c r="G544">
        <v>1301.9278564000001</v>
      </c>
      <c r="H544">
        <v>1289.6170654</v>
      </c>
      <c r="I544">
        <v>1406.7783202999999</v>
      </c>
      <c r="J544">
        <v>1386.2829589999999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186.918665</v>
      </c>
      <c r="B545" s="1">
        <f>DATE(2010,11,3) + TIME(22,2,52)</f>
        <v>40485.918657407405</v>
      </c>
      <c r="C545">
        <v>80</v>
      </c>
      <c r="D545">
        <v>79.022407532000003</v>
      </c>
      <c r="E545">
        <v>50</v>
      </c>
      <c r="F545">
        <v>49.565315247000001</v>
      </c>
      <c r="G545">
        <v>1301.9191894999999</v>
      </c>
      <c r="H545">
        <v>1289.6069336</v>
      </c>
      <c r="I545">
        <v>1406.5842285000001</v>
      </c>
      <c r="J545">
        <v>1386.1247559000001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187.07763800000001</v>
      </c>
      <c r="B546" s="1">
        <f>DATE(2010,11,4) + TIME(1,51,47)</f>
        <v>40486.077627314815</v>
      </c>
      <c r="C546">
        <v>80</v>
      </c>
      <c r="D546">
        <v>78.981742858999993</v>
      </c>
      <c r="E546">
        <v>50</v>
      </c>
      <c r="F546">
        <v>49.636417389000002</v>
      </c>
      <c r="G546">
        <v>1301.9100341999999</v>
      </c>
      <c r="H546">
        <v>1289.5963135</v>
      </c>
      <c r="I546">
        <v>1406.3944091999999</v>
      </c>
      <c r="J546">
        <v>1385.9669189000001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187.246511</v>
      </c>
      <c r="B547" s="1">
        <f>DATE(2010,11,4) + TIME(5,54,58)</f>
        <v>40486.246504629627</v>
      </c>
      <c r="C547">
        <v>80</v>
      </c>
      <c r="D547">
        <v>78.939033507999994</v>
      </c>
      <c r="E547">
        <v>50</v>
      </c>
      <c r="F547">
        <v>49.696552277000002</v>
      </c>
      <c r="G547">
        <v>1301.9003906</v>
      </c>
      <c r="H547">
        <v>1289.5849608999999</v>
      </c>
      <c r="I547">
        <v>1406.2077637</v>
      </c>
      <c r="J547">
        <v>1385.8089600000001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187.42693</v>
      </c>
      <c r="B548" s="1">
        <f>DATE(2010,11,4) + TIME(10,14,46)</f>
        <v>40486.426921296297</v>
      </c>
      <c r="C548">
        <v>80</v>
      </c>
      <c r="D548">
        <v>78.893928528000004</v>
      </c>
      <c r="E548">
        <v>50</v>
      </c>
      <c r="F548">
        <v>49.747043609999999</v>
      </c>
      <c r="G548">
        <v>1301.8901367000001</v>
      </c>
      <c r="H548">
        <v>1289.5731201000001</v>
      </c>
      <c r="I548">
        <v>1406.0230713000001</v>
      </c>
      <c r="J548">
        <v>1385.6500243999999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187.61955599999999</v>
      </c>
      <c r="B549" s="1">
        <f>DATE(2010,11,4) + TIME(14,52,9)</f>
        <v>40486.61954861111</v>
      </c>
      <c r="C549">
        <v>80</v>
      </c>
      <c r="D549">
        <v>78.846313476999995</v>
      </c>
      <c r="E549">
        <v>50</v>
      </c>
      <c r="F549">
        <v>49.788856506000002</v>
      </c>
      <c r="G549">
        <v>1301.8792725000001</v>
      </c>
      <c r="H549">
        <v>1289.5604248</v>
      </c>
      <c r="I549">
        <v>1405.8389893000001</v>
      </c>
      <c r="J549">
        <v>1385.4892577999999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187.824128</v>
      </c>
      <c r="B550" s="1">
        <f>DATE(2010,11,4) + TIME(19,46,44)</f>
        <v>40486.824120370373</v>
      </c>
      <c r="C550">
        <v>80</v>
      </c>
      <c r="D550">
        <v>78.796218871999997</v>
      </c>
      <c r="E550">
        <v>50</v>
      </c>
      <c r="F550">
        <v>49.822879790999998</v>
      </c>
      <c r="G550">
        <v>1301.8676757999999</v>
      </c>
      <c r="H550">
        <v>1289.546875</v>
      </c>
      <c r="I550">
        <v>1405.6556396000001</v>
      </c>
      <c r="J550">
        <v>1385.3267822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188.04270600000001</v>
      </c>
      <c r="B551" s="1">
        <f>DATE(2010,11,5) + TIME(1,1,29)</f>
        <v>40487.042696759258</v>
      </c>
      <c r="C551">
        <v>80</v>
      </c>
      <c r="D551">
        <v>78.743240356000001</v>
      </c>
      <c r="E551">
        <v>50</v>
      </c>
      <c r="F551">
        <v>49.850639342999997</v>
      </c>
      <c r="G551">
        <v>1301.8560791</v>
      </c>
      <c r="H551">
        <v>1289.5333252</v>
      </c>
      <c r="I551">
        <v>1405.4755858999999</v>
      </c>
      <c r="J551">
        <v>1385.1657714999999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188.262125</v>
      </c>
      <c r="B552" s="1">
        <f>DATE(2010,11,5) + TIME(6,17,27)</f>
        <v>40487.262118055558</v>
      </c>
      <c r="C552">
        <v>80</v>
      </c>
      <c r="D552">
        <v>78.689804077000005</v>
      </c>
      <c r="E552">
        <v>50</v>
      </c>
      <c r="F552">
        <v>49.871707915999998</v>
      </c>
      <c r="G552">
        <v>1301.8422852000001</v>
      </c>
      <c r="H552">
        <v>1289.5177002</v>
      </c>
      <c r="I552">
        <v>1405.2910156</v>
      </c>
      <c r="J552">
        <v>1384.9984131000001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188.48367500000001</v>
      </c>
      <c r="B553" s="1">
        <f>DATE(2010,11,5) + TIME(11,36,29)</f>
        <v>40487.483668981484</v>
      </c>
      <c r="C553">
        <v>80</v>
      </c>
      <c r="D553">
        <v>78.635833739999995</v>
      </c>
      <c r="E553">
        <v>50</v>
      </c>
      <c r="F553">
        <v>49.887790680000002</v>
      </c>
      <c r="G553">
        <v>1301.8288574000001</v>
      </c>
      <c r="H553">
        <v>1289.5023193</v>
      </c>
      <c r="I553">
        <v>1405.1185303</v>
      </c>
      <c r="J553">
        <v>1384.8411865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188.708282</v>
      </c>
      <c r="B554" s="1">
        <f>DATE(2010,11,5) + TIME(16,59,55)</f>
        <v>40487.708275462966</v>
      </c>
      <c r="C554">
        <v>80</v>
      </c>
      <c r="D554">
        <v>78.581283568999993</v>
      </c>
      <c r="E554">
        <v>50</v>
      </c>
      <c r="F554">
        <v>49.899890900000003</v>
      </c>
      <c r="G554">
        <v>1301.8146973</v>
      </c>
      <c r="H554">
        <v>1289.4862060999999</v>
      </c>
      <c r="I554">
        <v>1404.9517822</v>
      </c>
      <c r="J554">
        <v>1384.6881103999999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188.93693200000001</v>
      </c>
      <c r="B555" s="1">
        <f>DATE(2010,11,5) + TIME(22,29,10)</f>
        <v>40487.936921296299</v>
      </c>
      <c r="C555">
        <v>80</v>
      </c>
      <c r="D555">
        <v>78.525978088000002</v>
      </c>
      <c r="E555">
        <v>50</v>
      </c>
      <c r="F555">
        <v>49.90921402</v>
      </c>
      <c r="G555">
        <v>1301.8017577999999</v>
      </c>
      <c r="H555">
        <v>1289.4711914</v>
      </c>
      <c r="I555">
        <v>1404.7960204999999</v>
      </c>
      <c r="J555">
        <v>1384.5447998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189.169828</v>
      </c>
      <c r="B556" s="1">
        <f>DATE(2010,11,6) + TIME(4,4,33)</f>
        <v>40488.16982638889</v>
      </c>
      <c r="C556">
        <v>80</v>
      </c>
      <c r="D556">
        <v>78.469917296999995</v>
      </c>
      <c r="E556">
        <v>50</v>
      </c>
      <c r="F556">
        <v>49.916400908999996</v>
      </c>
      <c r="G556">
        <v>1301.7880858999999</v>
      </c>
      <c r="H556">
        <v>1289.4554443</v>
      </c>
      <c r="I556">
        <v>1404.6431885</v>
      </c>
      <c r="J556">
        <v>1384.4036865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189.40832399999999</v>
      </c>
      <c r="B557" s="1">
        <f>DATE(2010,11,6) + TIME(9,47,59)</f>
        <v>40488.408321759256</v>
      </c>
      <c r="C557">
        <v>80</v>
      </c>
      <c r="D557">
        <v>78.412864685000002</v>
      </c>
      <c r="E557">
        <v>50</v>
      </c>
      <c r="F557">
        <v>49.922149658000002</v>
      </c>
      <c r="G557">
        <v>1301.7749022999999</v>
      </c>
      <c r="H557">
        <v>1289.4400635</v>
      </c>
      <c r="I557">
        <v>1404.4969481999999</v>
      </c>
      <c r="J557">
        <v>1384.2684326000001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189.65367599999999</v>
      </c>
      <c r="B558" s="1">
        <f>DATE(2010,11,6) + TIME(15,41,17)</f>
        <v>40488.653668981482</v>
      </c>
      <c r="C558">
        <v>80</v>
      </c>
      <c r="D558">
        <v>78.354682921999995</v>
      </c>
      <c r="E558">
        <v>50</v>
      </c>
      <c r="F558">
        <v>49.926601410000004</v>
      </c>
      <c r="G558">
        <v>1301.7601318</v>
      </c>
      <c r="H558">
        <v>1289.4230957</v>
      </c>
      <c r="I558">
        <v>1404.3497314000001</v>
      </c>
      <c r="J558">
        <v>1384.1318358999999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189.90746899999999</v>
      </c>
      <c r="B559" s="1">
        <f>DATE(2010,11,6) + TIME(21,46,45)</f>
        <v>40488.907465277778</v>
      </c>
      <c r="C559">
        <v>80</v>
      </c>
      <c r="D559">
        <v>78.295082092000001</v>
      </c>
      <c r="E559">
        <v>50</v>
      </c>
      <c r="F559">
        <v>49.930057525999999</v>
      </c>
      <c r="G559">
        <v>1301.7453613</v>
      </c>
      <c r="H559">
        <v>1289.4061279</v>
      </c>
      <c r="I559">
        <v>1404.2071533000001</v>
      </c>
      <c r="J559">
        <v>1383.9995117000001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190.17088000000001</v>
      </c>
      <c r="B560" s="1">
        <f>DATE(2010,11,7) + TIME(4,6,4)</f>
        <v>40489.17087962963</v>
      </c>
      <c r="C560">
        <v>80</v>
      </c>
      <c r="D560">
        <v>78.233856200999995</v>
      </c>
      <c r="E560">
        <v>50</v>
      </c>
      <c r="F560">
        <v>49.932754516999999</v>
      </c>
      <c r="G560">
        <v>1301.7303466999999</v>
      </c>
      <c r="H560">
        <v>1289.3886719</v>
      </c>
      <c r="I560">
        <v>1404.0664062000001</v>
      </c>
      <c r="J560">
        <v>1383.8685303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190.44557399999999</v>
      </c>
      <c r="B561" s="1">
        <f>DATE(2010,11,7) + TIME(10,41,37)</f>
        <v>40489.445567129631</v>
      </c>
      <c r="C561">
        <v>80</v>
      </c>
      <c r="D561">
        <v>78.170684813999998</v>
      </c>
      <c r="E561">
        <v>50</v>
      </c>
      <c r="F561">
        <v>49.934860229000002</v>
      </c>
      <c r="G561">
        <v>1301.7147216999999</v>
      </c>
      <c r="H561">
        <v>1289.3706055</v>
      </c>
      <c r="I561">
        <v>1403.9265137</v>
      </c>
      <c r="J561">
        <v>1383.7385254000001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190.73347200000001</v>
      </c>
      <c r="B562" s="1">
        <f>DATE(2010,11,7) + TIME(17,36,12)</f>
        <v>40489.733472222222</v>
      </c>
      <c r="C562">
        <v>80</v>
      </c>
      <c r="D562">
        <v>78.105247497999997</v>
      </c>
      <c r="E562">
        <v>50</v>
      </c>
      <c r="F562">
        <v>49.936519623000002</v>
      </c>
      <c r="G562">
        <v>1301.6984863</v>
      </c>
      <c r="H562">
        <v>1289.3518065999999</v>
      </c>
      <c r="I562">
        <v>1403.7869873</v>
      </c>
      <c r="J562">
        <v>1383.6086425999999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191.036417</v>
      </c>
      <c r="B563" s="1">
        <f>DATE(2010,11,8) + TIME(0,52,26)</f>
        <v>40490.036412037036</v>
      </c>
      <c r="C563">
        <v>80</v>
      </c>
      <c r="D563">
        <v>78.037193298000005</v>
      </c>
      <c r="E563">
        <v>50</v>
      </c>
      <c r="F563">
        <v>49.937828064000001</v>
      </c>
      <c r="G563">
        <v>1301.6815185999999</v>
      </c>
      <c r="H563">
        <v>1289.3321533000001</v>
      </c>
      <c r="I563">
        <v>1403.6470947</v>
      </c>
      <c r="J563">
        <v>1383.4785156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191.352439</v>
      </c>
      <c r="B564" s="1">
        <f>DATE(2010,11,8) + TIME(8,27,30)</f>
        <v>40490.352430555555</v>
      </c>
      <c r="C564">
        <v>80</v>
      </c>
      <c r="D564">
        <v>77.966789246000005</v>
      </c>
      <c r="E564">
        <v>50</v>
      </c>
      <c r="F564">
        <v>49.938854218000003</v>
      </c>
      <c r="G564">
        <v>1301.6635742000001</v>
      </c>
      <c r="H564">
        <v>1289.3115233999999</v>
      </c>
      <c r="I564">
        <v>1403.5062256000001</v>
      </c>
      <c r="J564">
        <v>1383.3474120999999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191.683853</v>
      </c>
      <c r="B565" s="1">
        <f>DATE(2010,11,8) + TIME(16,24,44)</f>
        <v>40490.683842592596</v>
      </c>
      <c r="C565">
        <v>80</v>
      </c>
      <c r="D565">
        <v>77.893676757999998</v>
      </c>
      <c r="E565">
        <v>50</v>
      </c>
      <c r="F565">
        <v>49.939674377000003</v>
      </c>
      <c r="G565">
        <v>1301.6450195</v>
      </c>
      <c r="H565">
        <v>1289.2900391000001</v>
      </c>
      <c r="I565">
        <v>1403.3657227000001</v>
      </c>
      <c r="J565">
        <v>1383.2166748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192.03276199999999</v>
      </c>
      <c r="B566" s="1">
        <f>DATE(2010,11,9) + TIME(0,47,10)</f>
        <v>40491.032754629632</v>
      </c>
      <c r="C566">
        <v>80</v>
      </c>
      <c r="D566">
        <v>77.817535399999997</v>
      </c>
      <c r="E566">
        <v>50</v>
      </c>
      <c r="F566">
        <v>49.940326691000003</v>
      </c>
      <c r="G566">
        <v>1301.6254882999999</v>
      </c>
      <c r="H566">
        <v>1289.2675781</v>
      </c>
      <c r="I566">
        <v>1403.2247314000001</v>
      </c>
      <c r="J566">
        <v>1383.0855713000001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192.38380000000001</v>
      </c>
      <c r="B567" s="1">
        <f>DATE(2010,11,9) + TIME(9,12,40)</f>
        <v>40491.383796296293</v>
      </c>
      <c r="C567">
        <v>80</v>
      </c>
      <c r="D567">
        <v>77.740539550999998</v>
      </c>
      <c r="E567">
        <v>50</v>
      </c>
      <c r="F567">
        <v>49.940837860000002</v>
      </c>
      <c r="G567">
        <v>1301.6047363</v>
      </c>
      <c r="H567">
        <v>1289.2440185999999</v>
      </c>
      <c r="I567">
        <v>1403.0828856999999</v>
      </c>
      <c r="J567">
        <v>1382.9534911999999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192.73777100000001</v>
      </c>
      <c r="B568" s="1">
        <f>DATE(2010,11,9) + TIME(17,42,23)</f>
        <v>40491.737766203703</v>
      </c>
      <c r="C568">
        <v>80</v>
      </c>
      <c r="D568">
        <v>77.662902832</v>
      </c>
      <c r="E568">
        <v>50</v>
      </c>
      <c r="F568">
        <v>49.941242217999999</v>
      </c>
      <c r="G568">
        <v>1301.5839844</v>
      </c>
      <c r="H568">
        <v>1289.2202147999999</v>
      </c>
      <c r="I568">
        <v>1402.9462891000001</v>
      </c>
      <c r="J568">
        <v>1382.8266602000001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193.09613100000001</v>
      </c>
      <c r="B569" s="1">
        <f>DATE(2010,11,10) + TIME(2,18,25)</f>
        <v>40492.096122685187</v>
      </c>
      <c r="C569">
        <v>80</v>
      </c>
      <c r="D569">
        <v>77.584625243999994</v>
      </c>
      <c r="E569">
        <v>50</v>
      </c>
      <c r="F569">
        <v>49.941566467000001</v>
      </c>
      <c r="G569">
        <v>1301.5631103999999</v>
      </c>
      <c r="H569">
        <v>1289.1961670000001</v>
      </c>
      <c r="I569">
        <v>1402.8144531</v>
      </c>
      <c r="J569">
        <v>1382.7041016000001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193.460691</v>
      </c>
      <c r="B570" s="1">
        <f>DATE(2010,11,10) + TIME(11,3,23)</f>
        <v>40492.460682870369</v>
      </c>
      <c r="C570">
        <v>80</v>
      </c>
      <c r="D570">
        <v>77.505561829000001</v>
      </c>
      <c r="E570">
        <v>50</v>
      </c>
      <c r="F570">
        <v>49.941833496000001</v>
      </c>
      <c r="G570">
        <v>1301.5421143000001</v>
      </c>
      <c r="H570">
        <v>1289.171875</v>
      </c>
      <c r="I570">
        <v>1402.6864014</v>
      </c>
      <c r="J570">
        <v>1382.5852050999999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193.83331100000001</v>
      </c>
      <c r="B571" s="1">
        <f>DATE(2010,11,10) + TIME(19,59,58)</f>
        <v>40492.833310185182</v>
      </c>
      <c r="C571">
        <v>80</v>
      </c>
      <c r="D571">
        <v>77.425491332999997</v>
      </c>
      <c r="E571">
        <v>50</v>
      </c>
      <c r="F571">
        <v>49.942054749</v>
      </c>
      <c r="G571">
        <v>1301.5206298999999</v>
      </c>
      <c r="H571">
        <v>1289.1472168</v>
      </c>
      <c r="I571">
        <v>1402.5615233999999</v>
      </c>
      <c r="J571">
        <v>1382.4692382999999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194.21590900000001</v>
      </c>
      <c r="B572" s="1">
        <f>DATE(2010,11,11) + TIME(5,10,54)</f>
        <v>40493.215902777774</v>
      </c>
      <c r="C572">
        <v>80</v>
      </c>
      <c r="D572">
        <v>77.344123839999995</v>
      </c>
      <c r="E572">
        <v>50</v>
      </c>
      <c r="F572">
        <v>49.942245483000001</v>
      </c>
      <c r="G572">
        <v>1301.4987793</v>
      </c>
      <c r="H572">
        <v>1289.1219481999999</v>
      </c>
      <c r="I572">
        <v>1402.4388428</v>
      </c>
      <c r="J572">
        <v>1382.3554687999999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194.610556</v>
      </c>
      <c r="B573" s="1">
        <f>DATE(2010,11,11) + TIME(14,39,11)</f>
        <v>40493.610543981478</v>
      </c>
      <c r="C573">
        <v>80</v>
      </c>
      <c r="D573">
        <v>77.261154175000001</v>
      </c>
      <c r="E573">
        <v>50</v>
      </c>
      <c r="F573">
        <v>49.942405700999998</v>
      </c>
      <c r="G573">
        <v>1301.4763184000001</v>
      </c>
      <c r="H573">
        <v>1289.0960693</v>
      </c>
      <c r="I573">
        <v>1402.317749</v>
      </c>
      <c r="J573">
        <v>1382.2431641000001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195.019553</v>
      </c>
      <c r="B574" s="1">
        <f>DATE(2010,11,12) + TIME(0,28,9)</f>
        <v>40494.019548611112</v>
      </c>
      <c r="C574">
        <v>80</v>
      </c>
      <c r="D574">
        <v>77.176208496000001</v>
      </c>
      <c r="E574">
        <v>50</v>
      </c>
      <c r="F574">
        <v>49.942543030000003</v>
      </c>
      <c r="G574">
        <v>1301.4532471</v>
      </c>
      <c r="H574">
        <v>1289.0694579999999</v>
      </c>
      <c r="I574">
        <v>1402.1977539</v>
      </c>
      <c r="J574">
        <v>1382.1319579999999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195.445515</v>
      </c>
      <c r="B575" s="1">
        <f>DATE(2010,11,12) + TIME(10,41,32)</f>
        <v>40494.445509259262</v>
      </c>
      <c r="C575">
        <v>80</v>
      </c>
      <c r="D575">
        <v>77.088874817000004</v>
      </c>
      <c r="E575">
        <v>50</v>
      </c>
      <c r="F575">
        <v>49.942668914999999</v>
      </c>
      <c r="G575">
        <v>1301.4291992000001</v>
      </c>
      <c r="H575">
        <v>1289.0417480000001</v>
      </c>
      <c r="I575">
        <v>1402.078125</v>
      </c>
      <c r="J575">
        <v>1382.0211182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195.89147500000001</v>
      </c>
      <c r="B576" s="1">
        <f>DATE(2010,11,12) + TIME(21,23,43)</f>
        <v>40494.891469907408</v>
      </c>
      <c r="C576">
        <v>80</v>
      </c>
      <c r="D576">
        <v>76.998672485</v>
      </c>
      <c r="E576">
        <v>50</v>
      </c>
      <c r="F576">
        <v>49.942775726000001</v>
      </c>
      <c r="G576">
        <v>1301.4042969</v>
      </c>
      <c r="H576">
        <v>1289.0129394999999</v>
      </c>
      <c r="I576">
        <v>1401.958374</v>
      </c>
      <c r="J576">
        <v>1381.9102783000001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196.35092700000001</v>
      </c>
      <c r="B577" s="1">
        <f>DATE(2010,11,13) + TIME(8,25,20)</f>
        <v>40495.350925925923</v>
      </c>
      <c r="C577">
        <v>80</v>
      </c>
      <c r="D577">
        <v>76.906272888000004</v>
      </c>
      <c r="E577">
        <v>50</v>
      </c>
      <c r="F577">
        <v>49.942874908</v>
      </c>
      <c r="G577">
        <v>1301.3780518000001</v>
      </c>
      <c r="H577">
        <v>1288.9827881000001</v>
      </c>
      <c r="I577">
        <v>1401.8378906</v>
      </c>
      <c r="J577">
        <v>1381.7987060999999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196.82538199999999</v>
      </c>
      <c r="B578" s="1">
        <f>DATE(2010,11,13) + TIME(19,48,33)</f>
        <v>40495.825381944444</v>
      </c>
      <c r="C578">
        <v>80</v>
      </c>
      <c r="D578">
        <v>76.811622619999994</v>
      </c>
      <c r="E578">
        <v>50</v>
      </c>
      <c r="F578">
        <v>49.942958832000002</v>
      </c>
      <c r="G578">
        <v>1301.3510742000001</v>
      </c>
      <c r="H578">
        <v>1288.9517822</v>
      </c>
      <c r="I578">
        <v>1401.7185059000001</v>
      </c>
      <c r="J578">
        <v>1381.6882324000001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197.30167499999999</v>
      </c>
      <c r="B579" s="1">
        <f>DATE(2010,11,14) + TIME(7,14,24)</f>
        <v>40496.301666666666</v>
      </c>
      <c r="C579">
        <v>80</v>
      </c>
      <c r="D579">
        <v>76.716331482000001</v>
      </c>
      <c r="E579">
        <v>50</v>
      </c>
      <c r="F579">
        <v>49.943038940000001</v>
      </c>
      <c r="G579">
        <v>1301.3229980000001</v>
      </c>
      <c r="H579">
        <v>1288.9196777</v>
      </c>
      <c r="I579">
        <v>1401.5999756000001</v>
      </c>
      <c r="J579">
        <v>1381.5786132999999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197.78207900000001</v>
      </c>
      <c r="B580" s="1">
        <f>DATE(2010,11,14) + TIME(18,46,11)</f>
        <v>40496.782071759262</v>
      </c>
      <c r="C580">
        <v>80</v>
      </c>
      <c r="D580">
        <v>76.620605468999997</v>
      </c>
      <c r="E580">
        <v>50</v>
      </c>
      <c r="F580">
        <v>49.943107605000002</v>
      </c>
      <c r="G580">
        <v>1301.2949219</v>
      </c>
      <c r="H580">
        <v>1288.8873291</v>
      </c>
      <c r="I580">
        <v>1401.4855957</v>
      </c>
      <c r="J580">
        <v>1381.4729004000001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198.269229</v>
      </c>
      <c r="B581" s="1">
        <f>DATE(2010,11,15) + TIME(6,27,41)</f>
        <v>40497.269224537034</v>
      </c>
      <c r="C581">
        <v>80</v>
      </c>
      <c r="D581">
        <v>76.524337768999999</v>
      </c>
      <c r="E581">
        <v>50</v>
      </c>
      <c r="F581">
        <v>49.943172455000003</v>
      </c>
      <c r="G581">
        <v>1301.2666016000001</v>
      </c>
      <c r="H581">
        <v>1288.8546143000001</v>
      </c>
      <c r="I581">
        <v>1401.3745117000001</v>
      </c>
      <c r="J581">
        <v>1381.3702393000001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198.76566399999999</v>
      </c>
      <c r="B582" s="1">
        <f>DATE(2010,11,15) + TIME(18,22,33)</f>
        <v>40497.765659722223</v>
      </c>
      <c r="C582">
        <v>80</v>
      </c>
      <c r="D582">
        <v>76.427276610999996</v>
      </c>
      <c r="E582">
        <v>50</v>
      </c>
      <c r="F582">
        <v>49.943233489999997</v>
      </c>
      <c r="G582">
        <v>1301.237793</v>
      </c>
      <c r="H582">
        <v>1288.8214111</v>
      </c>
      <c r="I582">
        <v>1401.2659911999999</v>
      </c>
      <c r="J582">
        <v>1381.2700195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199.27402900000001</v>
      </c>
      <c r="B583" s="1">
        <f>DATE(2010,11,16) + TIME(6,34,36)</f>
        <v>40498.274027777778</v>
      </c>
      <c r="C583">
        <v>80</v>
      </c>
      <c r="D583">
        <v>76.329093932999996</v>
      </c>
      <c r="E583">
        <v>50</v>
      </c>
      <c r="F583">
        <v>49.943290709999999</v>
      </c>
      <c r="G583">
        <v>1301.208374</v>
      </c>
      <c r="H583">
        <v>1288.7874756000001</v>
      </c>
      <c r="I583">
        <v>1401.1593018000001</v>
      </c>
      <c r="J583">
        <v>1381.1715088000001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199.79717299999999</v>
      </c>
      <c r="B584" s="1">
        <f>DATE(2010,11,16) + TIME(19,7,55)</f>
        <v>40498.797164351854</v>
      </c>
      <c r="C584">
        <v>80</v>
      </c>
      <c r="D584">
        <v>76.229385375999996</v>
      </c>
      <c r="E584">
        <v>50</v>
      </c>
      <c r="F584">
        <v>49.943347930999998</v>
      </c>
      <c r="G584">
        <v>1301.1782227000001</v>
      </c>
      <c r="H584">
        <v>1288.7525635</v>
      </c>
      <c r="I584">
        <v>1401.0539550999999</v>
      </c>
      <c r="J584">
        <v>1381.0742187999999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200.338246</v>
      </c>
      <c r="B585" s="1">
        <f>DATE(2010,11,17) + TIME(8,7,4)</f>
        <v>40499.338240740741</v>
      </c>
      <c r="C585">
        <v>80</v>
      </c>
      <c r="D585">
        <v>76.127700806000007</v>
      </c>
      <c r="E585">
        <v>50</v>
      </c>
      <c r="F585">
        <v>49.943405151</v>
      </c>
      <c r="G585">
        <v>1301.1472168</v>
      </c>
      <c r="H585">
        <v>1288.7166748</v>
      </c>
      <c r="I585">
        <v>1400.9494629000001</v>
      </c>
      <c r="J585">
        <v>1380.9777832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200.900826</v>
      </c>
      <c r="B586" s="1">
        <f>DATE(2010,11,17) + TIME(21,37,11)</f>
        <v>40499.900821759256</v>
      </c>
      <c r="C586">
        <v>80</v>
      </c>
      <c r="D586">
        <v>76.023506165000001</v>
      </c>
      <c r="E586">
        <v>50</v>
      </c>
      <c r="F586">
        <v>49.943458557</v>
      </c>
      <c r="G586">
        <v>1301.1149902</v>
      </c>
      <c r="H586">
        <v>1288.6794434000001</v>
      </c>
      <c r="I586">
        <v>1400.8450928</v>
      </c>
      <c r="J586">
        <v>1380.8814697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201.48881499999999</v>
      </c>
      <c r="B587" s="1">
        <f>DATE(2010,11,18) + TIME(11,43,53)</f>
        <v>40500.488807870373</v>
      </c>
      <c r="C587">
        <v>80</v>
      </c>
      <c r="D587">
        <v>75.916252135999997</v>
      </c>
      <c r="E587">
        <v>50</v>
      </c>
      <c r="F587">
        <v>49.943519592000001</v>
      </c>
      <c r="G587">
        <v>1301.081543</v>
      </c>
      <c r="H587">
        <v>1288.6407471</v>
      </c>
      <c r="I587">
        <v>1400.7403564000001</v>
      </c>
      <c r="J587">
        <v>1380.7849120999999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202.092106</v>
      </c>
      <c r="B588" s="1">
        <f>DATE(2010,11,19) + TIME(2,12,37)</f>
        <v>40501.092094907406</v>
      </c>
      <c r="C588">
        <v>80</v>
      </c>
      <c r="D588">
        <v>75.806724548000005</v>
      </c>
      <c r="E588">
        <v>50</v>
      </c>
      <c r="F588">
        <v>49.943576813</v>
      </c>
      <c r="G588">
        <v>1301.0462646000001</v>
      </c>
      <c r="H588">
        <v>1288.6000977000001</v>
      </c>
      <c r="I588">
        <v>1400.6347656</v>
      </c>
      <c r="J588">
        <v>1380.6876221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202.71114900000001</v>
      </c>
      <c r="B589" s="1">
        <f>DATE(2010,11,19) + TIME(17,4,3)</f>
        <v>40501.711145833331</v>
      </c>
      <c r="C589">
        <v>80</v>
      </c>
      <c r="D589">
        <v>75.695182799999998</v>
      </c>
      <c r="E589">
        <v>50</v>
      </c>
      <c r="F589">
        <v>49.943637848000002</v>
      </c>
      <c r="G589">
        <v>1301.0100098</v>
      </c>
      <c r="H589">
        <v>1288.5582274999999</v>
      </c>
      <c r="I589">
        <v>1400.5303954999999</v>
      </c>
      <c r="J589">
        <v>1380.5914307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203.333215</v>
      </c>
      <c r="B590" s="1">
        <f>DATE(2010,11,20) + TIME(7,59,49)</f>
        <v>40502.33320601852</v>
      </c>
      <c r="C590">
        <v>80</v>
      </c>
      <c r="D590">
        <v>75.583000182999996</v>
      </c>
      <c r="E590">
        <v>50</v>
      </c>
      <c r="F590">
        <v>49.943695067999997</v>
      </c>
      <c r="G590">
        <v>1300.9726562000001</v>
      </c>
      <c r="H590">
        <v>1288.5151367000001</v>
      </c>
      <c r="I590">
        <v>1400.4270019999999</v>
      </c>
      <c r="J590">
        <v>1380.4962158000001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203.961939</v>
      </c>
      <c r="B591" s="1">
        <f>DATE(2010,11,20) + TIME(23,5,11)</f>
        <v>40502.96193287037</v>
      </c>
      <c r="C591">
        <v>80</v>
      </c>
      <c r="D591">
        <v>75.470443725999999</v>
      </c>
      <c r="E591">
        <v>50</v>
      </c>
      <c r="F591">
        <v>49.943752289000003</v>
      </c>
      <c r="G591">
        <v>1300.9350586</v>
      </c>
      <c r="H591">
        <v>1288.4716797000001</v>
      </c>
      <c r="I591">
        <v>1400.3266602000001</v>
      </c>
      <c r="J591">
        <v>1380.4039307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204.60080099999999</v>
      </c>
      <c r="B592" s="1">
        <f>DATE(2010,11,21) + TIME(14,25,9)</f>
        <v>40503.600798611114</v>
      </c>
      <c r="C592">
        <v>80</v>
      </c>
      <c r="D592">
        <v>75.357368468999994</v>
      </c>
      <c r="E592">
        <v>50</v>
      </c>
      <c r="F592">
        <v>49.943813323999997</v>
      </c>
      <c r="G592">
        <v>1300.8969727000001</v>
      </c>
      <c r="H592">
        <v>1288.4273682</v>
      </c>
      <c r="I592">
        <v>1400.2288818</v>
      </c>
      <c r="J592">
        <v>1380.3138428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205.25336799999999</v>
      </c>
      <c r="B593" s="1">
        <f>DATE(2010,11,22) + TIME(6,4,50)</f>
        <v>40504.25335648148</v>
      </c>
      <c r="C593">
        <v>80</v>
      </c>
      <c r="D593">
        <v>75.243431091000005</v>
      </c>
      <c r="E593">
        <v>50</v>
      </c>
      <c r="F593">
        <v>49.943874358999999</v>
      </c>
      <c r="G593">
        <v>1300.8580322</v>
      </c>
      <c r="H593">
        <v>1288.3822021000001</v>
      </c>
      <c r="I593">
        <v>1400.1328125</v>
      </c>
      <c r="J593">
        <v>1380.2254639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205.920568</v>
      </c>
      <c r="B594" s="1">
        <f>DATE(2010,11,22) + TIME(22,5,37)</f>
        <v>40504.920567129629</v>
      </c>
      <c r="C594">
        <v>80</v>
      </c>
      <c r="D594">
        <v>75.128425598000007</v>
      </c>
      <c r="E594">
        <v>50</v>
      </c>
      <c r="F594">
        <v>49.943939209</v>
      </c>
      <c r="G594">
        <v>1300.8181152</v>
      </c>
      <c r="H594">
        <v>1288.3359375</v>
      </c>
      <c r="I594">
        <v>1400.0380858999999</v>
      </c>
      <c r="J594">
        <v>1380.1381836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206.60275899999999</v>
      </c>
      <c r="B595" s="1">
        <f>DATE(2010,11,23) + TIME(14,27,58)</f>
        <v>40505.602754629632</v>
      </c>
      <c r="C595">
        <v>80</v>
      </c>
      <c r="D595">
        <v>75.012275696000003</v>
      </c>
      <c r="E595">
        <v>50</v>
      </c>
      <c r="F595">
        <v>49.944004059000001</v>
      </c>
      <c r="G595">
        <v>1300.7770995999999</v>
      </c>
      <c r="H595">
        <v>1288.2882079999999</v>
      </c>
      <c r="I595">
        <v>1399.9442139</v>
      </c>
      <c r="J595">
        <v>1380.0520019999999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207.303754</v>
      </c>
      <c r="B596" s="1">
        <f>DATE(2010,11,24) + TIME(7,17,24)</f>
        <v>40506.303749999999</v>
      </c>
      <c r="C596">
        <v>80</v>
      </c>
      <c r="D596">
        <v>74.894515991000006</v>
      </c>
      <c r="E596">
        <v>50</v>
      </c>
      <c r="F596">
        <v>49.944068909000002</v>
      </c>
      <c r="G596">
        <v>1300.7349853999999</v>
      </c>
      <c r="H596">
        <v>1288.2392577999999</v>
      </c>
      <c r="I596">
        <v>1399.8515625</v>
      </c>
      <c r="J596">
        <v>1379.9666748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208.02768900000001</v>
      </c>
      <c r="B597" s="1">
        <f>DATE(2010,11,25) + TIME(0,39,52)</f>
        <v>40507.027685185189</v>
      </c>
      <c r="C597">
        <v>80</v>
      </c>
      <c r="D597">
        <v>74.774734496999997</v>
      </c>
      <c r="E597">
        <v>50</v>
      </c>
      <c r="F597">
        <v>49.944137572999999</v>
      </c>
      <c r="G597">
        <v>1300.6916504000001</v>
      </c>
      <c r="H597">
        <v>1288.1885986</v>
      </c>
      <c r="I597">
        <v>1399.7593993999999</v>
      </c>
      <c r="J597">
        <v>1379.8819579999999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208.77923699999999</v>
      </c>
      <c r="B598" s="1">
        <f>DATE(2010,11,25) + TIME(18,42,6)</f>
        <v>40507.779236111113</v>
      </c>
      <c r="C598">
        <v>80</v>
      </c>
      <c r="D598">
        <v>74.652374268000003</v>
      </c>
      <c r="E598">
        <v>50</v>
      </c>
      <c r="F598">
        <v>49.944210052000003</v>
      </c>
      <c r="G598">
        <v>1300.6464844</v>
      </c>
      <c r="H598">
        <v>1288.1359863</v>
      </c>
      <c r="I598">
        <v>1399.6673584</v>
      </c>
      <c r="J598">
        <v>1379.7973632999999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209.553079</v>
      </c>
      <c r="B599" s="1">
        <f>DATE(2010,11,26) + TIME(13,16,26)</f>
        <v>40508.553078703706</v>
      </c>
      <c r="C599">
        <v>80</v>
      </c>
      <c r="D599">
        <v>74.527618407999995</v>
      </c>
      <c r="E599">
        <v>50</v>
      </c>
      <c r="F599">
        <v>49.944286345999998</v>
      </c>
      <c r="G599">
        <v>1300.5993652</v>
      </c>
      <c r="H599">
        <v>1288.0809326000001</v>
      </c>
      <c r="I599">
        <v>1399.5749512</v>
      </c>
      <c r="J599">
        <v>1379.7124022999999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210.32930400000001</v>
      </c>
      <c r="B600" s="1">
        <f>DATE(2010,11,27) + TIME(7,54,11)</f>
        <v>40509.329293981478</v>
      </c>
      <c r="C600">
        <v>80</v>
      </c>
      <c r="D600">
        <v>74.402160644999995</v>
      </c>
      <c r="E600">
        <v>50</v>
      </c>
      <c r="F600">
        <v>49.944358825999998</v>
      </c>
      <c r="G600">
        <v>1300.5504149999999</v>
      </c>
      <c r="H600">
        <v>1288.0239257999999</v>
      </c>
      <c r="I600">
        <v>1399.4827881000001</v>
      </c>
      <c r="J600">
        <v>1379.6278076000001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211.109871</v>
      </c>
      <c r="B601" s="1">
        <f>DATE(2010,11,28) + TIME(2,38,12)</f>
        <v>40510.109861111108</v>
      </c>
      <c r="C601">
        <v>80</v>
      </c>
      <c r="D601">
        <v>74.276779175000001</v>
      </c>
      <c r="E601">
        <v>50</v>
      </c>
      <c r="F601">
        <v>49.944435120000001</v>
      </c>
      <c r="G601">
        <v>1300.5009766000001</v>
      </c>
      <c r="H601">
        <v>1287.9661865</v>
      </c>
      <c r="I601">
        <v>1399.3934326000001</v>
      </c>
      <c r="J601">
        <v>1379.5456543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211.899134</v>
      </c>
      <c r="B602" s="1">
        <f>DATE(2010,11,28) + TIME(21,34,45)</f>
        <v>40510.899131944447</v>
      </c>
      <c r="C602">
        <v>80</v>
      </c>
      <c r="D602">
        <v>74.151519774999997</v>
      </c>
      <c r="E602">
        <v>50</v>
      </c>
      <c r="F602">
        <v>49.944511413999997</v>
      </c>
      <c r="G602">
        <v>1300.4509277</v>
      </c>
      <c r="H602">
        <v>1287.9074707</v>
      </c>
      <c r="I602">
        <v>1399.3063964999999</v>
      </c>
      <c r="J602">
        <v>1379.4658202999999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212.70129</v>
      </c>
      <c r="B603" s="1">
        <f>DATE(2010,11,29) + TIME(16,49,51)</f>
        <v>40511.701284722221</v>
      </c>
      <c r="C603">
        <v>80</v>
      </c>
      <c r="D603">
        <v>74.026062011999997</v>
      </c>
      <c r="E603">
        <v>50</v>
      </c>
      <c r="F603">
        <v>49.944587708</v>
      </c>
      <c r="G603">
        <v>1300.4000243999999</v>
      </c>
      <c r="H603">
        <v>1287.8476562000001</v>
      </c>
      <c r="I603">
        <v>1399.2211914</v>
      </c>
      <c r="J603">
        <v>1379.3875731999999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213.52068</v>
      </c>
      <c r="B604" s="1">
        <f>DATE(2010,11,30) + TIME(12,29,46)</f>
        <v>40512.520671296297</v>
      </c>
      <c r="C604">
        <v>80</v>
      </c>
      <c r="D604">
        <v>73.899932860999996</v>
      </c>
      <c r="E604">
        <v>50</v>
      </c>
      <c r="F604">
        <v>49.944671630999999</v>
      </c>
      <c r="G604">
        <v>1300.3477783000001</v>
      </c>
      <c r="H604">
        <v>1287.7862548999999</v>
      </c>
      <c r="I604">
        <v>1399.1373291</v>
      </c>
      <c r="J604">
        <v>1379.3105469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214</v>
      </c>
      <c r="B605" s="1">
        <f>DATE(2010,12,1) + TIME(0,0,0)</f>
        <v>40513</v>
      </c>
      <c r="C605">
        <v>80</v>
      </c>
      <c r="D605">
        <v>73.805618285999998</v>
      </c>
      <c r="E605">
        <v>50</v>
      </c>
      <c r="F605">
        <v>49.944709778000004</v>
      </c>
      <c r="G605">
        <v>1300.2924805</v>
      </c>
      <c r="H605">
        <v>1287.7247314000001</v>
      </c>
      <c r="I605">
        <v>1399.0534668</v>
      </c>
      <c r="J605">
        <v>1379.2335204999999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214.841262</v>
      </c>
      <c r="B606" s="1">
        <f>DATE(2010,12,1) + TIME(20,11,25)</f>
        <v>40513.841261574074</v>
      </c>
      <c r="C606">
        <v>80</v>
      </c>
      <c r="D606">
        <v>73.689903259000005</v>
      </c>
      <c r="E606">
        <v>50</v>
      </c>
      <c r="F606">
        <v>49.944797516000001</v>
      </c>
      <c r="G606">
        <v>1300.262207</v>
      </c>
      <c r="H606">
        <v>1287.6839600000001</v>
      </c>
      <c r="I606">
        <v>1399.0067139</v>
      </c>
      <c r="J606">
        <v>1379.1905518000001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215.72783799999999</v>
      </c>
      <c r="B607" s="1">
        <f>DATE(2010,12,2) + TIME(17,28,5)</f>
        <v>40514.727835648147</v>
      </c>
      <c r="C607">
        <v>80</v>
      </c>
      <c r="D607">
        <v>73.565475464000002</v>
      </c>
      <c r="E607">
        <v>50</v>
      </c>
      <c r="F607">
        <v>49.944889068999998</v>
      </c>
      <c r="G607">
        <v>1300.2066649999999</v>
      </c>
      <c r="H607">
        <v>1287.6187743999999</v>
      </c>
      <c r="I607">
        <v>1398.9255370999999</v>
      </c>
      <c r="J607">
        <v>1379.1160889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216.65019000000001</v>
      </c>
      <c r="B608" s="1">
        <f>DATE(2010,12,3) + TIME(15,36,16)</f>
        <v>40515.650185185186</v>
      </c>
      <c r="C608">
        <v>80</v>
      </c>
      <c r="D608">
        <v>73.434814453000001</v>
      </c>
      <c r="E608">
        <v>50</v>
      </c>
      <c r="F608">
        <v>49.944980620999999</v>
      </c>
      <c r="G608">
        <v>1300.1472168</v>
      </c>
      <c r="H608">
        <v>1287.5488281</v>
      </c>
      <c r="I608">
        <v>1398.8425293</v>
      </c>
      <c r="J608">
        <v>1379.0399170000001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217.580771</v>
      </c>
      <c r="B609" s="1">
        <f>DATE(2010,12,4) + TIME(13,56,18)</f>
        <v>40516.580763888887</v>
      </c>
      <c r="C609">
        <v>80</v>
      </c>
      <c r="D609">
        <v>73.301116942999997</v>
      </c>
      <c r="E609">
        <v>50</v>
      </c>
      <c r="F609">
        <v>49.945072174000003</v>
      </c>
      <c r="G609">
        <v>1300.0848389</v>
      </c>
      <c r="H609">
        <v>1287.4750977000001</v>
      </c>
      <c r="I609">
        <v>1398.7586670000001</v>
      </c>
      <c r="J609">
        <v>1378.9630127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218.51459700000001</v>
      </c>
      <c r="B610" s="1">
        <f>DATE(2010,12,5) + TIME(12,21,1)</f>
        <v>40517.514594907407</v>
      </c>
      <c r="C610">
        <v>80</v>
      </c>
      <c r="D610">
        <v>73.166702271000005</v>
      </c>
      <c r="E610">
        <v>50</v>
      </c>
      <c r="F610">
        <v>49.945163727000001</v>
      </c>
      <c r="G610">
        <v>1300.0209961</v>
      </c>
      <c r="H610">
        <v>1287.3995361</v>
      </c>
      <c r="I610">
        <v>1398.6767577999999</v>
      </c>
      <c r="J610">
        <v>1378.8878173999999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219.45707300000001</v>
      </c>
      <c r="B611" s="1">
        <f>DATE(2010,12,6) + TIME(10,58,11)</f>
        <v>40518.457071759258</v>
      </c>
      <c r="C611">
        <v>80</v>
      </c>
      <c r="D611">
        <v>73.032341002999999</v>
      </c>
      <c r="E611">
        <v>50</v>
      </c>
      <c r="F611">
        <v>49.945259094000001</v>
      </c>
      <c r="G611">
        <v>1299.9564209</v>
      </c>
      <c r="H611">
        <v>1287.3226318</v>
      </c>
      <c r="I611">
        <v>1398.5969238</v>
      </c>
      <c r="J611">
        <v>1378.8145752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220.41340600000001</v>
      </c>
      <c r="B612" s="1">
        <f>DATE(2010,12,7) + TIME(9,55,18)</f>
        <v>40519.413402777776</v>
      </c>
      <c r="C612">
        <v>80</v>
      </c>
      <c r="D612">
        <v>72.897964478000006</v>
      </c>
      <c r="E612">
        <v>50</v>
      </c>
      <c r="F612">
        <v>49.945350646999998</v>
      </c>
      <c r="G612">
        <v>1299.8905029</v>
      </c>
      <c r="H612">
        <v>1287.2437743999999</v>
      </c>
      <c r="I612">
        <v>1398.5187988</v>
      </c>
      <c r="J612">
        <v>1378.7429199000001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221.388937</v>
      </c>
      <c r="B613" s="1">
        <f>DATE(2010,12,8) + TIME(9,20,4)</f>
        <v>40520.388935185183</v>
      </c>
      <c r="C613">
        <v>80</v>
      </c>
      <c r="D613">
        <v>72.763153075999995</v>
      </c>
      <c r="E613">
        <v>50</v>
      </c>
      <c r="F613">
        <v>49.945449828999998</v>
      </c>
      <c r="G613">
        <v>1299.8227539</v>
      </c>
      <c r="H613">
        <v>1287.1627197</v>
      </c>
      <c r="I613">
        <v>1398.4418945</v>
      </c>
      <c r="J613">
        <v>1378.6723632999999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222.389342</v>
      </c>
      <c r="B614" s="1">
        <f>DATE(2010,12,9) + TIME(9,20,39)</f>
        <v>40521.389340277776</v>
      </c>
      <c r="C614">
        <v>80</v>
      </c>
      <c r="D614">
        <v>72.627319335999999</v>
      </c>
      <c r="E614">
        <v>50</v>
      </c>
      <c r="F614">
        <v>49.945549010999997</v>
      </c>
      <c r="G614">
        <v>1299.7530518000001</v>
      </c>
      <c r="H614">
        <v>1287.0789795000001</v>
      </c>
      <c r="I614">
        <v>1398.3657227000001</v>
      </c>
      <c r="J614">
        <v>1378.6025391000001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223.41843399999999</v>
      </c>
      <c r="B615" s="1">
        <f>DATE(2010,12,10) + TIME(10,2,32)</f>
        <v>40522.418425925927</v>
      </c>
      <c r="C615">
        <v>80</v>
      </c>
      <c r="D615">
        <v>72.489921570000007</v>
      </c>
      <c r="E615">
        <v>50</v>
      </c>
      <c r="F615">
        <v>49.945652008000003</v>
      </c>
      <c r="G615">
        <v>1299.6805420000001</v>
      </c>
      <c r="H615">
        <v>1286.9918213000001</v>
      </c>
      <c r="I615">
        <v>1398.2899170000001</v>
      </c>
      <c r="J615">
        <v>1378.5329589999999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224.472825</v>
      </c>
      <c r="B616" s="1">
        <f>DATE(2010,12,11) + TIME(11,20,52)</f>
        <v>40523.472824074073</v>
      </c>
      <c r="C616">
        <v>80</v>
      </c>
      <c r="D616">
        <v>72.350898743000002</v>
      </c>
      <c r="E616">
        <v>50</v>
      </c>
      <c r="F616">
        <v>49.945758820000002</v>
      </c>
      <c r="G616">
        <v>1299.6051024999999</v>
      </c>
      <c r="H616">
        <v>1286.9007568</v>
      </c>
      <c r="I616">
        <v>1398.2139893000001</v>
      </c>
      <c r="J616">
        <v>1378.4633789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225.55893399999999</v>
      </c>
      <c r="B617" s="1">
        <f>DATE(2010,12,12) + TIME(13,24,51)</f>
        <v>40524.558923611112</v>
      </c>
      <c r="C617">
        <v>80</v>
      </c>
      <c r="D617">
        <v>72.209999084000003</v>
      </c>
      <c r="E617">
        <v>50</v>
      </c>
      <c r="F617">
        <v>49.945865630999997</v>
      </c>
      <c r="G617">
        <v>1299.5267334</v>
      </c>
      <c r="H617">
        <v>1286.8060303</v>
      </c>
      <c r="I617">
        <v>1398.1386719</v>
      </c>
      <c r="J617">
        <v>1378.3942870999999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226.66583600000001</v>
      </c>
      <c r="B618" s="1">
        <f>DATE(2010,12,13) + TIME(15,58,48)</f>
        <v>40525.665833333333</v>
      </c>
      <c r="C618">
        <v>80</v>
      </c>
      <c r="D618">
        <v>72.067573546999995</v>
      </c>
      <c r="E618">
        <v>50</v>
      </c>
      <c r="F618">
        <v>49.945976256999998</v>
      </c>
      <c r="G618">
        <v>1299.4448242000001</v>
      </c>
      <c r="H618">
        <v>1286.7069091999999</v>
      </c>
      <c r="I618">
        <v>1398.0631103999999</v>
      </c>
      <c r="J618">
        <v>1378.3250731999999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227.77973600000001</v>
      </c>
      <c r="B619" s="1">
        <f>DATE(2010,12,14) + TIME(18,42,49)</f>
        <v>40526.779733796298</v>
      </c>
      <c r="C619">
        <v>80</v>
      </c>
      <c r="D619">
        <v>71.924797057999996</v>
      </c>
      <c r="E619">
        <v>50</v>
      </c>
      <c r="F619">
        <v>49.946086884000003</v>
      </c>
      <c r="G619">
        <v>1299.3602295000001</v>
      </c>
      <c r="H619">
        <v>1286.6040039</v>
      </c>
      <c r="I619">
        <v>1397.9884033000001</v>
      </c>
      <c r="J619">
        <v>1378.2564697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228.904696</v>
      </c>
      <c r="B620" s="1">
        <f>DATE(2010,12,15) + TIME(21,42,45)</f>
        <v>40527.904687499999</v>
      </c>
      <c r="C620">
        <v>80</v>
      </c>
      <c r="D620">
        <v>71.782272339000002</v>
      </c>
      <c r="E620">
        <v>50</v>
      </c>
      <c r="F620">
        <v>49.946201324</v>
      </c>
      <c r="G620">
        <v>1299.2736815999999</v>
      </c>
      <c r="H620">
        <v>1286.4985352000001</v>
      </c>
      <c r="I620">
        <v>1397.9154053</v>
      </c>
      <c r="J620">
        <v>1378.1895752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230.04493199999999</v>
      </c>
      <c r="B621" s="1">
        <f>DATE(2010,12,17) + TIME(1,4,42)</f>
        <v>40529.044930555552</v>
      </c>
      <c r="C621">
        <v>80</v>
      </c>
      <c r="D621">
        <v>71.639930724999999</v>
      </c>
      <c r="E621">
        <v>50</v>
      </c>
      <c r="F621">
        <v>49.946311950999998</v>
      </c>
      <c r="G621">
        <v>1299.1850586</v>
      </c>
      <c r="H621">
        <v>1286.3901367000001</v>
      </c>
      <c r="I621">
        <v>1397.84375</v>
      </c>
      <c r="J621">
        <v>1378.1237793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231.204252</v>
      </c>
      <c r="B622" s="1">
        <f>DATE(2010,12,18) + TIME(4,54,7)</f>
        <v>40530.204247685186</v>
      </c>
      <c r="C622">
        <v>80</v>
      </c>
      <c r="D622">
        <v>71.497459411999998</v>
      </c>
      <c r="E622">
        <v>50</v>
      </c>
      <c r="F622">
        <v>49.946430206000002</v>
      </c>
      <c r="G622">
        <v>1299.09375</v>
      </c>
      <c r="H622">
        <v>1286.2780762</v>
      </c>
      <c r="I622">
        <v>1397.7730713000001</v>
      </c>
      <c r="J622">
        <v>1378.059082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232.386754</v>
      </c>
      <c r="B623" s="1">
        <f>DATE(2010,12,19) + TIME(9,16,55)</f>
        <v>40531.386747685188</v>
      </c>
      <c r="C623">
        <v>80</v>
      </c>
      <c r="D623">
        <v>71.354454040999997</v>
      </c>
      <c r="E623">
        <v>50</v>
      </c>
      <c r="F623">
        <v>49.946544647000003</v>
      </c>
      <c r="G623">
        <v>1298.9996338000001</v>
      </c>
      <c r="H623">
        <v>1286.1621094</v>
      </c>
      <c r="I623">
        <v>1397.7032471</v>
      </c>
      <c r="J623">
        <v>1377.9949951000001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233.59926400000001</v>
      </c>
      <c r="B624" s="1">
        <f>DATE(2010,12,20) + TIME(14,22,56)</f>
        <v>40532.599259259259</v>
      </c>
      <c r="C624">
        <v>80</v>
      </c>
      <c r="D624">
        <v>71.210342406999999</v>
      </c>
      <c r="E624">
        <v>50</v>
      </c>
      <c r="F624">
        <v>49.946666718000003</v>
      </c>
      <c r="G624">
        <v>1298.9019774999999</v>
      </c>
      <c r="H624">
        <v>1286.0415039</v>
      </c>
      <c r="I624">
        <v>1397.6340332</v>
      </c>
      <c r="J624">
        <v>1377.9315185999999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234.84922900000001</v>
      </c>
      <c r="B625" s="1">
        <f>DATE(2010,12,21) + TIME(20,22,53)</f>
        <v>40533.849224537036</v>
      </c>
      <c r="C625">
        <v>80</v>
      </c>
      <c r="D625">
        <v>71.064437866000006</v>
      </c>
      <c r="E625">
        <v>50</v>
      </c>
      <c r="F625">
        <v>49.946792602999999</v>
      </c>
      <c r="G625">
        <v>1298.800293</v>
      </c>
      <c r="H625">
        <v>1285.9155272999999</v>
      </c>
      <c r="I625">
        <v>1397.5649414</v>
      </c>
      <c r="J625">
        <v>1377.8681641000001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236.12384399999999</v>
      </c>
      <c r="B626" s="1">
        <f>DATE(2010,12,23) + TIME(2,58,20)</f>
        <v>40535.123842592591</v>
      </c>
      <c r="C626">
        <v>80</v>
      </c>
      <c r="D626">
        <v>70.916824340999995</v>
      </c>
      <c r="E626">
        <v>50</v>
      </c>
      <c r="F626">
        <v>49.946918488000001</v>
      </c>
      <c r="G626">
        <v>1298.6936035000001</v>
      </c>
      <c r="H626">
        <v>1285.7830810999999</v>
      </c>
      <c r="I626">
        <v>1397.4956055</v>
      </c>
      <c r="J626">
        <v>1377.8045654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237.40371200000001</v>
      </c>
      <c r="B627" s="1">
        <f>DATE(2010,12,24) + TIME(9,41,20)</f>
        <v>40536.403703703705</v>
      </c>
      <c r="C627">
        <v>80</v>
      </c>
      <c r="D627">
        <v>70.768775939999998</v>
      </c>
      <c r="E627">
        <v>50</v>
      </c>
      <c r="F627">
        <v>49.947044372999997</v>
      </c>
      <c r="G627">
        <v>1298.5828856999999</v>
      </c>
      <c r="H627">
        <v>1285.6452637</v>
      </c>
      <c r="I627">
        <v>1397.4268798999999</v>
      </c>
      <c r="J627">
        <v>1377.7414550999999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238.69598300000001</v>
      </c>
      <c r="B628" s="1">
        <f>DATE(2010,12,25) + TIME(16,42,12)</f>
        <v>40537.695972222224</v>
      </c>
      <c r="C628">
        <v>80</v>
      </c>
      <c r="D628">
        <v>70.621025084999999</v>
      </c>
      <c r="E628">
        <v>50</v>
      </c>
      <c r="F628">
        <v>49.947170258</v>
      </c>
      <c r="G628">
        <v>1298.4697266000001</v>
      </c>
      <c r="H628">
        <v>1285.5036620999999</v>
      </c>
      <c r="I628">
        <v>1397.3596190999999</v>
      </c>
      <c r="J628">
        <v>1377.6799315999999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240.00782699999999</v>
      </c>
      <c r="B629" s="1">
        <f>DATE(2010,12,27) + TIME(0,11,16)</f>
        <v>40539.007824074077</v>
      </c>
      <c r="C629">
        <v>80</v>
      </c>
      <c r="D629">
        <v>70.473304748999993</v>
      </c>
      <c r="E629">
        <v>50</v>
      </c>
      <c r="F629">
        <v>49.947299956999998</v>
      </c>
      <c r="G629">
        <v>1298.3532714999999</v>
      </c>
      <c r="H629">
        <v>1285.3574219</v>
      </c>
      <c r="I629">
        <v>1397.2937012</v>
      </c>
      <c r="J629">
        <v>1377.6193848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241.34269599999999</v>
      </c>
      <c r="B630" s="1">
        <f>DATE(2010,12,28) + TIME(8,13,28)</f>
        <v>40540.342685185184</v>
      </c>
      <c r="C630">
        <v>80</v>
      </c>
      <c r="D630">
        <v>70.325141907000003</v>
      </c>
      <c r="E630">
        <v>50</v>
      </c>
      <c r="F630">
        <v>49.947429657000001</v>
      </c>
      <c r="G630">
        <v>1298.2330322</v>
      </c>
      <c r="H630">
        <v>1285.2059326000001</v>
      </c>
      <c r="I630">
        <v>1397.2283935999999</v>
      </c>
      <c r="J630">
        <v>1377.5594481999999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242.70611299999999</v>
      </c>
      <c r="B631" s="1">
        <f>DATE(2010,12,29) + TIME(16,56,48)</f>
        <v>40541.706111111111</v>
      </c>
      <c r="C631">
        <v>80</v>
      </c>
      <c r="D631">
        <v>70.176040649000001</v>
      </c>
      <c r="E631">
        <v>50</v>
      </c>
      <c r="F631">
        <v>49.947563170999999</v>
      </c>
      <c r="G631">
        <v>1298.1083983999999</v>
      </c>
      <c r="H631">
        <v>1285.0483397999999</v>
      </c>
      <c r="I631">
        <v>1397.1638184000001</v>
      </c>
      <c r="J631">
        <v>1377.5002440999999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244.10630399999999</v>
      </c>
      <c r="B632" s="1">
        <f>DATE(2010,12,31) + TIME(2,33,4)</f>
        <v>40543.106296296297</v>
      </c>
      <c r="C632">
        <v>80</v>
      </c>
      <c r="D632">
        <v>70.025360106999997</v>
      </c>
      <c r="E632">
        <v>50</v>
      </c>
      <c r="F632">
        <v>49.947700500000003</v>
      </c>
      <c r="G632">
        <v>1297.9787598</v>
      </c>
      <c r="H632">
        <v>1284.8839111</v>
      </c>
      <c r="I632">
        <v>1397.0994873</v>
      </c>
      <c r="J632">
        <v>1377.4411620999999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245</v>
      </c>
      <c r="B633" s="1">
        <f>DATE(2011,1,1) + TIME(0,0,0)</f>
        <v>40544</v>
      </c>
      <c r="C633">
        <v>80</v>
      </c>
      <c r="D633">
        <v>69.898567200000002</v>
      </c>
      <c r="E633">
        <v>50</v>
      </c>
      <c r="F633">
        <v>49.947780608999999</v>
      </c>
      <c r="G633">
        <v>1297.8435059000001</v>
      </c>
      <c r="H633">
        <v>1284.7164307</v>
      </c>
      <c r="I633">
        <v>1397.0344238</v>
      </c>
      <c r="J633">
        <v>1377.3814697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246.43552500000001</v>
      </c>
      <c r="B634" s="1">
        <f>DATE(2011,1,2) + TIME(10,27,9)</f>
        <v>40545.435520833336</v>
      </c>
      <c r="C634">
        <v>80</v>
      </c>
      <c r="D634">
        <v>69.765823363999999</v>
      </c>
      <c r="E634">
        <v>50</v>
      </c>
      <c r="F634">
        <v>49.947925568000002</v>
      </c>
      <c r="G634">
        <v>1297.7519531</v>
      </c>
      <c r="H634">
        <v>1284.5925293</v>
      </c>
      <c r="I634">
        <v>1396.9949951000001</v>
      </c>
      <c r="J634">
        <v>1377.3452147999999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247.89870300000001</v>
      </c>
      <c r="B635" s="1">
        <f>DATE(2011,1,3) + TIME(21,34,7)</f>
        <v>40546.898692129631</v>
      </c>
      <c r="C635">
        <v>80</v>
      </c>
      <c r="D635">
        <v>69.618377686000002</v>
      </c>
      <c r="E635">
        <v>50</v>
      </c>
      <c r="F635">
        <v>49.948066711000003</v>
      </c>
      <c r="G635">
        <v>1297.6103516000001</v>
      </c>
      <c r="H635">
        <v>1284.4128418</v>
      </c>
      <c r="I635">
        <v>1396.9318848</v>
      </c>
      <c r="J635">
        <v>1377.2873535000001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249.37663499999999</v>
      </c>
      <c r="B636" s="1">
        <f>DATE(2011,1,5) + TIME(9,2,21)</f>
        <v>40548.376631944448</v>
      </c>
      <c r="C636">
        <v>80</v>
      </c>
      <c r="D636">
        <v>69.465286254999995</v>
      </c>
      <c r="E636">
        <v>50</v>
      </c>
      <c r="F636">
        <v>49.948207855</v>
      </c>
      <c r="G636">
        <v>1297.4615478999999</v>
      </c>
      <c r="H636">
        <v>1284.2224120999999</v>
      </c>
      <c r="I636">
        <v>1396.8690185999999</v>
      </c>
      <c r="J636">
        <v>1377.2297363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250.87793099999999</v>
      </c>
      <c r="B637" s="1">
        <f>DATE(2011,1,6) + TIME(21,4,13)</f>
        <v>40549.877928240741</v>
      </c>
      <c r="C637">
        <v>80</v>
      </c>
      <c r="D637">
        <v>69.309768676999994</v>
      </c>
      <c r="E637">
        <v>50</v>
      </c>
      <c r="F637">
        <v>49.948352814000003</v>
      </c>
      <c r="G637">
        <v>1297.3077393000001</v>
      </c>
      <c r="H637">
        <v>1284.0244141000001</v>
      </c>
      <c r="I637">
        <v>1396.807251</v>
      </c>
      <c r="J637">
        <v>1377.1729736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252.40119300000001</v>
      </c>
      <c r="B638" s="1">
        <f>DATE(2011,1,8) + TIME(9,37,43)</f>
        <v>40551.401192129626</v>
      </c>
      <c r="C638">
        <v>80</v>
      </c>
      <c r="D638">
        <v>69.152557372999993</v>
      </c>
      <c r="E638">
        <v>50</v>
      </c>
      <c r="F638">
        <v>49.948497772000003</v>
      </c>
      <c r="G638">
        <v>1297.1483154</v>
      </c>
      <c r="H638">
        <v>1283.8182373</v>
      </c>
      <c r="I638">
        <v>1396.7460937999999</v>
      </c>
      <c r="J638">
        <v>1377.1168213000001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253.94803400000001</v>
      </c>
      <c r="B639" s="1">
        <f>DATE(2011,1,9) + TIME(22,45,10)</f>
        <v>40552.94803240741</v>
      </c>
      <c r="C639">
        <v>80</v>
      </c>
      <c r="D639">
        <v>68.993820189999994</v>
      </c>
      <c r="E639">
        <v>50</v>
      </c>
      <c r="F639">
        <v>49.948646545000003</v>
      </c>
      <c r="G639">
        <v>1296.9832764</v>
      </c>
      <c r="H639">
        <v>1283.6038818</v>
      </c>
      <c r="I639">
        <v>1396.6855469</v>
      </c>
      <c r="J639">
        <v>1377.0611572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255.52707100000001</v>
      </c>
      <c r="B640" s="1">
        <f>DATE(2011,1,11) + TIME(12,38,58)</f>
        <v>40554.527060185188</v>
      </c>
      <c r="C640">
        <v>80</v>
      </c>
      <c r="D640">
        <v>68.833160399999997</v>
      </c>
      <c r="E640">
        <v>50</v>
      </c>
      <c r="F640">
        <v>49.948795318999998</v>
      </c>
      <c r="G640">
        <v>1296.8122559000001</v>
      </c>
      <c r="H640">
        <v>1283.3809814000001</v>
      </c>
      <c r="I640">
        <v>1396.6256103999999</v>
      </c>
      <c r="J640">
        <v>1377.0062256000001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257.14752499999997</v>
      </c>
      <c r="B641" s="1">
        <f>DATE(2011,1,13) + TIME(3,32,26)</f>
        <v>40556.147523148145</v>
      </c>
      <c r="C641">
        <v>80</v>
      </c>
      <c r="D641">
        <v>68.669746399000005</v>
      </c>
      <c r="E641">
        <v>50</v>
      </c>
      <c r="F641">
        <v>49.948947906000001</v>
      </c>
      <c r="G641">
        <v>1296.6341553</v>
      </c>
      <c r="H641">
        <v>1283.1479492000001</v>
      </c>
      <c r="I641">
        <v>1396.565918</v>
      </c>
      <c r="J641">
        <v>1376.9514160000001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258.80442299999999</v>
      </c>
      <c r="B642" s="1">
        <f>DATE(2011,1,14) + TIME(19,18,22)</f>
        <v>40557.8044212963</v>
      </c>
      <c r="C642">
        <v>80</v>
      </c>
      <c r="D642">
        <v>68.502975464000002</v>
      </c>
      <c r="E642">
        <v>50</v>
      </c>
      <c r="F642">
        <v>49.949104308999999</v>
      </c>
      <c r="G642">
        <v>1296.4477539</v>
      </c>
      <c r="H642">
        <v>1282.9033202999999</v>
      </c>
      <c r="I642">
        <v>1396.5062256000001</v>
      </c>
      <c r="J642">
        <v>1376.8964844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260.46743300000003</v>
      </c>
      <c r="B643" s="1">
        <f>DATE(2011,1,16) + TIME(11,13,6)</f>
        <v>40559.467430555553</v>
      </c>
      <c r="C643">
        <v>80</v>
      </c>
      <c r="D643">
        <v>68.333625792999996</v>
      </c>
      <c r="E643">
        <v>50</v>
      </c>
      <c r="F643">
        <v>49.949260711999997</v>
      </c>
      <c r="G643">
        <v>1296.2532959</v>
      </c>
      <c r="H643">
        <v>1282.6473389</v>
      </c>
      <c r="I643">
        <v>1396.4465332</v>
      </c>
      <c r="J643">
        <v>1376.8416748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262.14502800000002</v>
      </c>
      <c r="B644" s="1">
        <f>DATE(2011,1,18) + TIME(3,28,50)</f>
        <v>40561.14502314815</v>
      </c>
      <c r="C644">
        <v>80</v>
      </c>
      <c r="D644">
        <v>68.162727356000005</v>
      </c>
      <c r="E644">
        <v>50</v>
      </c>
      <c r="F644">
        <v>49.949417113999999</v>
      </c>
      <c r="G644">
        <v>1296.0537108999999</v>
      </c>
      <c r="H644">
        <v>1282.3834228999999</v>
      </c>
      <c r="I644">
        <v>1396.3881836</v>
      </c>
      <c r="J644">
        <v>1376.7880858999999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263.83982800000001</v>
      </c>
      <c r="B645" s="1">
        <f>DATE(2011,1,19) + TIME(20,9,21)</f>
        <v>40562.839826388888</v>
      </c>
      <c r="C645">
        <v>80</v>
      </c>
      <c r="D645">
        <v>67.989982604999994</v>
      </c>
      <c r="E645">
        <v>50</v>
      </c>
      <c r="F645">
        <v>49.949573516999997</v>
      </c>
      <c r="G645">
        <v>1295.8482666</v>
      </c>
      <c r="H645">
        <v>1282.1107178</v>
      </c>
      <c r="I645">
        <v>1396.3305664</v>
      </c>
      <c r="J645">
        <v>1376.7352295000001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265.56117799999998</v>
      </c>
      <c r="B646" s="1">
        <f>DATE(2011,1,21) + TIME(13,28,5)</f>
        <v>40564.561168981483</v>
      </c>
      <c r="C646">
        <v>80</v>
      </c>
      <c r="D646">
        <v>67.814697265999996</v>
      </c>
      <c r="E646">
        <v>50</v>
      </c>
      <c r="F646">
        <v>49.949729918999999</v>
      </c>
      <c r="G646">
        <v>1295.6365966999999</v>
      </c>
      <c r="H646">
        <v>1281.8286132999999</v>
      </c>
      <c r="I646">
        <v>1396.2739257999999</v>
      </c>
      <c r="J646">
        <v>1376.6829834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267.31881800000002</v>
      </c>
      <c r="B647" s="1">
        <f>DATE(2011,1,23) + TIME(7,39,5)</f>
        <v>40566.318807870368</v>
      </c>
      <c r="C647">
        <v>80</v>
      </c>
      <c r="D647">
        <v>67.635765075999998</v>
      </c>
      <c r="E647">
        <v>50</v>
      </c>
      <c r="F647">
        <v>49.949890136999997</v>
      </c>
      <c r="G647">
        <v>1295.4172363</v>
      </c>
      <c r="H647">
        <v>1281.5354004000001</v>
      </c>
      <c r="I647">
        <v>1396.2175293</v>
      </c>
      <c r="J647">
        <v>1376.6312256000001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269.12328000000002</v>
      </c>
      <c r="B648" s="1">
        <f>DATE(2011,1,25) + TIME(2,57,31)</f>
        <v>40568.12327546296</v>
      </c>
      <c r="C648">
        <v>80</v>
      </c>
      <c r="D648">
        <v>67.451858521000005</v>
      </c>
      <c r="E648">
        <v>50</v>
      </c>
      <c r="F648">
        <v>49.950054168999998</v>
      </c>
      <c r="G648">
        <v>1295.1890868999999</v>
      </c>
      <c r="H648">
        <v>1281.229126</v>
      </c>
      <c r="I648">
        <v>1396.1613769999999</v>
      </c>
      <c r="J648">
        <v>1376.5795897999999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270.96707500000002</v>
      </c>
      <c r="B649" s="1">
        <f>DATE(2011,1,26) + TIME(23,12,35)</f>
        <v>40569.96707175926</v>
      </c>
      <c r="C649">
        <v>80</v>
      </c>
      <c r="D649">
        <v>67.262031554999993</v>
      </c>
      <c r="E649">
        <v>50</v>
      </c>
      <c r="F649">
        <v>49.950222015000001</v>
      </c>
      <c r="G649">
        <v>1294.9503173999999</v>
      </c>
      <c r="H649">
        <v>1280.9075928</v>
      </c>
      <c r="I649">
        <v>1396.1049805</v>
      </c>
      <c r="J649">
        <v>1376.527832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272.81817100000001</v>
      </c>
      <c r="B650" s="1">
        <f>DATE(2011,1,28) + TIME(19,38,9)</f>
        <v>40571.818159722221</v>
      </c>
      <c r="C650">
        <v>80</v>
      </c>
      <c r="D650">
        <v>67.066909789999997</v>
      </c>
      <c r="E650">
        <v>50</v>
      </c>
      <c r="F650">
        <v>49.950389862000002</v>
      </c>
      <c r="G650">
        <v>1294.7016602000001</v>
      </c>
      <c r="H650">
        <v>1280.5716553</v>
      </c>
      <c r="I650">
        <v>1396.0487060999999</v>
      </c>
      <c r="J650">
        <v>1376.4759521000001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274.685362</v>
      </c>
      <c r="B651" s="1">
        <f>DATE(2011,1,30) + TIME(16,26,55)</f>
        <v>40573.685358796298</v>
      </c>
      <c r="C651">
        <v>80</v>
      </c>
      <c r="D651">
        <v>66.867599487000007</v>
      </c>
      <c r="E651">
        <v>50</v>
      </c>
      <c r="F651">
        <v>49.950553894000002</v>
      </c>
      <c r="G651">
        <v>1294.4465332</v>
      </c>
      <c r="H651">
        <v>1280.2255858999999</v>
      </c>
      <c r="I651">
        <v>1395.9934082</v>
      </c>
      <c r="J651">
        <v>1376.4250488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276</v>
      </c>
      <c r="B652" s="1">
        <f>DATE(2011,2,1) + TIME(0,0,0)</f>
        <v>40575</v>
      </c>
      <c r="C652">
        <v>80</v>
      </c>
      <c r="D652">
        <v>66.685211182000003</v>
      </c>
      <c r="E652">
        <v>50</v>
      </c>
      <c r="F652">
        <v>49.950668335000003</v>
      </c>
      <c r="G652">
        <v>1294.1868896000001</v>
      </c>
      <c r="H652">
        <v>1279.8771973</v>
      </c>
      <c r="I652">
        <v>1395.9381103999999</v>
      </c>
      <c r="J652">
        <v>1376.3742675999999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277.88740999999999</v>
      </c>
      <c r="B653" s="1">
        <f>DATE(2011,2,2) + TIME(21,17,52)</f>
        <v>40576.887407407405</v>
      </c>
      <c r="C653">
        <v>80</v>
      </c>
      <c r="D653">
        <v>66.506904602000006</v>
      </c>
      <c r="E653">
        <v>50</v>
      </c>
      <c r="F653">
        <v>49.950836182000003</v>
      </c>
      <c r="G653">
        <v>1293.9892577999999</v>
      </c>
      <c r="H653">
        <v>1279.5974120999999</v>
      </c>
      <c r="I653">
        <v>1395.901001</v>
      </c>
      <c r="J653">
        <v>1376.3400879000001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279.83477699999997</v>
      </c>
      <c r="B654" s="1">
        <f>DATE(2011,2,4) + TIME(20,2,4)</f>
        <v>40578.834768518522</v>
      </c>
      <c r="C654">
        <v>80</v>
      </c>
      <c r="D654">
        <v>66.301277161000002</v>
      </c>
      <c r="E654">
        <v>50</v>
      </c>
      <c r="F654">
        <v>49.951007842999999</v>
      </c>
      <c r="G654">
        <v>1293.7211914</v>
      </c>
      <c r="H654">
        <v>1279.2326660000001</v>
      </c>
      <c r="I654">
        <v>1395.8477783000001</v>
      </c>
      <c r="J654">
        <v>1376.2910156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281.823149</v>
      </c>
      <c r="B655" s="1">
        <f>DATE(2011,2,6) + TIME(19,45,20)</f>
        <v>40580.823148148149</v>
      </c>
      <c r="C655">
        <v>80</v>
      </c>
      <c r="D655">
        <v>66.080467224000003</v>
      </c>
      <c r="E655">
        <v>50</v>
      </c>
      <c r="F655">
        <v>49.951183319000002</v>
      </c>
      <c r="G655">
        <v>1293.4361572</v>
      </c>
      <c r="H655">
        <v>1278.8414307</v>
      </c>
      <c r="I655">
        <v>1395.7938231999999</v>
      </c>
      <c r="J655">
        <v>1376.2414550999999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283.85150800000002</v>
      </c>
      <c r="B656" s="1">
        <f>DATE(2011,2,8) + TIME(20,26,10)</f>
        <v>40582.851504629631</v>
      </c>
      <c r="C656">
        <v>80</v>
      </c>
      <c r="D656">
        <v>65.848396300999994</v>
      </c>
      <c r="E656">
        <v>50</v>
      </c>
      <c r="F656">
        <v>49.951358794999997</v>
      </c>
      <c r="G656">
        <v>1293.1387939000001</v>
      </c>
      <c r="H656">
        <v>1278.4310303</v>
      </c>
      <c r="I656">
        <v>1395.7399902</v>
      </c>
      <c r="J656">
        <v>1376.1917725000001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285.90742599999999</v>
      </c>
      <c r="B657" s="1">
        <f>DATE(2011,2,10) + TIME(21,46,41)</f>
        <v>40584.907418981478</v>
      </c>
      <c r="C657">
        <v>80</v>
      </c>
      <c r="D657">
        <v>65.605979919000006</v>
      </c>
      <c r="E657">
        <v>50</v>
      </c>
      <c r="F657">
        <v>49.951534271</v>
      </c>
      <c r="G657">
        <v>1292.8299560999999</v>
      </c>
      <c r="H657">
        <v>1278.0030518000001</v>
      </c>
      <c r="I657">
        <v>1395.6860352000001</v>
      </c>
      <c r="J657">
        <v>1376.1420897999999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287.98067700000001</v>
      </c>
      <c r="B658" s="1">
        <f>DATE(2011,2,12) + TIME(23,32,10)</f>
        <v>40586.980671296296</v>
      </c>
      <c r="C658">
        <v>80</v>
      </c>
      <c r="D658">
        <v>65.353919982999997</v>
      </c>
      <c r="E658">
        <v>50</v>
      </c>
      <c r="F658">
        <v>49.951713562000002</v>
      </c>
      <c r="G658">
        <v>1292.5114745999999</v>
      </c>
      <c r="H658">
        <v>1277.5599365</v>
      </c>
      <c r="I658">
        <v>1395.6323242000001</v>
      </c>
      <c r="J658">
        <v>1376.0926514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290.07538099999999</v>
      </c>
      <c r="B659" s="1">
        <f>DATE(2011,2,15) + TIME(1,48,32)</f>
        <v>40589.075370370374</v>
      </c>
      <c r="C659">
        <v>80</v>
      </c>
      <c r="D659">
        <v>65.092384338000002</v>
      </c>
      <c r="E659">
        <v>50</v>
      </c>
      <c r="F659">
        <v>49.951889037999997</v>
      </c>
      <c r="G659">
        <v>1292.1848144999999</v>
      </c>
      <c r="H659">
        <v>1277.1035156</v>
      </c>
      <c r="I659">
        <v>1395.5792236</v>
      </c>
      <c r="J659">
        <v>1376.0437012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292.19752699999998</v>
      </c>
      <c r="B660" s="1">
        <f>DATE(2011,2,17) + TIME(4,44,26)</f>
        <v>40591.197523148148</v>
      </c>
      <c r="C660">
        <v>80</v>
      </c>
      <c r="D660">
        <v>64.820579529</v>
      </c>
      <c r="E660">
        <v>50</v>
      </c>
      <c r="F660">
        <v>49.952068328999999</v>
      </c>
      <c r="G660">
        <v>1291.8498535000001</v>
      </c>
      <c r="H660">
        <v>1276.6334228999999</v>
      </c>
      <c r="I660">
        <v>1395.5264893000001</v>
      </c>
      <c r="J660">
        <v>1375.9949951000001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294.35021999999998</v>
      </c>
      <c r="B661" s="1">
        <f>DATE(2011,2,19) + TIME(8,24,18)</f>
        <v>40593.350208333337</v>
      </c>
      <c r="C661">
        <v>80</v>
      </c>
      <c r="D661">
        <v>64.537254333000007</v>
      </c>
      <c r="E661">
        <v>50</v>
      </c>
      <c r="F661">
        <v>49.952247620000001</v>
      </c>
      <c r="G661">
        <v>1291.5054932</v>
      </c>
      <c r="H661">
        <v>1276.1485596</v>
      </c>
      <c r="I661">
        <v>1395.4738769999999</v>
      </c>
      <c r="J661">
        <v>1375.9465332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296.54560600000002</v>
      </c>
      <c r="B662" s="1">
        <f>DATE(2011,2,21) + TIME(13,5,40)</f>
        <v>40595.545601851853</v>
      </c>
      <c r="C662">
        <v>80</v>
      </c>
      <c r="D662">
        <v>64.240859985</v>
      </c>
      <c r="E662">
        <v>50</v>
      </c>
      <c r="F662">
        <v>49.952430724999999</v>
      </c>
      <c r="G662">
        <v>1291.1514893000001</v>
      </c>
      <c r="H662">
        <v>1275.6478271000001</v>
      </c>
      <c r="I662">
        <v>1395.4213867000001</v>
      </c>
      <c r="J662">
        <v>1375.8980713000001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298.78819600000003</v>
      </c>
      <c r="B663" s="1">
        <f>DATE(2011,2,23) + TIME(18,55,0)</f>
        <v>40597.788194444445</v>
      </c>
      <c r="C663">
        <v>80</v>
      </c>
      <c r="D663">
        <v>63.929378509999999</v>
      </c>
      <c r="E663">
        <v>50</v>
      </c>
      <c r="F663">
        <v>49.952613831000001</v>
      </c>
      <c r="G663">
        <v>1290.7858887</v>
      </c>
      <c r="H663">
        <v>1275.1287841999999</v>
      </c>
      <c r="I663">
        <v>1395.3687743999999</v>
      </c>
      <c r="J663">
        <v>1375.8494873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301.05931700000002</v>
      </c>
      <c r="B664" s="1">
        <f>DATE(2011,2,26) + TIME(1,25,24)</f>
        <v>40600.059305555558</v>
      </c>
      <c r="C664">
        <v>80</v>
      </c>
      <c r="D664">
        <v>63.60187912</v>
      </c>
      <c r="E664">
        <v>50</v>
      </c>
      <c r="F664">
        <v>49.952796935999999</v>
      </c>
      <c r="G664">
        <v>1290.4079589999999</v>
      </c>
      <c r="H664">
        <v>1274.590332</v>
      </c>
      <c r="I664">
        <v>1395.3156738</v>
      </c>
      <c r="J664">
        <v>1375.8005370999999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303.34286200000003</v>
      </c>
      <c r="B665" s="1">
        <f>DATE(2011,2,28) + TIME(8,13,43)</f>
        <v>40602.342858796299</v>
      </c>
      <c r="C665">
        <v>80</v>
      </c>
      <c r="D665">
        <v>63.259540557999998</v>
      </c>
      <c r="E665">
        <v>50</v>
      </c>
      <c r="F665">
        <v>49.952983856000003</v>
      </c>
      <c r="G665">
        <v>1290.0205077999999</v>
      </c>
      <c r="H665">
        <v>1274.0360106999999</v>
      </c>
      <c r="I665">
        <v>1395.2626952999999</v>
      </c>
      <c r="J665">
        <v>1375.7515868999999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304</v>
      </c>
      <c r="B666" s="1">
        <f>DATE(2011,3,1) + TIME(0,0,0)</f>
        <v>40603</v>
      </c>
      <c r="C666">
        <v>80</v>
      </c>
      <c r="D666">
        <v>63.031009674000003</v>
      </c>
      <c r="E666">
        <v>50</v>
      </c>
      <c r="F666">
        <v>49.953029633</v>
      </c>
      <c r="G666">
        <v>1289.6423339999999</v>
      </c>
      <c r="H666">
        <v>1273.5284423999999</v>
      </c>
      <c r="I666">
        <v>1395.2087402</v>
      </c>
      <c r="J666">
        <v>1375.7015381000001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306.30773799999997</v>
      </c>
      <c r="B667" s="1">
        <f>DATE(2011,3,3) + TIME(7,23,8)</f>
        <v>40605.30773148148</v>
      </c>
      <c r="C667">
        <v>80</v>
      </c>
      <c r="D667">
        <v>62.769184113000001</v>
      </c>
      <c r="E667">
        <v>50</v>
      </c>
      <c r="F667">
        <v>49.953220367</v>
      </c>
      <c r="G667">
        <v>1289.4924315999999</v>
      </c>
      <c r="H667">
        <v>1273.2644043</v>
      </c>
      <c r="I667">
        <v>1395.1951904</v>
      </c>
      <c r="J667">
        <v>1375.6889647999999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308.65537599999999</v>
      </c>
      <c r="B668" s="1">
        <f>DATE(2011,3,5) + TIME(15,43,44)</f>
        <v>40607.655370370368</v>
      </c>
      <c r="C668">
        <v>80</v>
      </c>
      <c r="D668">
        <v>62.415760040000002</v>
      </c>
      <c r="E668">
        <v>50</v>
      </c>
      <c r="F668">
        <v>49.953407288000001</v>
      </c>
      <c r="G668">
        <v>1289.1047363</v>
      </c>
      <c r="H668">
        <v>1272.7133789</v>
      </c>
      <c r="I668">
        <v>1395.1428223</v>
      </c>
      <c r="J668">
        <v>1375.6405029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311.048134</v>
      </c>
      <c r="B669" s="1">
        <f>DATE(2011,3,8) + TIME(1,9,18)</f>
        <v>40610.048125000001</v>
      </c>
      <c r="C669">
        <v>80</v>
      </c>
      <c r="D669">
        <v>62.026794434000003</v>
      </c>
      <c r="E669">
        <v>50</v>
      </c>
      <c r="F669">
        <v>49.953594207999998</v>
      </c>
      <c r="G669">
        <v>1288.6949463000001</v>
      </c>
      <c r="H669">
        <v>1272.1208495999999</v>
      </c>
      <c r="I669">
        <v>1395.0902100000001</v>
      </c>
      <c r="J669">
        <v>1375.5917969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313.49167899999998</v>
      </c>
      <c r="B670" s="1">
        <f>DATE(2011,3,10) + TIME(11,48,1)</f>
        <v>40612.491678240738</v>
      </c>
      <c r="C670">
        <v>80</v>
      </c>
      <c r="D670">
        <v>61.614124298</v>
      </c>
      <c r="E670">
        <v>50</v>
      </c>
      <c r="F670">
        <v>49.953784943000002</v>
      </c>
      <c r="G670">
        <v>1288.2717285000001</v>
      </c>
      <c r="H670">
        <v>1271.5043945</v>
      </c>
      <c r="I670">
        <v>1395.0371094</v>
      </c>
      <c r="J670">
        <v>1375.5426024999999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315.964473</v>
      </c>
      <c r="B671" s="1">
        <f>DATE(2011,3,12) + TIME(23,8,50)</f>
        <v>40614.964467592596</v>
      </c>
      <c r="C671">
        <v>80</v>
      </c>
      <c r="D671">
        <v>61.180114746000001</v>
      </c>
      <c r="E671">
        <v>50</v>
      </c>
      <c r="F671">
        <v>49.953975677000003</v>
      </c>
      <c r="G671">
        <v>1287.8363036999999</v>
      </c>
      <c r="H671">
        <v>1270.8675536999999</v>
      </c>
      <c r="I671">
        <v>1394.9833983999999</v>
      </c>
      <c r="J671">
        <v>1375.4927978999999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318.457988</v>
      </c>
      <c r="B672" s="1">
        <f>DATE(2011,3,15) + TIME(10,59,30)</f>
        <v>40617.457986111112</v>
      </c>
      <c r="C672">
        <v>80</v>
      </c>
      <c r="D672">
        <v>60.727783203000001</v>
      </c>
      <c r="E672">
        <v>50</v>
      </c>
      <c r="F672">
        <v>49.954166411999999</v>
      </c>
      <c r="G672">
        <v>1287.3928223</v>
      </c>
      <c r="H672">
        <v>1270.2160644999999</v>
      </c>
      <c r="I672">
        <v>1394.9295654</v>
      </c>
      <c r="J672">
        <v>1375.442749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320.97611799999999</v>
      </c>
      <c r="B673" s="1">
        <f>DATE(2011,3,17) + TIME(23,25,36)</f>
        <v>40619.976111111115</v>
      </c>
      <c r="C673">
        <v>80</v>
      </c>
      <c r="D673">
        <v>60.258186340000002</v>
      </c>
      <c r="E673">
        <v>50</v>
      </c>
      <c r="F673">
        <v>49.954357147000003</v>
      </c>
      <c r="G673">
        <v>1286.9437256000001</v>
      </c>
      <c r="H673">
        <v>1269.5528564000001</v>
      </c>
      <c r="I673">
        <v>1394.8756103999999</v>
      </c>
      <c r="J673">
        <v>1375.3925781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323.52450700000003</v>
      </c>
      <c r="B674" s="1">
        <f>DATE(2011,3,20) + TIME(12,35,17)</f>
        <v>40622.524502314816</v>
      </c>
      <c r="C674">
        <v>80</v>
      </c>
      <c r="D674">
        <v>59.770767212000003</v>
      </c>
      <c r="E674">
        <v>50</v>
      </c>
      <c r="F674">
        <v>49.954547882</v>
      </c>
      <c r="G674">
        <v>1286.4888916</v>
      </c>
      <c r="H674">
        <v>1268.878418</v>
      </c>
      <c r="I674">
        <v>1394.8215332</v>
      </c>
      <c r="J674">
        <v>1375.3422852000001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326.10497299999997</v>
      </c>
      <c r="B675" s="1">
        <f>DATE(2011,3,23) + TIME(2,31,9)</f>
        <v>40625.10496527778</v>
      </c>
      <c r="C675">
        <v>80</v>
      </c>
      <c r="D675">
        <v>59.264869689999998</v>
      </c>
      <c r="E675">
        <v>50</v>
      </c>
      <c r="F675">
        <v>49.954742432000003</v>
      </c>
      <c r="G675">
        <v>1286.0281981999999</v>
      </c>
      <c r="H675">
        <v>1268.1921387</v>
      </c>
      <c r="I675">
        <v>1394.7672118999999</v>
      </c>
      <c r="J675">
        <v>1375.291626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328.71924200000001</v>
      </c>
      <c r="B676" s="1">
        <f>DATE(2011,3,25) + TIME(17,15,42)</f>
        <v>40627.719236111108</v>
      </c>
      <c r="C676">
        <v>80</v>
      </c>
      <c r="D676">
        <v>58.740608215000002</v>
      </c>
      <c r="E676">
        <v>50</v>
      </c>
      <c r="F676">
        <v>49.954933167</v>
      </c>
      <c r="G676">
        <v>1285.5617675999999</v>
      </c>
      <c r="H676">
        <v>1267.4941406</v>
      </c>
      <c r="I676">
        <v>1394.7124022999999</v>
      </c>
      <c r="J676">
        <v>1375.2406006000001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331.36582399999998</v>
      </c>
      <c r="B677" s="1">
        <f>DATE(2011,3,28) + TIME(8,46,47)</f>
        <v>40630.36582175926</v>
      </c>
      <c r="C677">
        <v>80</v>
      </c>
      <c r="D677">
        <v>58.198337555000002</v>
      </c>
      <c r="E677">
        <v>50</v>
      </c>
      <c r="F677">
        <v>49.955127716</v>
      </c>
      <c r="G677">
        <v>1285.0899658000001</v>
      </c>
      <c r="H677">
        <v>1266.7850341999999</v>
      </c>
      <c r="I677">
        <v>1394.6572266000001</v>
      </c>
      <c r="J677">
        <v>1375.1890868999999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334.039266</v>
      </c>
      <c r="B678" s="1">
        <f>DATE(2011,3,31) + TIME(0,56,32)</f>
        <v>40633.039259259262</v>
      </c>
      <c r="C678">
        <v>80</v>
      </c>
      <c r="D678">
        <v>57.638774871999999</v>
      </c>
      <c r="E678">
        <v>50</v>
      </c>
      <c r="F678">
        <v>49.955322266000003</v>
      </c>
      <c r="G678">
        <v>1284.6136475000001</v>
      </c>
      <c r="H678">
        <v>1266.0660399999999</v>
      </c>
      <c r="I678">
        <v>1394.6015625</v>
      </c>
      <c r="J678">
        <v>1375.1370850000001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335</v>
      </c>
      <c r="B679" s="1">
        <f>DATE(2011,4,1) + TIME(0,0,0)</f>
        <v>40634</v>
      </c>
      <c r="C679">
        <v>80</v>
      </c>
      <c r="D679">
        <v>57.209228516000003</v>
      </c>
      <c r="E679">
        <v>50</v>
      </c>
      <c r="F679">
        <v>49.955383300999998</v>
      </c>
      <c r="G679">
        <v>1284.1455077999999</v>
      </c>
      <c r="H679">
        <v>1265.4025879000001</v>
      </c>
      <c r="I679">
        <v>1394.5445557</v>
      </c>
      <c r="J679">
        <v>1375.0837402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337.70284600000002</v>
      </c>
      <c r="B680" s="1">
        <f>DATE(2011,4,3) + TIME(16,52,5)</f>
        <v>40636.702835648146</v>
      </c>
      <c r="C680">
        <v>80</v>
      </c>
      <c r="D680">
        <v>56.811134338000002</v>
      </c>
      <c r="E680">
        <v>50</v>
      </c>
      <c r="F680">
        <v>49.955581664999997</v>
      </c>
      <c r="G680">
        <v>1283.9425048999999</v>
      </c>
      <c r="H680">
        <v>1265.0297852000001</v>
      </c>
      <c r="I680">
        <v>1394.5252685999999</v>
      </c>
      <c r="J680">
        <v>1375.0657959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340.45302800000002</v>
      </c>
      <c r="B681" s="1">
        <f>DATE(2011,4,6) + TIME(10,52,21)</f>
        <v>40639.453020833331</v>
      </c>
      <c r="C681">
        <v>80</v>
      </c>
      <c r="D681">
        <v>56.251060486</v>
      </c>
      <c r="E681">
        <v>50</v>
      </c>
      <c r="F681">
        <v>49.955776215</v>
      </c>
      <c r="G681">
        <v>1283.4799805</v>
      </c>
      <c r="H681">
        <v>1264.3371582</v>
      </c>
      <c r="I681">
        <v>1394.4688721</v>
      </c>
      <c r="J681">
        <v>1375.0129394999999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343.23258399999997</v>
      </c>
      <c r="B682" s="1">
        <f>DATE(2011,4,9) + TIME(5,34,55)</f>
        <v>40642.232581018521</v>
      </c>
      <c r="C682">
        <v>80</v>
      </c>
      <c r="D682">
        <v>55.646484375</v>
      </c>
      <c r="E682">
        <v>50</v>
      </c>
      <c r="F682">
        <v>49.955970764</v>
      </c>
      <c r="G682">
        <v>1282.9995117000001</v>
      </c>
      <c r="H682">
        <v>1263.6031493999999</v>
      </c>
      <c r="I682">
        <v>1394.4116211</v>
      </c>
      <c r="J682">
        <v>1374.9592285000001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346.04380200000003</v>
      </c>
      <c r="B683" s="1">
        <f>DATE(2011,4,12) + TIME(1,3,4)</f>
        <v>40645.043796296297</v>
      </c>
      <c r="C683">
        <v>80</v>
      </c>
      <c r="D683">
        <v>55.023727417000003</v>
      </c>
      <c r="E683">
        <v>50</v>
      </c>
      <c r="F683">
        <v>49.956165314000003</v>
      </c>
      <c r="G683">
        <v>1282.5158690999999</v>
      </c>
      <c r="H683">
        <v>1262.8583983999999</v>
      </c>
      <c r="I683">
        <v>1394.3538818</v>
      </c>
      <c r="J683">
        <v>1374.9050293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348.89392099999998</v>
      </c>
      <c r="B684" s="1">
        <f>DATE(2011,4,14) + TIME(21,27,14)</f>
        <v>40647.893912037034</v>
      </c>
      <c r="C684">
        <v>80</v>
      </c>
      <c r="D684">
        <v>54.387874603</v>
      </c>
      <c r="E684">
        <v>50</v>
      </c>
      <c r="F684">
        <v>49.956363678000002</v>
      </c>
      <c r="G684">
        <v>1282.0319824000001</v>
      </c>
      <c r="H684">
        <v>1262.1092529</v>
      </c>
      <c r="I684">
        <v>1394.2955322</v>
      </c>
      <c r="J684">
        <v>1374.8500977000001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351.78525400000001</v>
      </c>
      <c r="B685" s="1">
        <f>DATE(2011,4,17) + TIME(18,50,45)</f>
        <v>40650.785243055558</v>
      </c>
      <c r="C685">
        <v>80</v>
      </c>
      <c r="D685">
        <v>53.740024566999999</v>
      </c>
      <c r="E685">
        <v>50</v>
      </c>
      <c r="F685">
        <v>49.956558227999999</v>
      </c>
      <c r="G685">
        <v>1281.5480957</v>
      </c>
      <c r="H685">
        <v>1261.3568115</v>
      </c>
      <c r="I685">
        <v>1394.2364502</v>
      </c>
      <c r="J685">
        <v>1374.7945557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354.72252200000003</v>
      </c>
      <c r="B686" s="1">
        <f>DATE(2011,4,20) + TIME(17,20,25)</f>
        <v>40653.722511574073</v>
      </c>
      <c r="C686">
        <v>80</v>
      </c>
      <c r="D686">
        <v>53.081031799000002</v>
      </c>
      <c r="E686">
        <v>50</v>
      </c>
      <c r="F686">
        <v>49.956756591999998</v>
      </c>
      <c r="G686">
        <v>1281.0650635</v>
      </c>
      <c r="H686">
        <v>1260.6019286999999</v>
      </c>
      <c r="I686">
        <v>1394.1766356999999</v>
      </c>
      <c r="J686">
        <v>1374.7382812000001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357.71152999999998</v>
      </c>
      <c r="B687" s="1">
        <f>DATE(2011,4,23) + TIME(17,4,36)</f>
        <v>40656.711527777778</v>
      </c>
      <c r="C687">
        <v>80</v>
      </c>
      <c r="D687">
        <v>52.411560059000003</v>
      </c>
      <c r="E687">
        <v>50</v>
      </c>
      <c r="F687">
        <v>49.956954955999997</v>
      </c>
      <c r="G687">
        <v>1280.5832519999999</v>
      </c>
      <c r="H687">
        <v>1259.8450928</v>
      </c>
      <c r="I687">
        <v>1394.1160889</v>
      </c>
      <c r="J687">
        <v>1374.6810303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360.737302</v>
      </c>
      <c r="B688" s="1">
        <f>DATE(2011,4,26) + TIME(17,41,42)</f>
        <v>40659.737291666665</v>
      </c>
      <c r="C688">
        <v>80</v>
      </c>
      <c r="D688">
        <v>51.733119965</v>
      </c>
      <c r="E688">
        <v>50</v>
      </c>
      <c r="F688">
        <v>49.957153320000003</v>
      </c>
      <c r="G688">
        <v>1280.1026611</v>
      </c>
      <c r="H688">
        <v>1259.0872803</v>
      </c>
      <c r="I688">
        <v>1394.0544434000001</v>
      </c>
      <c r="J688">
        <v>1374.6228027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362.27718199999998</v>
      </c>
      <c r="B689" s="1">
        <f>DATE(2011,4,28) + TIME(6,39,8)</f>
        <v>40661.277175925927</v>
      </c>
      <c r="C689">
        <v>80</v>
      </c>
      <c r="D689">
        <v>51.145702362000002</v>
      </c>
      <c r="E689">
        <v>50</v>
      </c>
      <c r="F689">
        <v>49.957248688</v>
      </c>
      <c r="G689">
        <v>1279.6297606999999</v>
      </c>
      <c r="H689">
        <v>1258.3735352000001</v>
      </c>
      <c r="I689">
        <v>1393.9916992000001</v>
      </c>
      <c r="J689">
        <v>1374.5634766000001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364.26506699999999</v>
      </c>
      <c r="B690" s="1">
        <f>DATE(2011,4,30) + TIME(6,21,41)</f>
        <v>40663.265057870369</v>
      </c>
      <c r="C690">
        <v>80</v>
      </c>
      <c r="D690">
        <v>50.703163146999998</v>
      </c>
      <c r="E690">
        <v>50</v>
      </c>
      <c r="F690">
        <v>49.957382201999998</v>
      </c>
      <c r="G690">
        <v>1279.3764647999999</v>
      </c>
      <c r="H690">
        <v>1257.9329834</v>
      </c>
      <c r="I690">
        <v>1393.9600829999999</v>
      </c>
      <c r="J690">
        <v>1374.5335693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365</v>
      </c>
      <c r="B691" s="1">
        <f>DATE(2011,5,1) + TIME(0,0,0)</f>
        <v>40664</v>
      </c>
      <c r="C691">
        <v>80</v>
      </c>
      <c r="D691">
        <v>50.386131286999998</v>
      </c>
      <c r="E691">
        <v>50</v>
      </c>
      <c r="F691">
        <v>49.957424164000003</v>
      </c>
      <c r="G691">
        <v>1279.0784911999999</v>
      </c>
      <c r="H691">
        <v>1257.5051269999999</v>
      </c>
      <c r="I691">
        <v>1393.9190673999999</v>
      </c>
      <c r="J691">
        <v>1374.494751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365.000001</v>
      </c>
      <c r="B692" s="1">
        <f>DATE(2011,5,1) + TIME(0,0,0)</f>
        <v>40664</v>
      </c>
      <c r="C692">
        <v>80</v>
      </c>
      <c r="D692">
        <v>50.386333466000004</v>
      </c>
      <c r="E692">
        <v>50</v>
      </c>
      <c r="F692">
        <v>49.957290649000001</v>
      </c>
      <c r="G692">
        <v>1302.3175048999999</v>
      </c>
      <c r="H692">
        <v>1280.0894774999999</v>
      </c>
      <c r="I692">
        <v>1373.6185303</v>
      </c>
      <c r="J692">
        <v>1354.699707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365.00000399999999</v>
      </c>
      <c r="B693" s="1">
        <f>DATE(2011,5,1) + TIME(0,0,0)</f>
        <v>40664</v>
      </c>
      <c r="C693">
        <v>80</v>
      </c>
      <c r="D693">
        <v>50.386894226000003</v>
      </c>
      <c r="E693">
        <v>50</v>
      </c>
      <c r="F693">
        <v>49.956932068</v>
      </c>
      <c r="G693">
        <v>1304.7363281</v>
      </c>
      <c r="H693">
        <v>1282.7694091999999</v>
      </c>
      <c r="I693">
        <v>1371.2819824000001</v>
      </c>
      <c r="J693">
        <v>1352.3620605000001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365.00001300000002</v>
      </c>
      <c r="B694" s="1">
        <f>DATE(2011,5,1) + TIME(0,0,1)</f>
        <v>40664.000011574077</v>
      </c>
      <c r="C694">
        <v>80</v>
      </c>
      <c r="D694">
        <v>50.388244628999999</v>
      </c>
      <c r="E694">
        <v>50</v>
      </c>
      <c r="F694">
        <v>49.956127166999998</v>
      </c>
      <c r="G694">
        <v>1310.2879639</v>
      </c>
      <c r="H694">
        <v>1288.7175293</v>
      </c>
      <c r="I694">
        <v>1366.0426024999999</v>
      </c>
      <c r="J694">
        <v>1347.1210937999999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365.00004000000001</v>
      </c>
      <c r="B695" s="1">
        <f>DATE(2011,5,1) + TIME(0,0,3)</f>
        <v>40664.000034722223</v>
      </c>
      <c r="C695">
        <v>80</v>
      </c>
      <c r="D695">
        <v>50.391067505000002</v>
      </c>
      <c r="E695">
        <v>50</v>
      </c>
      <c r="F695">
        <v>49.954784392999997</v>
      </c>
      <c r="G695">
        <v>1319.9257812000001</v>
      </c>
      <c r="H695">
        <v>1298.5843506000001</v>
      </c>
      <c r="I695">
        <v>1357.2932129000001</v>
      </c>
      <c r="J695">
        <v>1338.3714600000001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365.00012099999998</v>
      </c>
      <c r="B696" s="1">
        <f>DATE(2011,5,1) + TIME(0,0,10)</f>
        <v>40664.000115740739</v>
      </c>
      <c r="C696">
        <v>80</v>
      </c>
      <c r="D696">
        <v>50.396854400999999</v>
      </c>
      <c r="E696">
        <v>50</v>
      </c>
      <c r="F696">
        <v>49.953132629000002</v>
      </c>
      <c r="G696">
        <v>1332.0974120999999</v>
      </c>
      <c r="H696">
        <v>1310.6827393000001</v>
      </c>
      <c r="I696">
        <v>1346.6104736</v>
      </c>
      <c r="J696">
        <v>1327.6981201000001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365.00036399999999</v>
      </c>
      <c r="B697" s="1">
        <f>DATE(2011,5,1) + TIME(0,0,31)</f>
        <v>40664.000358796293</v>
      </c>
      <c r="C697">
        <v>80</v>
      </c>
      <c r="D697">
        <v>50.410667418999999</v>
      </c>
      <c r="E697">
        <v>50</v>
      </c>
      <c r="F697">
        <v>49.951393127000003</v>
      </c>
      <c r="G697">
        <v>1344.9169922000001</v>
      </c>
      <c r="H697">
        <v>1323.3601074000001</v>
      </c>
      <c r="I697">
        <v>1335.6109618999999</v>
      </c>
      <c r="J697">
        <v>1316.7142334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365.00109300000003</v>
      </c>
      <c r="B698" s="1">
        <f>DATE(2011,5,1) + TIME(0,1,34)</f>
        <v>40664.001087962963</v>
      </c>
      <c r="C698">
        <v>80</v>
      </c>
      <c r="D698">
        <v>50.448463439999998</v>
      </c>
      <c r="E698">
        <v>50</v>
      </c>
      <c r="F698">
        <v>49.94953537</v>
      </c>
      <c r="G698">
        <v>1358.0520019999999</v>
      </c>
      <c r="H698">
        <v>1336.3621826000001</v>
      </c>
      <c r="I698">
        <v>1324.6022949000001</v>
      </c>
      <c r="J698">
        <v>1305.7279053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365.00328000000002</v>
      </c>
      <c r="B699" s="1">
        <f>DATE(2011,5,1) + TIME(0,4,43)</f>
        <v>40664.003275462965</v>
      </c>
      <c r="C699">
        <v>80</v>
      </c>
      <c r="D699">
        <v>50.558319091999998</v>
      </c>
      <c r="E699">
        <v>50</v>
      </c>
      <c r="F699">
        <v>49.947311401</v>
      </c>
      <c r="G699">
        <v>1371.8422852000001</v>
      </c>
      <c r="H699">
        <v>1350.036499</v>
      </c>
      <c r="I699">
        <v>1313.432251</v>
      </c>
      <c r="J699">
        <v>1294.5598144999999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365.00984099999999</v>
      </c>
      <c r="B700" s="1">
        <f>DATE(2011,5,1) + TIME(0,14,10)</f>
        <v>40664.009837962964</v>
      </c>
      <c r="C700">
        <v>80</v>
      </c>
      <c r="D700">
        <v>50.882274627999998</v>
      </c>
      <c r="E700">
        <v>50</v>
      </c>
      <c r="F700">
        <v>49.944053650000001</v>
      </c>
      <c r="G700">
        <v>1385.5976562000001</v>
      </c>
      <c r="H700">
        <v>1363.7652588000001</v>
      </c>
      <c r="I700">
        <v>1302.2086182</v>
      </c>
      <c r="J700">
        <v>1283.3001709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365.02767999999998</v>
      </c>
      <c r="B701" s="1">
        <f>DATE(2011,5,1) + TIME(0,39,51)</f>
        <v>40664.027673611112</v>
      </c>
      <c r="C701">
        <v>80</v>
      </c>
      <c r="D701">
        <v>51.736907959</v>
      </c>
      <c r="E701">
        <v>50</v>
      </c>
      <c r="F701">
        <v>49.938568115000002</v>
      </c>
      <c r="G701">
        <v>1395.9804687999999</v>
      </c>
      <c r="H701">
        <v>1374.3659668</v>
      </c>
      <c r="I701">
        <v>1293.3179932</v>
      </c>
      <c r="J701">
        <v>1274.3754882999999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365.04601700000001</v>
      </c>
      <c r="B702" s="1">
        <f>DATE(2011,5,1) + TIME(1,6,15)</f>
        <v>40664.046006944445</v>
      </c>
      <c r="C702">
        <v>80</v>
      </c>
      <c r="D702">
        <v>52.590167999000002</v>
      </c>
      <c r="E702">
        <v>50</v>
      </c>
      <c r="F702">
        <v>49.933830260999997</v>
      </c>
      <c r="G702">
        <v>1399.8214111</v>
      </c>
      <c r="H702">
        <v>1378.4614257999999</v>
      </c>
      <c r="I702">
        <v>1289.9882812000001</v>
      </c>
      <c r="J702">
        <v>1271.0343018000001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365.06474800000001</v>
      </c>
      <c r="B703" s="1">
        <f>DATE(2011,5,1) + TIME(1,33,14)</f>
        <v>40664.064745370371</v>
      </c>
      <c r="C703">
        <v>80</v>
      </c>
      <c r="D703">
        <v>53.436065673999998</v>
      </c>
      <c r="E703">
        <v>50</v>
      </c>
      <c r="F703">
        <v>49.929336548000002</v>
      </c>
      <c r="G703">
        <v>1401.3474120999999</v>
      </c>
      <c r="H703">
        <v>1380.2502440999999</v>
      </c>
      <c r="I703">
        <v>1288.6717529</v>
      </c>
      <c r="J703">
        <v>1269.7132568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365.08385399999997</v>
      </c>
      <c r="B704" s="1">
        <f>DATE(2011,5,1) + TIME(2,0,44)</f>
        <v>40664.08384259259</v>
      </c>
      <c r="C704">
        <v>80</v>
      </c>
      <c r="D704">
        <v>54.272953033</v>
      </c>
      <c r="E704">
        <v>50</v>
      </c>
      <c r="F704">
        <v>49.924915314000003</v>
      </c>
      <c r="G704">
        <v>1401.90625</v>
      </c>
      <c r="H704">
        <v>1381.0678711</v>
      </c>
      <c r="I704">
        <v>1288.1679687999999</v>
      </c>
      <c r="J704">
        <v>1269.2073975000001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365.103341</v>
      </c>
      <c r="B705" s="1">
        <f>DATE(2011,5,1) + TIME(2,28,48)</f>
        <v>40664.103333333333</v>
      </c>
      <c r="C705">
        <v>80</v>
      </c>
      <c r="D705">
        <v>55.100292205999999</v>
      </c>
      <c r="E705">
        <v>50</v>
      </c>
      <c r="F705">
        <v>49.920497894</v>
      </c>
      <c r="G705">
        <v>1402.0195312000001</v>
      </c>
      <c r="H705">
        <v>1381.4327393000001</v>
      </c>
      <c r="I705">
        <v>1287.9997559000001</v>
      </c>
      <c r="J705">
        <v>1269.0380858999999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365.12321900000001</v>
      </c>
      <c r="B706" s="1">
        <f>DATE(2011,5,1) + TIME(2,57,26)</f>
        <v>40664.123217592591</v>
      </c>
      <c r="C706">
        <v>80</v>
      </c>
      <c r="D706">
        <v>55.917678832999997</v>
      </c>
      <c r="E706">
        <v>50</v>
      </c>
      <c r="F706">
        <v>49.916046143000003</v>
      </c>
      <c r="G706">
        <v>1401.9169922000001</v>
      </c>
      <c r="H706">
        <v>1381.5731201000001</v>
      </c>
      <c r="I706">
        <v>1287.9650879000001</v>
      </c>
      <c r="J706">
        <v>1269.0026855000001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365.14347500000002</v>
      </c>
      <c r="B707" s="1">
        <f>DATE(2011,5,1) + TIME(3,26,36)</f>
        <v>40664.143472222226</v>
      </c>
      <c r="C707">
        <v>80</v>
      </c>
      <c r="D707">
        <v>56.723941803000002</v>
      </c>
      <c r="E707">
        <v>50</v>
      </c>
      <c r="F707">
        <v>49.911556244000003</v>
      </c>
      <c r="G707">
        <v>1401.7077637</v>
      </c>
      <c r="H707">
        <v>1381.5981445</v>
      </c>
      <c r="I707">
        <v>1287.9779053</v>
      </c>
      <c r="J707">
        <v>1269.0148925999999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365.16412800000001</v>
      </c>
      <c r="B708" s="1">
        <f>DATE(2011,5,1) + TIME(3,56,20)</f>
        <v>40664.164120370369</v>
      </c>
      <c r="C708">
        <v>80</v>
      </c>
      <c r="D708">
        <v>57.519069672000001</v>
      </c>
      <c r="E708">
        <v>50</v>
      </c>
      <c r="F708">
        <v>49.907020568999997</v>
      </c>
      <c r="G708">
        <v>1401.4464111</v>
      </c>
      <c r="H708">
        <v>1381.5622559000001</v>
      </c>
      <c r="I708">
        <v>1288.0028076000001</v>
      </c>
      <c r="J708">
        <v>1269.0394286999999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365.18519700000002</v>
      </c>
      <c r="B709" s="1">
        <f>DATE(2011,5,1) + TIME(4,26,40)</f>
        <v>40664.185185185182</v>
      </c>
      <c r="C709">
        <v>80</v>
      </c>
      <c r="D709">
        <v>58.303070067999997</v>
      </c>
      <c r="E709">
        <v>50</v>
      </c>
      <c r="F709">
        <v>49.902431487999998</v>
      </c>
      <c r="G709">
        <v>1401.1607666</v>
      </c>
      <c r="H709">
        <v>1381.4937743999999</v>
      </c>
      <c r="I709">
        <v>1288.0268555</v>
      </c>
      <c r="J709">
        <v>1269.0628661999999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365.20670200000001</v>
      </c>
      <c r="B710" s="1">
        <f>DATE(2011,5,1) + TIME(4,57,39)</f>
        <v>40664.206701388888</v>
      </c>
      <c r="C710">
        <v>80</v>
      </c>
      <c r="D710">
        <v>59.075946807999998</v>
      </c>
      <c r="E710">
        <v>50</v>
      </c>
      <c r="F710">
        <v>49.897789001</v>
      </c>
      <c r="G710">
        <v>1400.8659668</v>
      </c>
      <c r="H710">
        <v>1381.4080810999999</v>
      </c>
      <c r="I710">
        <v>1288.0460204999999</v>
      </c>
      <c r="J710">
        <v>1269.0816649999999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365.22866599999998</v>
      </c>
      <c r="B711" s="1">
        <f>DATE(2011,5,1) + TIME(5,29,16)</f>
        <v>40664.22865740741</v>
      </c>
      <c r="C711">
        <v>80</v>
      </c>
      <c r="D711">
        <v>59.837711333999998</v>
      </c>
      <c r="E711">
        <v>50</v>
      </c>
      <c r="F711">
        <v>49.893085480000003</v>
      </c>
      <c r="G711">
        <v>1400.5698242000001</v>
      </c>
      <c r="H711">
        <v>1381.3133545000001</v>
      </c>
      <c r="I711">
        <v>1288.0601807</v>
      </c>
      <c r="J711">
        <v>1269.0953368999999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365.25111299999998</v>
      </c>
      <c r="B712" s="1">
        <f>DATE(2011,5,1) + TIME(6,1,36)</f>
        <v>40664.251111111109</v>
      </c>
      <c r="C712">
        <v>80</v>
      </c>
      <c r="D712">
        <v>60.587833404999998</v>
      </c>
      <c r="E712">
        <v>50</v>
      </c>
      <c r="F712">
        <v>49.888317108000003</v>
      </c>
      <c r="G712">
        <v>1400.2769774999999</v>
      </c>
      <c r="H712">
        <v>1381.2144774999999</v>
      </c>
      <c r="I712">
        <v>1288.0700684000001</v>
      </c>
      <c r="J712">
        <v>1269.1047363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365.274067</v>
      </c>
      <c r="B713" s="1">
        <f>DATE(2011,5,1) + TIME(6,34,39)</f>
        <v>40664.274062500001</v>
      </c>
      <c r="C713">
        <v>80</v>
      </c>
      <c r="D713">
        <v>61.326591491999999</v>
      </c>
      <c r="E713">
        <v>50</v>
      </c>
      <c r="F713">
        <v>49.883483886999997</v>
      </c>
      <c r="G713">
        <v>1399.9898682</v>
      </c>
      <c r="H713">
        <v>1381.1141356999999</v>
      </c>
      <c r="I713">
        <v>1288.0767822</v>
      </c>
      <c r="J713">
        <v>1269.1109618999999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365.29755299999999</v>
      </c>
      <c r="B714" s="1">
        <f>DATE(2011,5,1) + TIME(7,8,28)</f>
        <v>40664.297546296293</v>
      </c>
      <c r="C714">
        <v>80</v>
      </c>
      <c r="D714">
        <v>62.054039001</v>
      </c>
      <c r="E714">
        <v>50</v>
      </c>
      <c r="F714">
        <v>49.878582000999998</v>
      </c>
      <c r="G714">
        <v>1399.7098389</v>
      </c>
      <c r="H714">
        <v>1381.0140381000001</v>
      </c>
      <c r="I714">
        <v>1288.0811768000001</v>
      </c>
      <c r="J714">
        <v>1269.1149902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365.32160499999998</v>
      </c>
      <c r="B715" s="1">
        <f>DATE(2011,5,1) + TIME(7,43,6)</f>
        <v>40664.321597222224</v>
      </c>
      <c r="C715">
        <v>80</v>
      </c>
      <c r="D715">
        <v>62.770259856999999</v>
      </c>
      <c r="E715">
        <v>50</v>
      </c>
      <c r="F715">
        <v>49.873607634999999</v>
      </c>
      <c r="G715">
        <v>1399.4372559000001</v>
      </c>
      <c r="H715">
        <v>1380.9150391000001</v>
      </c>
      <c r="I715">
        <v>1288.0841064000001</v>
      </c>
      <c r="J715">
        <v>1269.1174315999999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365.34625399999999</v>
      </c>
      <c r="B716" s="1">
        <f>DATE(2011,5,1) + TIME(8,18,36)</f>
        <v>40664.346250000002</v>
      </c>
      <c r="C716">
        <v>80</v>
      </c>
      <c r="D716">
        <v>63.475204468000001</v>
      </c>
      <c r="E716">
        <v>50</v>
      </c>
      <c r="F716">
        <v>49.868549346999998</v>
      </c>
      <c r="G716">
        <v>1399.1724853999999</v>
      </c>
      <c r="H716">
        <v>1380.8176269999999</v>
      </c>
      <c r="I716">
        <v>1288.0859375</v>
      </c>
      <c r="J716">
        <v>1269.1187743999999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365.37153499999999</v>
      </c>
      <c r="B717" s="1">
        <f>DATE(2011,5,1) + TIME(8,55,0)</f>
        <v>40664.371527777781</v>
      </c>
      <c r="C717">
        <v>80</v>
      </c>
      <c r="D717">
        <v>64.168807982999994</v>
      </c>
      <c r="E717">
        <v>50</v>
      </c>
      <c r="F717">
        <v>49.863410950000002</v>
      </c>
      <c r="G717">
        <v>1398.9156493999999</v>
      </c>
      <c r="H717">
        <v>1380.7220459</v>
      </c>
      <c r="I717">
        <v>1288.0871582</v>
      </c>
      <c r="J717">
        <v>1269.1193848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365.39748500000002</v>
      </c>
      <c r="B718" s="1">
        <f>DATE(2011,5,1) + TIME(9,32,22)</f>
        <v>40664.397476851853</v>
      </c>
      <c r="C718">
        <v>80</v>
      </c>
      <c r="D718">
        <v>64.850982665999993</v>
      </c>
      <c r="E718">
        <v>50</v>
      </c>
      <c r="F718">
        <v>49.858181000000002</v>
      </c>
      <c r="G718">
        <v>1398.6665039</v>
      </c>
      <c r="H718">
        <v>1380.628418</v>
      </c>
      <c r="I718">
        <v>1288.0877685999999</v>
      </c>
      <c r="J718">
        <v>1269.1196289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365.42414500000001</v>
      </c>
      <c r="B719" s="1">
        <f>DATE(2011,5,1) + TIME(10,10,46)</f>
        <v>40664.424143518518</v>
      </c>
      <c r="C719">
        <v>80</v>
      </c>
      <c r="D719">
        <v>65.521812439000001</v>
      </c>
      <c r="E719">
        <v>50</v>
      </c>
      <c r="F719">
        <v>49.852855681999998</v>
      </c>
      <c r="G719">
        <v>1398.4246826000001</v>
      </c>
      <c r="H719">
        <v>1380.5366211</v>
      </c>
      <c r="I719">
        <v>1288.0881348</v>
      </c>
      <c r="J719">
        <v>1269.1193848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365.45155799999998</v>
      </c>
      <c r="B720" s="1">
        <f>DATE(2011,5,1) + TIME(10,50,14)</f>
        <v>40664.451550925929</v>
      </c>
      <c r="C720">
        <v>80</v>
      </c>
      <c r="D720">
        <v>66.181068420000003</v>
      </c>
      <c r="E720">
        <v>50</v>
      </c>
      <c r="F720">
        <v>49.847427367999998</v>
      </c>
      <c r="G720">
        <v>1398.1901855000001</v>
      </c>
      <c r="H720">
        <v>1380.4467772999999</v>
      </c>
      <c r="I720">
        <v>1288.0882568</v>
      </c>
      <c r="J720">
        <v>1269.1190185999999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365.47977100000003</v>
      </c>
      <c r="B721" s="1">
        <f>DATE(2011,5,1) + TIME(11,30,52)</f>
        <v>40664.479768518519</v>
      </c>
      <c r="C721">
        <v>80</v>
      </c>
      <c r="D721">
        <v>66.828605651999993</v>
      </c>
      <c r="E721">
        <v>50</v>
      </c>
      <c r="F721">
        <v>49.841892242</v>
      </c>
      <c r="G721">
        <v>1397.9624022999999</v>
      </c>
      <c r="H721">
        <v>1380.3586425999999</v>
      </c>
      <c r="I721">
        <v>1288.0882568</v>
      </c>
      <c r="J721">
        <v>1269.1185303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365.50883700000003</v>
      </c>
      <c r="B722" s="1">
        <f>DATE(2011,5,1) + TIME(12,12,43)</f>
        <v>40664.508831018517</v>
      </c>
      <c r="C722">
        <v>80</v>
      </c>
      <c r="D722">
        <v>67.464279175000001</v>
      </c>
      <c r="E722">
        <v>50</v>
      </c>
      <c r="F722">
        <v>49.836242675999998</v>
      </c>
      <c r="G722">
        <v>1397.7413329999999</v>
      </c>
      <c r="H722">
        <v>1380.2720947</v>
      </c>
      <c r="I722">
        <v>1288.0881348</v>
      </c>
      <c r="J722">
        <v>1269.1177978999999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365.538813</v>
      </c>
      <c r="B723" s="1">
        <f>DATE(2011,5,1) + TIME(12,55,53)</f>
        <v>40664.538807870369</v>
      </c>
      <c r="C723">
        <v>80</v>
      </c>
      <c r="D723">
        <v>68.087989807</v>
      </c>
      <c r="E723">
        <v>50</v>
      </c>
      <c r="F723">
        <v>49.830467224000003</v>
      </c>
      <c r="G723">
        <v>1397.5263672000001</v>
      </c>
      <c r="H723">
        <v>1380.1870117000001</v>
      </c>
      <c r="I723">
        <v>1288.0877685999999</v>
      </c>
      <c r="J723">
        <v>1269.1169434000001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365.56977599999999</v>
      </c>
      <c r="B724" s="1">
        <f>DATE(2011,5,1) + TIME(13,40,28)</f>
        <v>40664.569768518515</v>
      </c>
      <c r="C724">
        <v>80</v>
      </c>
      <c r="D724">
        <v>68.699851989999999</v>
      </c>
      <c r="E724">
        <v>50</v>
      </c>
      <c r="F724">
        <v>49.824554442999997</v>
      </c>
      <c r="G724">
        <v>1397.3173827999999</v>
      </c>
      <c r="H724">
        <v>1380.1031493999999</v>
      </c>
      <c r="I724">
        <v>1288.0874022999999</v>
      </c>
      <c r="J724">
        <v>1269.1159668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365.60178000000002</v>
      </c>
      <c r="B725" s="1">
        <f>DATE(2011,5,1) + TIME(14,26,33)</f>
        <v>40664.601770833331</v>
      </c>
      <c r="C725">
        <v>80</v>
      </c>
      <c r="D725">
        <v>69.299385071000003</v>
      </c>
      <c r="E725">
        <v>50</v>
      </c>
      <c r="F725">
        <v>49.818500518999997</v>
      </c>
      <c r="G725">
        <v>1397.1138916</v>
      </c>
      <c r="H725">
        <v>1380.0205077999999</v>
      </c>
      <c r="I725">
        <v>1288.0870361</v>
      </c>
      <c r="J725">
        <v>1269.1149902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365.63490100000001</v>
      </c>
      <c r="B726" s="1">
        <f>DATE(2011,5,1) + TIME(15,14,15)</f>
        <v>40664.634895833333</v>
      </c>
      <c r="C726">
        <v>80</v>
      </c>
      <c r="D726">
        <v>69.886405945000007</v>
      </c>
      <c r="E726">
        <v>50</v>
      </c>
      <c r="F726">
        <v>49.812294006000002</v>
      </c>
      <c r="G726">
        <v>1396.9157714999999</v>
      </c>
      <c r="H726">
        <v>1379.9389647999999</v>
      </c>
      <c r="I726">
        <v>1288.0865478999999</v>
      </c>
      <c r="J726">
        <v>1269.1138916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365.66922099999999</v>
      </c>
      <c r="B727" s="1">
        <f>DATE(2011,5,1) + TIME(16,3,40)</f>
        <v>40664.669212962966</v>
      </c>
      <c r="C727">
        <v>80</v>
      </c>
      <c r="D727">
        <v>70.460304260000001</v>
      </c>
      <c r="E727">
        <v>50</v>
      </c>
      <c r="F727">
        <v>49.805923462000003</v>
      </c>
      <c r="G727">
        <v>1396.7226562000001</v>
      </c>
      <c r="H727">
        <v>1379.8580322</v>
      </c>
      <c r="I727">
        <v>1288.0859375</v>
      </c>
      <c r="J727">
        <v>1269.112793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365.704835</v>
      </c>
      <c r="B728" s="1">
        <f>DATE(2011,5,1) + TIME(16,54,57)</f>
        <v>40664.704826388886</v>
      </c>
      <c r="C728">
        <v>80</v>
      </c>
      <c r="D728">
        <v>71.021163939999994</v>
      </c>
      <c r="E728">
        <v>50</v>
      </c>
      <c r="F728">
        <v>49.799373627000001</v>
      </c>
      <c r="G728">
        <v>1396.5344238</v>
      </c>
      <c r="H728">
        <v>1379.7779541</v>
      </c>
      <c r="I728">
        <v>1288.0853271000001</v>
      </c>
      <c r="J728">
        <v>1269.1115723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365.74184400000001</v>
      </c>
      <c r="B729" s="1">
        <f>DATE(2011,5,1) + TIME(17,48,15)</f>
        <v>40664.741840277777</v>
      </c>
      <c r="C729">
        <v>80</v>
      </c>
      <c r="D729">
        <v>71.568847656000003</v>
      </c>
      <c r="E729">
        <v>50</v>
      </c>
      <c r="F729">
        <v>49.792633057000003</v>
      </c>
      <c r="G729">
        <v>1396.3504639</v>
      </c>
      <c r="H729">
        <v>1379.6983643000001</v>
      </c>
      <c r="I729">
        <v>1288.0847168</v>
      </c>
      <c r="J729">
        <v>1269.1102295000001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365.78036500000002</v>
      </c>
      <c r="B730" s="1">
        <f>DATE(2011,5,1) + TIME(18,43,43)</f>
        <v>40664.780358796299</v>
      </c>
      <c r="C730">
        <v>80</v>
      </c>
      <c r="D730">
        <v>72.103118895999998</v>
      </c>
      <c r="E730">
        <v>50</v>
      </c>
      <c r="F730">
        <v>49.785686493</v>
      </c>
      <c r="G730">
        <v>1396.1706543</v>
      </c>
      <c r="H730">
        <v>1379.6190185999999</v>
      </c>
      <c r="I730">
        <v>1288.0839844</v>
      </c>
      <c r="J730">
        <v>1269.1088867000001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365.82052800000002</v>
      </c>
      <c r="B731" s="1">
        <f>DATE(2011,5,1) + TIME(19,41,33)</f>
        <v>40664.820520833331</v>
      </c>
      <c r="C731">
        <v>80</v>
      </c>
      <c r="D731">
        <v>72.623703003000003</v>
      </c>
      <c r="E731">
        <v>50</v>
      </c>
      <c r="F731">
        <v>49.778511047000002</v>
      </c>
      <c r="G731">
        <v>1395.994751</v>
      </c>
      <c r="H731">
        <v>1379.5399170000001</v>
      </c>
      <c r="I731">
        <v>1288.0831298999999</v>
      </c>
      <c r="J731">
        <v>1269.1074219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365.86248000000001</v>
      </c>
      <c r="B732" s="1">
        <f>DATE(2011,5,1) + TIME(20,41,58)</f>
        <v>40664.862476851849</v>
      </c>
      <c r="C732">
        <v>80</v>
      </c>
      <c r="D732">
        <v>73.130332946999999</v>
      </c>
      <c r="E732">
        <v>50</v>
      </c>
      <c r="F732">
        <v>49.771095275999997</v>
      </c>
      <c r="G732">
        <v>1395.8225098</v>
      </c>
      <c r="H732">
        <v>1379.4606934000001</v>
      </c>
      <c r="I732">
        <v>1288.0823975000001</v>
      </c>
      <c r="J732">
        <v>1269.105957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365.90638899999999</v>
      </c>
      <c r="B733" s="1">
        <f>DATE(2011,5,1) + TIME(21,45,12)</f>
        <v>40664.906388888892</v>
      </c>
      <c r="C733">
        <v>80</v>
      </c>
      <c r="D733">
        <v>73.622695922999995</v>
      </c>
      <c r="E733">
        <v>50</v>
      </c>
      <c r="F733">
        <v>49.763408661</v>
      </c>
      <c r="G733">
        <v>1395.6534423999999</v>
      </c>
      <c r="H733">
        <v>1379.3813477000001</v>
      </c>
      <c r="I733">
        <v>1288.0814209</v>
      </c>
      <c r="J733">
        <v>1269.1043701000001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365.952473</v>
      </c>
      <c r="B734" s="1">
        <f>DATE(2011,5,1) + TIME(22,51,33)</f>
        <v>40664.952465277776</v>
      </c>
      <c r="C734">
        <v>80</v>
      </c>
      <c r="D734">
        <v>74.100761414000004</v>
      </c>
      <c r="E734">
        <v>50</v>
      </c>
      <c r="F734">
        <v>49.755420684999997</v>
      </c>
      <c r="G734">
        <v>1395.4873047000001</v>
      </c>
      <c r="H734">
        <v>1379.3015137</v>
      </c>
      <c r="I734">
        <v>1288.0804443</v>
      </c>
      <c r="J734">
        <v>1269.1026611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366.00094000000001</v>
      </c>
      <c r="B735" s="1">
        <f>DATE(2011,5,2) + TIME(0,1,21)</f>
        <v>40665.000937500001</v>
      </c>
      <c r="C735">
        <v>80</v>
      </c>
      <c r="D735">
        <v>74.564018250000004</v>
      </c>
      <c r="E735">
        <v>50</v>
      </c>
      <c r="F735">
        <v>49.747112274000003</v>
      </c>
      <c r="G735">
        <v>1395.3238524999999</v>
      </c>
      <c r="H735">
        <v>1379.2210693</v>
      </c>
      <c r="I735">
        <v>1288.0794678</v>
      </c>
      <c r="J735">
        <v>1269.1008300999999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366.05203299999999</v>
      </c>
      <c r="B736" s="1">
        <f>DATE(2011,5,2) + TIME(1,14,55)</f>
        <v>40665.052025462966</v>
      </c>
      <c r="C736">
        <v>80</v>
      </c>
      <c r="D736">
        <v>75.011985779</v>
      </c>
      <c r="E736">
        <v>50</v>
      </c>
      <c r="F736">
        <v>49.738445282000001</v>
      </c>
      <c r="G736">
        <v>1395.1627197</v>
      </c>
      <c r="H736">
        <v>1379.1396483999999</v>
      </c>
      <c r="I736">
        <v>1288.0783690999999</v>
      </c>
      <c r="J736">
        <v>1269.098999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366.10604999999998</v>
      </c>
      <c r="B737" s="1">
        <f>DATE(2011,5,2) + TIME(2,32,42)</f>
        <v>40665.106041666666</v>
      </c>
      <c r="C737">
        <v>80</v>
      </c>
      <c r="D737">
        <v>75.443916321000003</v>
      </c>
      <c r="E737">
        <v>50</v>
      </c>
      <c r="F737">
        <v>49.729377747000001</v>
      </c>
      <c r="G737">
        <v>1395.0036620999999</v>
      </c>
      <c r="H737">
        <v>1379.0571289</v>
      </c>
      <c r="I737">
        <v>1288.0772704999999</v>
      </c>
      <c r="J737">
        <v>1269.0970459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366.16333800000001</v>
      </c>
      <c r="B738" s="1">
        <f>DATE(2011,5,2) + TIME(3,55,12)</f>
        <v>40665.16333333333</v>
      </c>
      <c r="C738">
        <v>80</v>
      </c>
      <c r="D738">
        <v>75.859764099000003</v>
      </c>
      <c r="E738">
        <v>50</v>
      </c>
      <c r="F738">
        <v>49.719871521000002</v>
      </c>
      <c r="G738">
        <v>1394.8463135</v>
      </c>
      <c r="H738">
        <v>1378.9733887</v>
      </c>
      <c r="I738">
        <v>1288.0760498</v>
      </c>
      <c r="J738">
        <v>1269.0949707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366.22430200000002</v>
      </c>
      <c r="B739" s="1">
        <f>DATE(2011,5,2) + TIME(5,22,59)</f>
        <v>40665.224293981482</v>
      </c>
      <c r="C739">
        <v>80</v>
      </c>
      <c r="D739">
        <v>76.259063721000004</v>
      </c>
      <c r="E739">
        <v>50</v>
      </c>
      <c r="F739">
        <v>49.709869384999998</v>
      </c>
      <c r="G739">
        <v>1394.6904297000001</v>
      </c>
      <c r="H739">
        <v>1378.8878173999999</v>
      </c>
      <c r="I739">
        <v>1288.074707</v>
      </c>
      <c r="J739">
        <v>1269.0928954999999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366.28942999999998</v>
      </c>
      <c r="B740" s="1">
        <f>DATE(2011,5,2) + TIME(6,56,46)</f>
        <v>40665.289421296293</v>
      </c>
      <c r="C740">
        <v>80</v>
      </c>
      <c r="D740">
        <v>76.641342163000004</v>
      </c>
      <c r="E740">
        <v>50</v>
      </c>
      <c r="F740">
        <v>49.699306487999998</v>
      </c>
      <c r="G740">
        <v>1394.5354004000001</v>
      </c>
      <c r="H740">
        <v>1378.800293</v>
      </c>
      <c r="I740">
        <v>1288.0733643000001</v>
      </c>
      <c r="J740">
        <v>1269.0905762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366.35932700000001</v>
      </c>
      <c r="B741" s="1">
        <f>DATE(2011,5,2) + TIME(8,37,25)</f>
        <v>40665.359317129631</v>
      </c>
      <c r="C741">
        <v>80</v>
      </c>
      <c r="D741">
        <v>77.006179810000006</v>
      </c>
      <c r="E741">
        <v>50</v>
      </c>
      <c r="F741">
        <v>49.688110352000002</v>
      </c>
      <c r="G741">
        <v>1394.3809814000001</v>
      </c>
      <c r="H741">
        <v>1378.7104492000001</v>
      </c>
      <c r="I741">
        <v>1288.0717772999999</v>
      </c>
      <c r="J741">
        <v>1269.0881348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366.43472200000002</v>
      </c>
      <c r="B742" s="1">
        <f>DATE(2011,5,2) + TIME(10,25,59)</f>
        <v>40665.434710648151</v>
      </c>
      <c r="C742">
        <v>80</v>
      </c>
      <c r="D742">
        <v>77.353050232000001</v>
      </c>
      <c r="E742">
        <v>50</v>
      </c>
      <c r="F742">
        <v>49.676189422999997</v>
      </c>
      <c r="G742">
        <v>1394.2265625</v>
      </c>
      <c r="H742">
        <v>1378.6177978999999</v>
      </c>
      <c r="I742">
        <v>1288.0701904</v>
      </c>
      <c r="J742">
        <v>1269.0854492000001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366.51482199999998</v>
      </c>
      <c r="B743" s="1">
        <f>DATE(2011,5,2) + TIME(12,21,20)</f>
        <v>40665.514814814815</v>
      </c>
      <c r="C743">
        <v>80</v>
      </c>
      <c r="D743">
        <v>77.675445557000003</v>
      </c>
      <c r="E743">
        <v>50</v>
      </c>
      <c r="F743">
        <v>49.663661957000002</v>
      </c>
      <c r="G743">
        <v>1394.0740966999999</v>
      </c>
      <c r="H743">
        <v>1378.5230713000001</v>
      </c>
      <c r="I743">
        <v>1288.0684814000001</v>
      </c>
      <c r="J743">
        <v>1269.0826416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366.59515399999998</v>
      </c>
      <c r="B744" s="1">
        <f>DATE(2011,5,2) + TIME(14,17,1)</f>
        <v>40665.595150462963</v>
      </c>
      <c r="C744">
        <v>80</v>
      </c>
      <c r="D744">
        <v>77.958183289000004</v>
      </c>
      <c r="E744">
        <v>50</v>
      </c>
      <c r="F744">
        <v>49.651157378999997</v>
      </c>
      <c r="G744">
        <v>1393.9299315999999</v>
      </c>
      <c r="H744">
        <v>1378.4294434000001</v>
      </c>
      <c r="I744">
        <v>1288.0665283000001</v>
      </c>
      <c r="J744">
        <v>1269.0797118999999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366.676086</v>
      </c>
      <c r="B745" s="1">
        <f>DATE(2011,5,2) + TIME(16,13,33)</f>
        <v>40665.676076388889</v>
      </c>
      <c r="C745">
        <v>80</v>
      </c>
      <c r="D745">
        <v>78.207023621000005</v>
      </c>
      <c r="E745">
        <v>50</v>
      </c>
      <c r="F745">
        <v>49.638629913000003</v>
      </c>
      <c r="G745">
        <v>1393.7938231999999</v>
      </c>
      <c r="H745">
        <v>1378.3386230000001</v>
      </c>
      <c r="I745">
        <v>1288.0645752</v>
      </c>
      <c r="J745">
        <v>1269.0767822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366.75779799999998</v>
      </c>
      <c r="B746" s="1">
        <f>DATE(2011,5,2) + TIME(18,11,13)</f>
        <v>40665.757789351854</v>
      </c>
      <c r="C746">
        <v>80</v>
      </c>
      <c r="D746">
        <v>78.426208496000001</v>
      </c>
      <c r="E746">
        <v>50</v>
      </c>
      <c r="F746">
        <v>49.626045226999999</v>
      </c>
      <c r="G746">
        <v>1393.6646728999999</v>
      </c>
      <c r="H746">
        <v>1378.2502440999999</v>
      </c>
      <c r="I746">
        <v>1288.0625</v>
      </c>
      <c r="J746">
        <v>1269.0738524999999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366.84046999999998</v>
      </c>
      <c r="B747" s="1">
        <f>DATE(2011,5,2) + TIME(20,10,16)</f>
        <v>40665.840462962966</v>
      </c>
      <c r="C747">
        <v>80</v>
      </c>
      <c r="D747">
        <v>78.619377135999997</v>
      </c>
      <c r="E747">
        <v>50</v>
      </c>
      <c r="F747">
        <v>49.613384246999999</v>
      </c>
      <c r="G747">
        <v>1393.5415039</v>
      </c>
      <c r="H747">
        <v>1378.1639404</v>
      </c>
      <c r="I747">
        <v>1288.0605469</v>
      </c>
      <c r="J747">
        <v>1269.0708007999999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366.92427900000001</v>
      </c>
      <c r="B748" s="1">
        <f>DATE(2011,5,2) + TIME(22,10,57)</f>
        <v>40665.924270833333</v>
      </c>
      <c r="C748">
        <v>80</v>
      </c>
      <c r="D748">
        <v>78.789657593000001</v>
      </c>
      <c r="E748">
        <v>50</v>
      </c>
      <c r="F748">
        <v>49.600616455000001</v>
      </c>
      <c r="G748">
        <v>1393.4235839999999</v>
      </c>
      <c r="H748">
        <v>1378.0794678</v>
      </c>
      <c r="I748">
        <v>1288.0584716999999</v>
      </c>
      <c r="J748">
        <v>1269.0678711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367.00927000000001</v>
      </c>
      <c r="B749" s="1">
        <f>DATE(2011,5,3) + TIME(0,13,20)</f>
        <v>40666.009259259263</v>
      </c>
      <c r="C749">
        <v>80</v>
      </c>
      <c r="D749">
        <v>78.939544678000004</v>
      </c>
      <c r="E749">
        <v>50</v>
      </c>
      <c r="F749">
        <v>49.587741852000001</v>
      </c>
      <c r="G749">
        <v>1393.3101807</v>
      </c>
      <c r="H749">
        <v>1377.996582</v>
      </c>
      <c r="I749">
        <v>1288.0563964999999</v>
      </c>
      <c r="J749">
        <v>1269.0646973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367.09545200000002</v>
      </c>
      <c r="B750" s="1">
        <f>DATE(2011,5,3) + TIME(2,17,27)</f>
        <v>40666.095451388886</v>
      </c>
      <c r="C750">
        <v>80</v>
      </c>
      <c r="D750">
        <v>79.071228027000004</v>
      </c>
      <c r="E750">
        <v>50</v>
      </c>
      <c r="F750">
        <v>49.574748993</v>
      </c>
      <c r="G750">
        <v>1393.2010498</v>
      </c>
      <c r="H750">
        <v>1377.9151611</v>
      </c>
      <c r="I750">
        <v>1288.0541992000001</v>
      </c>
      <c r="J750">
        <v>1269.0616454999999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367.182996</v>
      </c>
      <c r="B751" s="1">
        <f>DATE(2011,5,3) + TIME(4,23,30)</f>
        <v>40666.182986111111</v>
      </c>
      <c r="C751">
        <v>80</v>
      </c>
      <c r="D751">
        <v>79.186889648000005</v>
      </c>
      <c r="E751">
        <v>50</v>
      </c>
      <c r="F751">
        <v>49.561626433999997</v>
      </c>
      <c r="G751">
        <v>1393.0957031</v>
      </c>
      <c r="H751">
        <v>1377.8352050999999</v>
      </c>
      <c r="I751">
        <v>1288.052124</v>
      </c>
      <c r="J751">
        <v>1269.0584716999999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367.27207199999998</v>
      </c>
      <c r="B752" s="1">
        <f>DATE(2011,5,3) + TIME(6,31,46)</f>
        <v>40666.272060185183</v>
      </c>
      <c r="C752">
        <v>80</v>
      </c>
      <c r="D752">
        <v>79.288421631000006</v>
      </c>
      <c r="E752">
        <v>50</v>
      </c>
      <c r="F752">
        <v>49.548339843999997</v>
      </c>
      <c r="G752">
        <v>1392.9935303</v>
      </c>
      <c r="H752">
        <v>1377.7564697</v>
      </c>
      <c r="I752">
        <v>1288.0498047000001</v>
      </c>
      <c r="J752">
        <v>1269.0552978999999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367.36285600000002</v>
      </c>
      <c r="B753" s="1">
        <f>DATE(2011,5,3) + TIME(8,42,30)</f>
        <v>40666.362847222219</v>
      </c>
      <c r="C753">
        <v>80</v>
      </c>
      <c r="D753">
        <v>79.377471924000005</v>
      </c>
      <c r="E753">
        <v>50</v>
      </c>
      <c r="F753">
        <v>49.534873961999999</v>
      </c>
      <c r="G753">
        <v>1392.8942870999999</v>
      </c>
      <c r="H753">
        <v>1377.6788329999999</v>
      </c>
      <c r="I753">
        <v>1288.0476074000001</v>
      </c>
      <c r="J753">
        <v>1269.0520019999999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367.45557200000002</v>
      </c>
      <c r="B754" s="1">
        <f>DATE(2011,5,3) + TIME(10,56,1)</f>
        <v>40666.455567129633</v>
      </c>
      <c r="C754">
        <v>80</v>
      </c>
      <c r="D754">
        <v>79.455520629999995</v>
      </c>
      <c r="E754">
        <v>50</v>
      </c>
      <c r="F754">
        <v>49.521194457999997</v>
      </c>
      <c r="G754">
        <v>1392.7974853999999</v>
      </c>
      <c r="H754">
        <v>1377.6020507999999</v>
      </c>
      <c r="I754">
        <v>1288.0452881000001</v>
      </c>
      <c r="J754">
        <v>1269.0485839999999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367.55039299999999</v>
      </c>
      <c r="B755" s="1">
        <f>DATE(2011,5,3) + TIME(13,12,33)</f>
        <v>40666.550381944442</v>
      </c>
      <c r="C755">
        <v>80</v>
      </c>
      <c r="D755">
        <v>79.523674010999997</v>
      </c>
      <c r="E755">
        <v>50</v>
      </c>
      <c r="F755">
        <v>49.507286071999999</v>
      </c>
      <c r="G755">
        <v>1392.7012939000001</v>
      </c>
      <c r="H755">
        <v>1377.5245361</v>
      </c>
      <c r="I755">
        <v>1288.0426024999999</v>
      </c>
      <c r="J755">
        <v>1269.0449219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367.64754299999998</v>
      </c>
      <c r="B756" s="1">
        <f>DATE(2011,5,3) + TIME(15,32,27)</f>
        <v>40666.647534722222</v>
      </c>
      <c r="C756">
        <v>80</v>
      </c>
      <c r="D756">
        <v>79.583221436000002</v>
      </c>
      <c r="E756">
        <v>50</v>
      </c>
      <c r="F756">
        <v>49.493114470999998</v>
      </c>
      <c r="G756">
        <v>1392.6098632999999</v>
      </c>
      <c r="H756">
        <v>1377.4503173999999</v>
      </c>
      <c r="I756">
        <v>1288.0402832</v>
      </c>
      <c r="J756">
        <v>1269.0415039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367.74714799999998</v>
      </c>
      <c r="B757" s="1">
        <f>DATE(2011,5,3) + TIME(17,55,53)</f>
        <v>40666.747141203705</v>
      </c>
      <c r="C757">
        <v>80</v>
      </c>
      <c r="D757">
        <v>79.635269164999997</v>
      </c>
      <c r="E757">
        <v>50</v>
      </c>
      <c r="F757">
        <v>49.478656768999997</v>
      </c>
      <c r="G757">
        <v>1392.5201416</v>
      </c>
      <c r="H757">
        <v>1377.3769531</v>
      </c>
      <c r="I757">
        <v>1288.0382079999999</v>
      </c>
      <c r="J757">
        <v>1269.0383300999999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367.84950900000001</v>
      </c>
      <c r="B758" s="1">
        <f>DATE(2011,5,3) + TIME(20,23,17)</f>
        <v>40666.849502314813</v>
      </c>
      <c r="C758">
        <v>80</v>
      </c>
      <c r="D758">
        <v>79.680404663000004</v>
      </c>
      <c r="E758">
        <v>50</v>
      </c>
      <c r="F758">
        <v>49.463890075999998</v>
      </c>
      <c r="G758">
        <v>1392.4272461</v>
      </c>
      <c r="H758">
        <v>1377.2998047000001</v>
      </c>
      <c r="I758">
        <v>1288.0351562000001</v>
      </c>
      <c r="J758">
        <v>1269.0341797000001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367.95501400000001</v>
      </c>
      <c r="B759" s="1">
        <f>DATE(2011,5,3) + TIME(22,55,13)</f>
        <v>40666.955011574071</v>
      </c>
      <c r="C759">
        <v>80</v>
      </c>
      <c r="D759">
        <v>79.719635010000005</v>
      </c>
      <c r="E759">
        <v>50</v>
      </c>
      <c r="F759">
        <v>49.448757172000001</v>
      </c>
      <c r="G759">
        <v>1392.3394774999999</v>
      </c>
      <c r="H759">
        <v>1377.2265625</v>
      </c>
      <c r="I759">
        <v>1288.0325928</v>
      </c>
      <c r="J759">
        <v>1269.0303954999999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368.063782</v>
      </c>
      <c r="B760" s="1">
        <f>DATE(2011,5,4) + TIME(1,31,50)</f>
        <v>40667.063773148147</v>
      </c>
      <c r="C760">
        <v>80</v>
      </c>
      <c r="D760">
        <v>79.753585814999994</v>
      </c>
      <c r="E760">
        <v>50</v>
      </c>
      <c r="F760">
        <v>49.433246613000001</v>
      </c>
      <c r="G760">
        <v>1392.2513428</v>
      </c>
      <c r="H760">
        <v>1377.1524658000001</v>
      </c>
      <c r="I760">
        <v>1288.0299072</v>
      </c>
      <c r="J760">
        <v>1269.0266113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368.17622399999999</v>
      </c>
      <c r="B761" s="1">
        <f>DATE(2011,5,4) + TIME(4,13,45)</f>
        <v>40667.176215277781</v>
      </c>
      <c r="C761">
        <v>80</v>
      </c>
      <c r="D761">
        <v>79.782905579000001</v>
      </c>
      <c r="E761">
        <v>50</v>
      </c>
      <c r="F761">
        <v>49.417304993000002</v>
      </c>
      <c r="G761">
        <v>1392.1636963000001</v>
      </c>
      <c r="H761">
        <v>1377.0782471</v>
      </c>
      <c r="I761">
        <v>1288.0270995999999</v>
      </c>
      <c r="J761">
        <v>1269.0225829999999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368.29270100000002</v>
      </c>
      <c r="B762" s="1">
        <f>DATE(2011,5,4) + TIME(7,1,29)</f>
        <v>40667.292696759258</v>
      </c>
      <c r="C762">
        <v>80</v>
      </c>
      <c r="D762">
        <v>79.808151245000005</v>
      </c>
      <c r="E762">
        <v>50</v>
      </c>
      <c r="F762">
        <v>49.400894164999997</v>
      </c>
      <c r="G762">
        <v>1392.0762939000001</v>
      </c>
      <c r="H762">
        <v>1377.0037841999999</v>
      </c>
      <c r="I762">
        <v>1288.0240478999999</v>
      </c>
      <c r="J762">
        <v>1269.0183105000001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368.41363000000001</v>
      </c>
      <c r="B763" s="1">
        <f>DATE(2011,5,4) + TIME(9,55,37)</f>
        <v>40667.413622685184</v>
      </c>
      <c r="C763">
        <v>80</v>
      </c>
      <c r="D763">
        <v>79.829948424999998</v>
      </c>
      <c r="E763">
        <v>50</v>
      </c>
      <c r="F763">
        <v>49.383956908999998</v>
      </c>
      <c r="G763">
        <v>1391.9904785000001</v>
      </c>
      <c r="H763">
        <v>1376.9305420000001</v>
      </c>
      <c r="I763">
        <v>1288.0213623</v>
      </c>
      <c r="J763">
        <v>1269.0142822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368.53950200000003</v>
      </c>
      <c r="B764" s="1">
        <f>DATE(2011,5,4) + TIME(12,56,53)</f>
        <v>40667.539502314816</v>
      </c>
      <c r="C764">
        <v>80</v>
      </c>
      <c r="D764">
        <v>79.848579407000003</v>
      </c>
      <c r="E764">
        <v>50</v>
      </c>
      <c r="F764">
        <v>49.366439819</v>
      </c>
      <c r="G764">
        <v>1391.9014893000001</v>
      </c>
      <c r="H764">
        <v>1376.8540039</v>
      </c>
      <c r="I764">
        <v>1288.0179443</v>
      </c>
      <c r="J764">
        <v>1269.0095214999999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368.67097699999999</v>
      </c>
      <c r="B765" s="1">
        <f>DATE(2011,5,4) + TIME(16,6,12)</f>
        <v>40667.670972222222</v>
      </c>
      <c r="C765">
        <v>80</v>
      </c>
      <c r="D765">
        <v>79.864311217999997</v>
      </c>
      <c r="E765">
        <v>50</v>
      </c>
      <c r="F765">
        <v>49.348278045999997</v>
      </c>
      <c r="G765">
        <v>1391.8117675999999</v>
      </c>
      <c r="H765">
        <v>1376.7764893000001</v>
      </c>
      <c r="I765">
        <v>1288.0141602000001</v>
      </c>
      <c r="J765">
        <v>1269.0043945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368.80852399999998</v>
      </c>
      <c r="B766" s="1">
        <f>DATE(2011,5,4) + TIME(19,24,16)</f>
        <v>40667.808518518519</v>
      </c>
      <c r="C766">
        <v>80</v>
      </c>
      <c r="D766">
        <v>79.877784728999998</v>
      </c>
      <c r="E766">
        <v>50</v>
      </c>
      <c r="F766">
        <v>49.329402924</v>
      </c>
      <c r="G766">
        <v>1391.7261963000001</v>
      </c>
      <c r="H766">
        <v>1376.7026367000001</v>
      </c>
      <c r="I766">
        <v>1288.0112305</v>
      </c>
      <c r="J766">
        <v>1269.0001221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368.95090199999999</v>
      </c>
      <c r="B767" s="1">
        <f>DATE(2011,5,4) + TIME(22,49,17)</f>
        <v>40667.950891203705</v>
      </c>
      <c r="C767">
        <v>80</v>
      </c>
      <c r="D767">
        <v>79.889015197999996</v>
      </c>
      <c r="E767">
        <v>50</v>
      </c>
      <c r="F767">
        <v>49.309959411999998</v>
      </c>
      <c r="G767">
        <v>1391.6352539</v>
      </c>
      <c r="H767">
        <v>1376.6237793</v>
      </c>
      <c r="I767">
        <v>1288.0073242000001</v>
      </c>
      <c r="J767">
        <v>1268.994751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369.09872799999999</v>
      </c>
      <c r="B768" s="1">
        <f>DATE(2011,5,5) + TIME(2,22,10)</f>
        <v>40668.098726851851</v>
      </c>
      <c r="C768">
        <v>80</v>
      </c>
      <c r="D768">
        <v>79.898223877000007</v>
      </c>
      <c r="E768">
        <v>50</v>
      </c>
      <c r="F768">
        <v>49.289886475000003</v>
      </c>
      <c r="G768">
        <v>1391.5439452999999</v>
      </c>
      <c r="H768">
        <v>1376.5441894999999</v>
      </c>
      <c r="I768">
        <v>1288.0030518000001</v>
      </c>
      <c r="J768">
        <v>1268.9888916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369.25243699999999</v>
      </c>
      <c r="B769" s="1">
        <f>DATE(2011,5,5) + TIME(6,3,30)</f>
        <v>40668.252430555556</v>
      </c>
      <c r="C769">
        <v>80</v>
      </c>
      <c r="D769">
        <v>79.905990600999999</v>
      </c>
      <c r="E769">
        <v>50</v>
      </c>
      <c r="F769">
        <v>49.269123077000003</v>
      </c>
      <c r="G769">
        <v>1391.4572754000001</v>
      </c>
      <c r="H769">
        <v>1376.4689940999999</v>
      </c>
      <c r="I769">
        <v>1287.9997559000001</v>
      </c>
      <c r="J769">
        <v>1268.9840088000001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369.41260599999998</v>
      </c>
      <c r="B770" s="1">
        <f>DATE(2011,5,5) + TIME(9,54,9)</f>
        <v>40668.412604166668</v>
      </c>
      <c r="C770">
        <v>80</v>
      </c>
      <c r="D770">
        <v>79.912391662999994</v>
      </c>
      <c r="E770">
        <v>50</v>
      </c>
      <c r="F770">
        <v>49.247619628999999</v>
      </c>
      <c r="G770">
        <v>1391.3653564000001</v>
      </c>
      <c r="H770">
        <v>1376.3889160000001</v>
      </c>
      <c r="I770">
        <v>1287.9953613</v>
      </c>
      <c r="J770">
        <v>1268.9780272999999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369.57703800000002</v>
      </c>
      <c r="B771" s="1">
        <f>DATE(2011,5,5) + TIME(13,50,56)</f>
        <v>40668.577037037037</v>
      </c>
      <c r="C771">
        <v>80</v>
      </c>
      <c r="D771">
        <v>79.917465210000003</v>
      </c>
      <c r="E771">
        <v>50</v>
      </c>
      <c r="F771">
        <v>49.225612640000001</v>
      </c>
      <c r="G771">
        <v>1391.2725829999999</v>
      </c>
      <c r="H771">
        <v>1376.3077393000001</v>
      </c>
      <c r="I771">
        <v>1287.9904785000001</v>
      </c>
      <c r="J771">
        <v>1268.9715576000001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369.74248699999998</v>
      </c>
      <c r="B772" s="1">
        <f>DATE(2011,5,5) + TIME(17,49,10)</f>
        <v>40668.742476851854</v>
      </c>
      <c r="C772">
        <v>80</v>
      </c>
      <c r="D772">
        <v>79.921623229999994</v>
      </c>
      <c r="E772">
        <v>50</v>
      </c>
      <c r="F772">
        <v>49.203449249000002</v>
      </c>
      <c r="G772">
        <v>1391.1854248</v>
      </c>
      <c r="H772">
        <v>1376.2320557</v>
      </c>
      <c r="I772">
        <v>1287.9866943</v>
      </c>
      <c r="J772">
        <v>1268.9661865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369.909063</v>
      </c>
      <c r="B773" s="1">
        <f>DATE(2011,5,5) + TIME(21,49,3)</f>
        <v>40668.909062500003</v>
      </c>
      <c r="C773">
        <v>80</v>
      </c>
      <c r="D773">
        <v>79.924942017000006</v>
      </c>
      <c r="E773">
        <v>50</v>
      </c>
      <c r="F773">
        <v>49.181144713999998</v>
      </c>
      <c r="G773">
        <v>1391.0957031</v>
      </c>
      <c r="H773">
        <v>1376.1536865</v>
      </c>
      <c r="I773">
        <v>1287.9818115</v>
      </c>
      <c r="J773">
        <v>1268.9597168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370.07761399999998</v>
      </c>
      <c r="B774" s="1">
        <f>DATE(2011,5,6) + TIME(1,51,45)</f>
        <v>40669.077604166669</v>
      </c>
      <c r="C774">
        <v>80</v>
      </c>
      <c r="D774">
        <v>79.927505492999998</v>
      </c>
      <c r="E774">
        <v>50</v>
      </c>
      <c r="F774">
        <v>49.158634186</v>
      </c>
      <c r="G774">
        <v>1391.0079346</v>
      </c>
      <c r="H774">
        <v>1376.0770264</v>
      </c>
      <c r="I774">
        <v>1287.9768065999999</v>
      </c>
      <c r="J774">
        <v>1268.9528809000001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370.24838599999998</v>
      </c>
      <c r="B775" s="1">
        <f>DATE(2011,5,6) + TIME(5,57,40)</f>
        <v>40669.248379629629</v>
      </c>
      <c r="C775">
        <v>80</v>
      </c>
      <c r="D775">
        <v>79.929588318</v>
      </c>
      <c r="E775">
        <v>50</v>
      </c>
      <c r="F775">
        <v>49.135890961000001</v>
      </c>
      <c r="G775">
        <v>1390.9249268000001</v>
      </c>
      <c r="H775">
        <v>1376.0047606999999</v>
      </c>
      <c r="I775">
        <v>1287.9724120999999</v>
      </c>
      <c r="J775">
        <v>1268.9468993999999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370.42092300000002</v>
      </c>
      <c r="B776" s="1">
        <f>DATE(2011,5,6) + TIME(10,6,7)</f>
        <v>40669.420914351853</v>
      </c>
      <c r="C776">
        <v>80</v>
      </c>
      <c r="D776">
        <v>79.931358337000006</v>
      </c>
      <c r="E776">
        <v>50</v>
      </c>
      <c r="F776">
        <v>49.112957000999998</v>
      </c>
      <c r="G776">
        <v>1390.8435059000001</v>
      </c>
      <c r="H776">
        <v>1375.9339600000001</v>
      </c>
      <c r="I776">
        <v>1287.9681396000001</v>
      </c>
      <c r="J776">
        <v>1268.940918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370.59543500000001</v>
      </c>
      <c r="B777" s="1">
        <f>DATE(2011,5,6) + TIME(14,17,25)</f>
        <v>40669.59542824074</v>
      </c>
      <c r="C777">
        <v>80</v>
      </c>
      <c r="D777">
        <v>79.932785034000005</v>
      </c>
      <c r="E777">
        <v>50</v>
      </c>
      <c r="F777">
        <v>49.089836120999998</v>
      </c>
      <c r="G777">
        <v>1390.7602539</v>
      </c>
      <c r="H777">
        <v>1375.8614502</v>
      </c>
      <c r="I777">
        <v>1287.9630127</v>
      </c>
      <c r="J777">
        <v>1268.934082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370.772538</v>
      </c>
      <c r="B778" s="1">
        <f>DATE(2011,5,6) + TIME(18,32,27)</f>
        <v>40669.772534722222</v>
      </c>
      <c r="C778">
        <v>80</v>
      </c>
      <c r="D778">
        <v>79.933868407999995</v>
      </c>
      <c r="E778">
        <v>50</v>
      </c>
      <c r="F778">
        <v>49.066478729000004</v>
      </c>
      <c r="G778">
        <v>1390.6782227000001</v>
      </c>
      <c r="H778">
        <v>1375.7899170000001</v>
      </c>
      <c r="I778">
        <v>1287.9577637</v>
      </c>
      <c r="J778">
        <v>1268.9270019999999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370.95237900000001</v>
      </c>
      <c r="B779" s="1">
        <f>DATE(2011,5,6) + TIME(22,51,25)</f>
        <v>40669.952372685184</v>
      </c>
      <c r="C779">
        <v>80</v>
      </c>
      <c r="D779">
        <v>79.934829711999996</v>
      </c>
      <c r="E779">
        <v>50</v>
      </c>
      <c r="F779">
        <v>49.042842864999997</v>
      </c>
      <c r="G779">
        <v>1390.6018065999999</v>
      </c>
      <c r="H779">
        <v>1375.7237548999999</v>
      </c>
      <c r="I779">
        <v>1287.9534911999999</v>
      </c>
      <c r="J779">
        <v>1268.9210204999999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371.13521300000002</v>
      </c>
      <c r="B780" s="1">
        <f>DATE(2011,5,7) + TIME(3,14,42)</f>
        <v>40670.135208333333</v>
      </c>
      <c r="C780">
        <v>80</v>
      </c>
      <c r="D780">
        <v>79.935615540000001</v>
      </c>
      <c r="E780">
        <v>50</v>
      </c>
      <c r="F780">
        <v>49.018928528000004</v>
      </c>
      <c r="G780">
        <v>1390.5219727000001</v>
      </c>
      <c r="H780">
        <v>1375.6544189000001</v>
      </c>
      <c r="I780">
        <v>1287.9482422000001</v>
      </c>
      <c r="J780">
        <v>1268.9140625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371.32173299999999</v>
      </c>
      <c r="B781" s="1">
        <f>DATE(2011,5,7) + TIME(7,43,17)</f>
        <v>40670.32172453704</v>
      </c>
      <c r="C781">
        <v>80</v>
      </c>
      <c r="D781">
        <v>79.936264038000004</v>
      </c>
      <c r="E781">
        <v>50</v>
      </c>
      <c r="F781">
        <v>48.994659423999998</v>
      </c>
      <c r="G781">
        <v>1390.4440918</v>
      </c>
      <c r="H781">
        <v>1375.5869141000001</v>
      </c>
      <c r="I781">
        <v>1287.9431152</v>
      </c>
      <c r="J781">
        <v>1268.9069824000001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371.51222999999999</v>
      </c>
      <c r="B782" s="1">
        <f>DATE(2011,5,7) + TIME(12,17,36)</f>
        <v>40670.51222222222</v>
      </c>
      <c r="C782">
        <v>80</v>
      </c>
      <c r="D782">
        <v>79.936798096000004</v>
      </c>
      <c r="E782">
        <v>50</v>
      </c>
      <c r="F782">
        <v>48.970005035</v>
      </c>
      <c r="G782">
        <v>1390.3666992000001</v>
      </c>
      <c r="H782">
        <v>1375.5200195</v>
      </c>
      <c r="I782">
        <v>1287.9379882999999</v>
      </c>
      <c r="J782">
        <v>1268.9000243999999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371.70717999999999</v>
      </c>
      <c r="B783" s="1">
        <f>DATE(2011,5,7) + TIME(16,58,20)</f>
        <v>40670.707175925927</v>
      </c>
      <c r="C783">
        <v>80</v>
      </c>
      <c r="D783">
        <v>79.937240600999999</v>
      </c>
      <c r="E783">
        <v>50</v>
      </c>
      <c r="F783">
        <v>48.944915770999998</v>
      </c>
      <c r="G783">
        <v>1390.2897949000001</v>
      </c>
      <c r="H783">
        <v>1375.4533690999999</v>
      </c>
      <c r="I783">
        <v>1287.9326172000001</v>
      </c>
      <c r="J783">
        <v>1268.8927002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371.90709399999997</v>
      </c>
      <c r="B784" s="1">
        <f>DATE(2011,5,7) + TIME(21,46,12)</f>
        <v>40670.907083333332</v>
      </c>
      <c r="C784">
        <v>80</v>
      </c>
      <c r="D784">
        <v>79.937614440999994</v>
      </c>
      <c r="E784">
        <v>50</v>
      </c>
      <c r="F784">
        <v>48.919334411999998</v>
      </c>
      <c r="G784">
        <v>1390.2130127</v>
      </c>
      <c r="H784">
        <v>1375.3870850000001</v>
      </c>
      <c r="I784">
        <v>1287.9272461</v>
      </c>
      <c r="J784">
        <v>1268.885376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372.11253599999998</v>
      </c>
      <c r="B785" s="1">
        <f>DATE(2011,5,8) + TIME(2,42,3)</f>
        <v>40671.112534722219</v>
      </c>
      <c r="C785">
        <v>80</v>
      </c>
      <c r="D785">
        <v>79.937927246000001</v>
      </c>
      <c r="E785">
        <v>50</v>
      </c>
      <c r="F785">
        <v>48.89320755</v>
      </c>
      <c r="G785">
        <v>1390.1362305</v>
      </c>
      <c r="H785">
        <v>1375.3208007999999</v>
      </c>
      <c r="I785">
        <v>1287.9216309000001</v>
      </c>
      <c r="J785">
        <v>1268.8778076000001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372.32412699999998</v>
      </c>
      <c r="B786" s="1">
        <f>DATE(2011,5,8) + TIME(7,46,44)</f>
        <v>40671.324120370373</v>
      </c>
      <c r="C786">
        <v>80</v>
      </c>
      <c r="D786">
        <v>79.938186646000005</v>
      </c>
      <c r="E786">
        <v>50</v>
      </c>
      <c r="F786">
        <v>48.866466522000003</v>
      </c>
      <c r="G786">
        <v>1390.0592041</v>
      </c>
      <c r="H786">
        <v>1375.2543945</v>
      </c>
      <c r="I786">
        <v>1287.9158935999999</v>
      </c>
      <c r="J786">
        <v>1268.8699951000001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372.54256199999998</v>
      </c>
      <c r="B787" s="1">
        <f>DATE(2011,5,8) + TIME(13,1,17)</f>
        <v>40671.542557870373</v>
      </c>
      <c r="C787">
        <v>80</v>
      </c>
      <c r="D787">
        <v>79.938407897999994</v>
      </c>
      <c r="E787">
        <v>50</v>
      </c>
      <c r="F787">
        <v>48.839042663999997</v>
      </c>
      <c r="G787">
        <v>1389.9819336</v>
      </c>
      <c r="H787">
        <v>1375.1878661999999</v>
      </c>
      <c r="I787">
        <v>1287.9100341999999</v>
      </c>
      <c r="J787">
        <v>1268.8619385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372.76876299999998</v>
      </c>
      <c r="B788" s="1">
        <f>DATE(2011,5,8) + TIME(18,27,1)</f>
        <v>40671.768761574072</v>
      </c>
      <c r="C788">
        <v>80</v>
      </c>
      <c r="D788">
        <v>79.938591002999999</v>
      </c>
      <c r="E788">
        <v>50</v>
      </c>
      <c r="F788">
        <v>48.810832976999997</v>
      </c>
      <c r="G788">
        <v>1389.9040527</v>
      </c>
      <c r="H788">
        <v>1375.1208495999999</v>
      </c>
      <c r="I788">
        <v>1287.9039307</v>
      </c>
      <c r="J788">
        <v>1268.8537598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373.00354599999997</v>
      </c>
      <c r="B789" s="1">
        <f>DATE(2011,5,9) + TIME(0,5,6)</f>
        <v>40672.003541666665</v>
      </c>
      <c r="C789">
        <v>80</v>
      </c>
      <c r="D789">
        <v>79.938743591000005</v>
      </c>
      <c r="E789">
        <v>50</v>
      </c>
      <c r="F789">
        <v>48.781761168999999</v>
      </c>
      <c r="G789">
        <v>1389.8254394999999</v>
      </c>
      <c r="H789">
        <v>1375.0532227000001</v>
      </c>
      <c r="I789">
        <v>1287.8975829999999</v>
      </c>
      <c r="J789">
        <v>1268.8450928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373.24436200000002</v>
      </c>
      <c r="B790" s="1">
        <f>DATE(2011,5,9) + TIME(5,51,52)</f>
        <v>40672.244351851848</v>
      </c>
      <c r="C790">
        <v>80</v>
      </c>
      <c r="D790">
        <v>79.938880920000003</v>
      </c>
      <c r="E790">
        <v>50</v>
      </c>
      <c r="F790">
        <v>48.752048492</v>
      </c>
      <c r="G790">
        <v>1389.7457274999999</v>
      </c>
      <c r="H790">
        <v>1374.9848632999999</v>
      </c>
      <c r="I790">
        <v>1287.8909911999999</v>
      </c>
      <c r="J790">
        <v>1268.8361815999999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373.491783</v>
      </c>
      <c r="B791" s="1">
        <f>DATE(2011,5,9) + TIME(11,48,10)</f>
        <v>40672.491782407407</v>
      </c>
      <c r="C791">
        <v>80</v>
      </c>
      <c r="D791">
        <v>79.938987732000001</v>
      </c>
      <c r="E791">
        <v>50</v>
      </c>
      <c r="F791">
        <v>48.721649169999999</v>
      </c>
      <c r="G791">
        <v>1389.6661377</v>
      </c>
      <c r="H791">
        <v>1374.916626</v>
      </c>
      <c r="I791">
        <v>1287.8841553</v>
      </c>
      <c r="J791">
        <v>1268.8271483999999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373.74651699999998</v>
      </c>
      <c r="B792" s="1">
        <f>DATE(2011,5,9) + TIME(17,54,59)</f>
        <v>40672.746516203704</v>
      </c>
      <c r="C792">
        <v>80</v>
      </c>
      <c r="D792">
        <v>79.939079285000005</v>
      </c>
      <c r="E792">
        <v>50</v>
      </c>
      <c r="F792">
        <v>48.690509796000001</v>
      </c>
      <c r="G792">
        <v>1389.5863036999999</v>
      </c>
      <c r="H792">
        <v>1374.8482666</v>
      </c>
      <c r="I792">
        <v>1287.8771973</v>
      </c>
      <c r="J792">
        <v>1268.817749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374.00539900000001</v>
      </c>
      <c r="B793" s="1">
        <f>DATE(2011,5,10) + TIME(0,7,46)</f>
        <v>40673.005393518521</v>
      </c>
      <c r="C793">
        <v>80</v>
      </c>
      <c r="D793">
        <v>79.939147949000002</v>
      </c>
      <c r="E793">
        <v>50</v>
      </c>
      <c r="F793">
        <v>48.658912659000002</v>
      </c>
      <c r="G793">
        <v>1389.5062256000001</v>
      </c>
      <c r="H793">
        <v>1374.7796631000001</v>
      </c>
      <c r="I793">
        <v>1287.8698730000001</v>
      </c>
      <c r="J793">
        <v>1268.8081055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374.26638200000002</v>
      </c>
      <c r="B794" s="1">
        <f>DATE(2011,5,10) + TIME(6,23,35)</f>
        <v>40673.266377314816</v>
      </c>
      <c r="C794">
        <v>80</v>
      </c>
      <c r="D794">
        <v>79.939208984000004</v>
      </c>
      <c r="E794">
        <v>50</v>
      </c>
      <c r="F794">
        <v>48.627067566000001</v>
      </c>
      <c r="G794">
        <v>1389.4267577999999</v>
      </c>
      <c r="H794">
        <v>1374.7117920000001</v>
      </c>
      <c r="I794">
        <v>1287.8625488</v>
      </c>
      <c r="J794">
        <v>1268.7982178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374.53013800000002</v>
      </c>
      <c r="B795" s="1">
        <f>DATE(2011,5,10) + TIME(12,43,23)</f>
        <v>40673.530127314814</v>
      </c>
      <c r="C795">
        <v>80</v>
      </c>
      <c r="D795">
        <v>79.939254761000001</v>
      </c>
      <c r="E795">
        <v>50</v>
      </c>
      <c r="F795">
        <v>48.594951629999997</v>
      </c>
      <c r="G795">
        <v>1389.3486327999999</v>
      </c>
      <c r="H795">
        <v>1374.6450195</v>
      </c>
      <c r="I795">
        <v>1287.8551024999999</v>
      </c>
      <c r="J795">
        <v>1268.7883300999999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374.797325</v>
      </c>
      <c r="B796" s="1">
        <f>DATE(2011,5,10) + TIME(19,8,8)</f>
        <v>40673.797314814816</v>
      </c>
      <c r="C796">
        <v>80</v>
      </c>
      <c r="D796">
        <v>79.939292907999999</v>
      </c>
      <c r="E796">
        <v>50</v>
      </c>
      <c r="F796">
        <v>48.562534331999998</v>
      </c>
      <c r="G796">
        <v>1389.2714844</v>
      </c>
      <c r="H796">
        <v>1374.5792236</v>
      </c>
      <c r="I796">
        <v>1287.8475341999999</v>
      </c>
      <c r="J796">
        <v>1268.7783202999999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375.067767</v>
      </c>
      <c r="B797" s="1">
        <f>DATE(2011,5,11) + TIME(1,37,35)</f>
        <v>40674.067766203705</v>
      </c>
      <c r="C797">
        <v>80</v>
      </c>
      <c r="D797">
        <v>79.939323424999998</v>
      </c>
      <c r="E797">
        <v>50</v>
      </c>
      <c r="F797">
        <v>48.529838562000002</v>
      </c>
      <c r="G797">
        <v>1389.1951904</v>
      </c>
      <c r="H797">
        <v>1374.5141602000001</v>
      </c>
      <c r="I797">
        <v>1287.8399658000001</v>
      </c>
      <c r="J797">
        <v>1268.7681885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375.34117600000002</v>
      </c>
      <c r="B798" s="1">
        <f>DATE(2011,5,11) + TIME(8,11,17)</f>
        <v>40674.341168981482</v>
      </c>
      <c r="C798">
        <v>80</v>
      </c>
      <c r="D798">
        <v>79.939346313000001</v>
      </c>
      <c r="E798">
        <v>50</v>
      </c>
      <c r="F798">
        <v>48.496902466000002</v>
      </c>
      <c r="G798">
        <v>1389.119751</v>
      </c>
      <c r="H798">
        <v>1374.4499512</v>
      </c>
      <c r="I798">
        <v>1287.8321533000001</v>
      </c>
      <c r="J798">
        <v>1268.7578125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375.61808600000001</v>
      </c>
      <c r="B799" s="1">
        <f>DATE(2011,5,11) + TIME(14,50,2)</f>
        <v>40674.618078703701</v>
      </c>
      <c r="C799">
        <v>80</v>
      </c>
      <c r="D799">
        <v>79.939361571999996</v>
      </c>
      <c r="E799">
        <v>50</v>
      </c>
      <c r="F799">
        <v>48.463695526000002</v>
      </c>
      <c r="G799">
        <v>1389.0452881000001</v>
      </c>
      <c r="H799">
        <v>1374.3864745999999</v>
      </c>
      <c r="I799">
        <v>1287.8243408000001</v>
      </c>
      <c r="J799">
        <v>1268.7474365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375.899136</v>
      </c>
      <c r="B800" s="1">
        <f>DATE(2011,5,11) + TIME(21,34,45)</f>
        <v>40674.899131944447</v>
      </c>
      <c r="C800">
        <v>80</v>
      </c>
      <c r="D800">
        <v>79.939369201999995</v>
      </c>
      <c r="E800">
        <v>50</v>
      </c>
      <c r="F800">
        <v>48.430164337000001</v>
      </c>
      <c r="G800">
        <v>1388.9714355000001</v>
      </c>
      <c r="H800">
        <v>1374.3237305</v>
      </c>
      <c r="I800">
        <v>1287.8165283000001</v>
      </c>
      <c r="J800">
        <v>1268.7368164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376.18498899999997</v>
      </c>
      <c r="B801" s="1">
        <f>DATE(2011,5,12) + TIME(4,26,23)</f>
        <v>40675.184988425928</v>
      </c>
      <c r="C801">
        <v>80</v>
      </c>
      <c r="D801">
        <v>79.939376831000004</v>
      </c>
      <c r="E801">
        <v>50</v>
      </c>
      <c r="F801">
        <v>48.396255492999998</v>
      </c>
      <c r="G801">
        <v>1388.8981934000001</v>
      </c>
      <c r="H801">
        <v>1374.2614745999999</v>
      </c>
      <c r="I801">
        <v>1287.8084716999999</v>
      </c>
      <c r="J801">
        <v>1268.7260742000001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376.47635000000002</v>
      </c>
      <c r="B802" s="1">
        <f>DATE(2011,5,12) + TIME(11,25,56)</f>
        <v>40675.476342592592</v>
      </c>
      <c r="C802">
        <v>80</v>
      </c>
      <c r="D802">
        <v>79.939376831000004</v>
      </c>
      <c r="E802">
        <v>50</v>
      </c>
      <c r="F802">
        <v>48.361900329999997</v>
      </c>
      <c r="G802">
        <v>1388.8251952999999</v>
      </c>
      <c r="H802">
        <v>1374.1994629000001</v>
      </c>
      <c r="I802">
        <v>1287.800293</v>
      </c>
      <c r="J802">
        <v>1268.7152100000001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376.77397300000001</v>
      </c>
      <c r="B803" s="1">
        <f>DATE(2011,5,12) + TIME(18,34,31)</f>
        <v>40675.773969907408</v>
      </c>
      <c r="C803">
        <v>80</v>
      </c>
      <c r="D803">
        <v>79.939376831000004</v>
      </c>
      <c r="E803">
        <v>50</v>
      </c>
      <c r="F803">
        <v>48.327033997000001</v>
      </c>
      <c r="G803">
        <v>1388.7525635</v>
      </c>
      <c r="H803">
        <v>1374.1378173999999</v>
      </c>
      <c r="I803">
        <v>1287.7918701000001</v>
      </c>
      <c r="J803">
        <v>1268.7039795000001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377.07867900000002</v>
      </c>
      <c r="B804" s="1">
        <f>DATE(2011,5,13) + TIME(1,53,17)</f>
        <v>40676.078668981485</v>
      </c>
      <c r="C804">
        <v>80</v>
      </c>
      <c r="D804">
        <v>79.939376831000004</v>
      </c>
      <c r="E804">
        <v>50</v>
      </c>
      <c r="F804">
        <v>48.291580199999999</v>
      </c>
      <c r="G804">
        <v>1388.6798096</v>
      </c>
      <c r="H804">
        <v>1374.0761719</v>
      </c>
      <c r="I804">
        <v>1287.7833252</v>
      </c>
      <c r="J804">
        <v>1268.6926269999999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377.390355</v>
      </c>
      <c r="B805" s="1">
        <f>DATE(2011,5,13) + TIME(9,22,6)</f>
        <v>40676.390347222223</v>
      </c>
      <c r="C805">
        <v>80</v>
      </c>
      <c r="D805">
        <v>79.939369201999995</v>
      </c>
      <c r="E805">
        <v>50</v>
      </c>
      <c r="F805">
        <v>48.255527495999999</v>
      </c>
      <c r="G805">
        <v>1388.6070557</v>
      </c>
      <c r="H805">
        <v>1374.0145264</v>
      </c>
      <c r="I805">
        <v>1287.7745361</v>
      </c>
      <c r="J805">
        <v>1268.6809082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377.709765</v>
      </c>
      <c r="B806" s="1">
        <f>DATE(2011,5,13) + TIME(17,2,3)</f>
        <v>40676.709756944445</v>
      </c>
      <c r="C806">
        <v>80</v>
      </c>
      <c r="D806">
        <v>79.939369201999995</v>
      </c>
      <c r="E806">
        <v>50</v>
      </c>
      <c r="F806">
        <v>48.218818665000001</v>
      </c>
      <c r="G806">
        <v>1388.5340576000001</v>
      </c>
      <c r="H806">
        <v>1373.9527588000001</v>
      </c>
      <c r="I806">
        <v>1287.765625</v>
      </c>
      <c r="J806">
        <v>1268.6690673999999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378.03783700000002</v>
      </c>
      <c r="B807" s="1">
        <f>DATE(2011,5,14) + TIME(0,54,29)</f>
        <v>40677.037835648145</v>
      </c>
      <c r="C807">
        <v>80</v>
      </c>
      <c r="D807">
        <v>79.939353943</v>
      </c>
      <c r="E807">
        <v>50</v>
      </c>
      <c r="F807">
        <v>48.181362151999998</v>
      </c>
      <c r="G807">
        <v>1388.4609375</v>
      </c>
      <c r="H807">
        <v>1373.8907471</v>
      </c>
      <c r="I807">
        <v>1287.7563477000001</v>
      </c>
      <c r="J807">
        <v>1268.6567382999999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378.37559399999998</v>
      </c>
      <c r="B808" s="1">
        <f>DATE(2011,5,14) + TIME(9,0,51)</f>
        <v>40677.375590277778</v>
      </c>
      <c r="C808">
        <v>80</v>
      </c>
      <c r="D808">
        <v>79.939346313000001</v>
      </c>
      <c r="E808">
        <v>50</v>
      </c>
      <c r="F808">
        <v>48.143074036000002</v>
      </c>
      <c r="G808">
        <v>1388.3873291</v>
      </c>
      <c r="H808">
        <v>1373.8286132999999</v>
      </c>
      <c r="I808">
        <v>1287.7468262</v>
      </c>
      <c r="J808">
        <v>1268.6441649999999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378.72341499999999</v>
      </c>
      <c r="B809" s="1">
        <f>DATE(2011,5,14) + TIME(17,21,43)</f>
        <v>40677.723414351851</v>
      </c>
      <c r="C809">
        <v>80</v>
      </c>
      <c r="D809">
        <v>79.939338684000006</v>
      </c>
      <c r="E809">
        <v>50</v>
      </c>
      <c r="F809">
        <v>48.103908539000003</v>
      </c>
      <c r="G809">
        <v>1388.3132324000001</v>
      </c>
      <c r="H809">
        <v>1373.7658690999999</v>
      </c>
      <c r="I809">
        <v>1287.7370605000001</v>
      </c>
      <c r="J809">
        <v>1268.6311035000001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379.07213200000001</v>
      </c>
      <c r="B810" s="1">
        <f>DATE(2011,5,15) + TIME(1,43,52)</f>
        <v>40678.072129629632</v>
      </c>
      <c r="C810">
        <v>80</v>
      </c>
      <c r="D810">
        <v>79.939323424999998</v>
      </c>
      <c r="E810">
        <v>50</v>
      </c>
      <c r="F810">
        <v>48.064544677999997</v>
      </c>
      <c r="G810">
        <v>1388.2384033000001</v>
      </c>
      <c r="H810">
        <v>1373.7027588000001</v>
      </c>
      <c r="I810">
        <v>1287.7269286999999</v>
      </c>
      <c r="J810">
        <v>1268.6177978999999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379.42274300000003</v>
      </c>
      <c r="B811" s="1">
        <f>DATE(2011,5,15) + TIME(10,8,44)</f>
        <v>40678.422731481478</v>
      </c>
      <c r="C811">
        <v>80</v>
      </c>
      <c r="D811">
        <v>79.939315796000002</v>
      </c>
      <c r="E811">
        <v>50</v>
      </c>
      <c r="F811">
        <v>48.025001525999997</v>
      </c>
      <c r="G811">
        <v>1388.1650391000001</v>
      </c>
      <c r="H811">
        <v>1373.6407471</v>
      </c>
      <c r="I811">
        <v>1287.7166748</v>
      </c>
      <c r="J811">
        <v>1268.6043701000001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379.77599700000002</v>
      </c>
      <c r="B812" s="1">
        <f>DATE(2011,5,15) + TIME(18,37,26)</f>
        <v>40678.775995370372</v>
      </c>
      <c r="C812">
        <v>80</v>
      </c>
      <c r="D812">
        <v>79.939300536999994</v>
      </c>
      <c r="E812">
        <v>50</v>
      </c>
      <c r="F812">
        <v>47.985286713000001</v>
      </c>
      <c r="G812">
        <v>1388.0927733999999</v>
      </c>
      <c r="H812">
        <v>1373.5798339999999</v>
      </c>
      <c r="I812">
        <v>1287.7064209</v>
      </c>
      <c r="J812">
        <v>1268.5908202999999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380.13267100000002</v>
      </c>
      <c r="B813" s="1">
        <f>DATE(2011,5,16) + TIME(3,11,2)</f>
        <v>40679.132662037038</v>
      </c>
      <c r="C813">
        <v>80</v>
      </c>
      <c r="D813">
        <v>79.939285278</v>
      </c>
      <c r="E813">
        <v>50</v>
      </c>
      <c r="F813">
        <v>47.945365905999999</v>
      </c>
      <c r="G813">
        <v>1388.0214844</v>
      </c>
      <c r="H813">
        <v>1373.5196533000001</v>
      </c>
      <c r="I813">
        <v>1287.6960449000001</v>
      </c>
      <c r="J813">
        <v>1268.5771483999999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380.493604</v>
      </c>
      <c r="B814" s="1">
        <f>DATE(2011,5,16) + TIME(11,50,47)</f>
        <v>40679.49359953704</v>
      </c>
      <c r="C814">
        <v>80</v>
      </c>
      <c r="D814">
        <v>79.939270019999995</v>
      </c>
      <c r="E814">
        <v>50</v>
      </c>
      <c r="F814">
        <v>47.905197143999999</v>
      </c>
      <c r="G814">
        <v>1387.9509277</v>
      </c>
      <c r="H814">
        <v>1373.4600829999999</v>
      </c>
      <c r="I814">
        <v>1287.6855469</v>
      </c>
      <c r="J814">
        <v>1268.5632324000001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380.85965700000003</v>
      </c>
      <c r="B815" s="1">
        <f>DATE(2011,5,16) + TIME(20,37,54)</f>
        <v>40679.859652777777</v>
      </c>
      <c r="C815">
        <v>80</v>
      </c>
      <c r="D815">
        <v>79.939262389999996</v>
      </c>
      <c r="E815">
        <v>50</v>
      </c>
      <c r="F815">
        <v>47.864707946999999</v>
      </c>
      <c r="G815">
        <v>1387.8808594</v>
      </c>
      <c r="H815">
        <v>1373.4011230000001</v>
      </c>
      <c r="I815">
        <v>1287.6749268000001</v>
      </c>
      <c r="J815">
        <v>1268.5491943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381.23172099999999</v>
      </c>
      <c r="B816" s="1">
        <f>DATE(2011,5,17) + TIME(5,33,40)</f>
        <v>40680.231712962966</v>
      </c>
      <c r="C816">
        <v>80</v>
      </c>
      <c r="D816">
        <v>79.939247131000002</v>
      </c>
      <c r="E816">
        <v>50</v>
      </c>
      <c r="F816">
        <v>47.823829650999997</v>
      </c>
      <c r="G816">
        <v>1387.8112793</v>
      </c>
      <c r="H816">
        <v>1373.3424072</v>
      </c>
      <c r="I816">
        <v>1287.6641846</v>
      </c>
      <c r="J816">
        <v>1268.5350341999999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381.610748</v>
      </c>
      <c r="B817" s="1">
        <f>DATE(2011,5,17) + TIME(14,39,28)</f>
        <v>40680.61074074074</v>
      </c>
      <c r="C817">
        <v>80</v>
      </c>
      <c r="D817">
        <v>79.939231872999997</v>
      </c>
      <c r="E817">
        <v>50</v>
      </c>
      <c r="F817">
        <v>47.782482147000003</v>
      </c>
      <c r="G817">
        <v>1387.7419434000001</v>
      </c>
      <c r="H817">
        <v>1373.2839355000001</v>
      </c>
      <c r="I817">
        <v>1287.6531981999999</v>
      </c>
      <c r="J817">
        <v>1268.5205077999999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381.99775499999998</v>
      </c>
      <c r="B818" s="1">
        <f>DATE(2011,5,17) + TIME(23,56,46)</f>
        <v>40680.997754629629</v>
      </c>
      <c r="C818">
        <v>80</v>
      </c>
      <c r="D818">
        <v>79.939224242999998</v>
      </c>
      <c r="E818">
        <v>50</v>
      </c>
      <c r="F818">
        <v>47.740570067999997</v>
      </c>
      <c r="G818">
        <v>1387.6726074000001</v>
      </c>
      <c r="H818">
        <v>1373.2255858999999</v>
      </c>
      <c r="I818">
        <v>1287.6419678</v>
      </c>
      <c r="J818">
        <v>1268.5057373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382.390421</v>
      </c>
      <c r="B819" s="1">
        <f>DATE(2011,5,18) + TIME(9,22,12)</f>
        <v>40681.390416666669</v>
      </c>
      <c r="C819">
        <v>80</v>
      </c>
      <c r="D819">
        <v>79.939208984000004</v>
      </c>
      <c r="E819">
        <v>50</v>
      </c>
      <c r="F819">
        <v>47.698242188000002</v>
      </c>
      <c r="G819">
        <v>1387.6030272999999</v>
      </c>
      <c r="H819">
        <v>1373.1671143000001</v>
      </c>
      <c r="I819">
        <v>1287.6304932</v>
      </c>
      <c r="J819">
        <v>1268.4906006000001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382.78959300000002</v>
      </c>
      <c r="B820" s="1">
        <f>DATE(2011,5,18) + TIME(18,57,0)</f>
        <v>40681.789583333331</v>
      </c>
      <c r="C820">
        <v>80</v>
      </c>
      <c r="D820">
        <v>79.939201354999994</v>
      </c>
      <c r="E820">
        <v>50</v>
      </c>
      <c r="F820">
        <v>47.655448913999997</v>
      </c>
      <c r="G820">
        <v>1387.5339355000001</v>
      </c>
      <c r="H820">
        <v>1373.1088867000001</v>
      </c>
      <c r="I820">
        <v>1287.6188964999999</v>
      </c>
      <c r="J820">
        <v>1268.4752197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383.19624599999997</v>
      </c>
      <c r="B821" s="1">
        <f>DATE(2011,5,19) + TIME(4,42,35)</f>
        <v>40682.196238425924</v>
      </c>
      <c r="C821">
        <v>80</v>
      </c>
      <c r="D821">
        <v>79.939186096</v>
      </c>
      <c r="E821">
        <v>50</v>
      </c>
      <c r="F821">
        <v>47.612133026000002</v>
      </c>
      <c r="G821">
        <v>1387.4649658000001</v>
      </c>
      <c r="H821">
        <v>1373.0509033000001</v>
      </c>
      <c r="I821">
        <v>1287.6069336</v>
      </c>
      <c r="J821">
        <v>1268.4595947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383.61143900000002</v>
      </c>
      <c r="B822" s="1">
        <f>DATE(2011,5,19) + TIME(14,40,28)</f>
        <v>40682.611435185187</v>
      </c>
      <c r="C822">
        <v>80</v>
      </c>
      <c r="D822">
        <v>79.939178467000005</v>
      </c>
      <c r="E822">
        <v>50</v>
      </c>
      <c r="F822">
        <v>47.568210602000001</v>
      </c>
      <c r="G822">
        <v>1387.3959961</v>
      </c>
      <c r="H822">
        <v>1372.9927978999999</v>
      </c>
      <c r="I822">
        <v>1287.5948486</v>
      </c>
      <c r="J822">
        <v>1268.4436035000001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384.03631899999999</v>
      </c>
      <c r="B823" s="1">
        <f>DATE(2011,5,20) + TIME(0,52,18)</f>
        <v>40683.036319444444</v>
      </c>
      <c r="C823">
        <v>80</v>
      </c>
      <c r="D823">
        <v>79.939170837000006</v>
      </c>
      <c r="E823">
        <v>50</v>
      </c>
      <c r="F823">
        <v>47.523597717000001</v>
      </c>
      <c r="G823">
        <v>1387.3269043</v>
      </c>
      <c r="H823">
        <v>1372.9346923999999</v>
      </c>
      <c r="I823">
        <v>1287.5823975000001</v>
      </c>
      <c r="J823">
        <v>1268.4272461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384.47214400000001</v>
      </c>
      <c r="B824" s="1">
        <f>DATE(2011,5,20) + TIME(11,19,53)</f>
        <v>40683.472141203703</v>
      </c>
      <c r="C824">
        <v>80</v>
      </c>
      <c r="D824">
        <v>79.939155579000001</v>
      </c>
      <c r="E824">
        <v>50</v>
      </c>
      <c r="F824">
        <v>47.478187560999999</v>
      </c>
      <c r="G824">
        <v>1387.2575684000001</v>
      </c>
      <c r="H824">
        <v>1372.8763428</v>
      </c>
      <c r="I824">
        <v>1287.5697021000001</v>
      </c>
      <c r="J824">
        <v>1268.4104004000001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384.919603</v>
      </c>
      <c r="B825" s="1">
        <f>DATE(2011,5,20) + TIME(22,4,13)</f>
        <v>40683.919594907406</v>
      </c>
      <c r="C825">
        <v>80</v>
      </c>
      <c r="D825">
        <v>79.939147949000002</v>
      </c>
      <c r="E825">
        <v>50</v>
      </c>
      <c r="F825">
        <v>47.431911468999999</v>
      </c>
      <c r="G825">
        <v>1387.1876221</v>
      </c>
      <c r="H825">
        <v>1372.8176269999999</v>
      </c>
      <c r="I825">
        <v>1287.5565185999999</v>
      </c>
      <c r="J825">
        <v>1268.3931885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385.36876699999999</v>
      </c>
      <c r="B826" s="1">
        <f>DATE(2011,5,21) + TIME(8,51,1)</f>
        <v>40684.368761574071</v>
      </c>
      <c r="C826">
        <v>80</v>
      </c>
      <c r="D826">
        <v>79.939140320000007</v>
      </c>
      <c r="E826">
        <v>50</v>
      </c>
      <c r="F826">
        <v>47.385375977000002</v>
      </c>
      <c r="G826">
        <v>1387.1173096</v>
      </c>
      <c r="H826">
        <v>1372.7584228999999</v>
      </c>
      <c r="I826">
        <v>1287.5429687999999</v>
      </c>
      <c r="J826">
        <v>1268.3754882999999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385.82060300000001</v>
      </c>
      <c r="B827" s="1">
        <f>DATE(2011,5,21) + TIME(19,41,40)</f>
        <v>40684.820601851854</v>
      </c>
      <c r="C827">
        <v>80</v>
      </c>
      <c r="D827">
        <v>79.939132689999994</v>
      </c>
      <c r="E827">
        <v>50</v>
      </c>
      <c r="F827">
        <v>47.338657378999997</v>
      </c>
      <c r="G827">
        <v>1387.0478516000001</v>
      </c>
      <c r="H827">
        <v>1372.7001952999999</v>
      </c>
      <c r="I827">
        <v>1287.5292969</v>
      </c>
      <c r="J827">
        <v>1268.3576660000001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386.27616599999999</v>
      </c>
      <c r="B828" s="1">
        <f>DATE(2011,5,22) + TIME(6,37,40)</f>
        <v>40685.27615740741</v>
      </c>
      <c r="C828">
        <v>80</v>
      </c>
      <c r="D828">
        <v>79.939125060999999</v>
      </c>
      <c r="E828">
        <v>50</v>
      </c>
      <c r="F828">
        <v>47.291755676000001</v>
      </c>
      <c r="G828">
        <v>1386.9793701000001</v>
      </c>
      <c r="H828">
        <v>1372.6425781</v>
      </c>
      <c r="I828">
        <v>1287.515625</v>
      </c>
      <c r="J828">
        <v>1268.3395995999999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386.73655500000001</v>
      </c>
      <c r="B829" s="1">
        <f>DATE(2011,5,22) + TIME(17,40,38)</f>
        <v>40685.736550925925</v>
      </c>
      <c r="C829">
        <v>80</v>
      </c>
      <c r="D829">
        <v>79.939117432000003</v>
      </c>
      <c r="E829">
        <v>50</v>
      </c>
      <c r="F829">
        <v>47.244640349999997</v>
      </c>
      <c r="G829">
        <v>1386.911499</v>
      </c>
      <c r="H829">
        <v>1372.5855713000001</v>
      </c>
      <c r="I829">
        <v>1287.5017089999999</v>
      </c>
      <c r="J829">
        <v>1268.3212891000001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387.20289400000001</v>
      </c>
      <c r="B830" s="1">
        <f>DATE(2011,5,23) + TIME(4,52,10)</f>
        <v>40686.202893518515</v>
      </c>
      <c r="C830">
        <v>80</v>
      </c>
      <c r="D830">
        <v>79.939109802000004</v>
      </c>
      <c r="E830">
        <v>50</v>
      </c>
      <c r="F830">
        <v>47.197235106999997</v>
      </c>
      <c r="G830">
        <v>1386.8442382999999</v>
      </c>
      <c r="H830">
        <v>1372.5289307</v>
      </c>
      <c r="I830">
        <v>1287.4875488</v>
      </c>
      <c r="J830">
        <v>1268.3028564000001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387.67635300000001</v>
      </c>
      <c r="B831" s="1">
        <f>DATE(2011,5,23) + TIME(16,13,56)</f>
        <v>40686.676342592589</v>
      </c>
      <c r="C831">
        <v>80</v>
      </c>
      <c r="D831">
        <v>79.939102172999995</v>
      </c>
      <c r="E831">
        <v>50</v>
      </c>
      <c r="F831">
        <v>47.149459839000002</v>
      </c>
      <c r="G831">
        <v>1386.7772216999999</v>
      </c>
      <c r="H831">
        <v>1372.4726562000001</v>
      </c>
      <c r="I831">
        <v>1287.4732666</v>
      </c>
      <c r="J831">
        <v>1268.2840576000001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388.158162</v>
      </c>
      <c r="B832" s="1">
        <f>DATE(2011,5,24) + TIME(3,47,45)</f>
        <v>40687.158159722225</v>
      </c>
      <c r="C832">
        <v>80</v>
      </c>
      <c r="D832">
        <v>79.939102172999995</v>
      </c>
      <c r="E832">
        <v>50</v>
      </c>
      <c r="F832">
        <v>47.101219176999997</v>
      </c>
      <c r="G832">
        <v>1386.7103271000001</v>
      </c>
      <c r="H832">
        <v>1372.4163818</v>
      </c>
      <c r="I832">
        <v>1287.4587402</v>
      </c>
      <c r="J832">
        <v>1268.2648925999999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388.64963299999999</v>
      </c>
      <c r="B833" s="1">
        <f>DATE(2011,5,24) + TIME(15,35,28)</f>
        <v>40687.649629629632</v>
      </c>
      <c r="C833">
        <v>80</v>
      </c>
      <c r="D833">
        <v>79.939094542999996</v>
      </c>
      <c r="E833">
        <v>50</v>
      </c>
      <c r="F833">
        <v>47.052402495999999</v>
      </c>
      <c r="G833">
        <v>1386.6434326000001</v>
      </c>
      <c r="H833">
        <v>1372.3602295000001</v>
      </c>
      <c r="I833">
        <v>1287.4438477000001</v>
      </c>
      <c r="J833">
        <v>1268.2452393000001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389.15097300000002</v>
      </c>
      <c r="B834" s="1">
        <f>DATE(2011,5,25) + TIME(3,37,24)</f>
        <v>40688.150972222225</v>
      </c>
      <c r="C834">
        <v>80</v>
      </c>
      <c r="D834">
        <v>79.939094542999996</v>
      </c>
      <c r="E834">
        <v>50</v>
      </c>
      <c r="F834">
        <v>47.002971649000003</v>
      </c>
      <c r="G834">
        <v>1386.5764160000001</v>
      </c>
      <c r="H834">
        <v>1372.3039550999999</v>
      </c>
      <c r="I834">
        <v>1287.4285889</v>
      </c>
      <c r="J834">
        <v>1268.2252197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389.66174599999999</v>
      </c>
      <c r="B835" s="1">
        <f>DATE(2011,5,25) + TIME(15,52,54)</f>
        <v>40688.661736111113</v>
      </c>
      <c r="C835">
        <v>80</v>
      </c>
      <c r="D835">
        <v>79.939086914000001</v>
      </c>
      <c r="E835">
        <v>50</v>
      </c>
      <c r="F835">
        <v>46.952926636000001</v>
      </c>
      <c r="G835">
        <v>1386.5091553</v>
      </c>
      <c r="H835">
        <v>1372.2474365</v>
      </c>
      <c r="I835">
        <v>1287.4129639</v>
      </c>
      <c r="J835">
        <v>1268.2047118999999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390.18185</v>
      </c>
      <c r="B836" s="1">
        <f>DATE(2011,5,26) + TIME(4,21,51)</f>
        <v>40689.181840277779</v>
      </c>
      <c r="C836">
        <v>80</v>
      </c>
      <c r="D836">
        <v>79.939086914000001</v>
      </c>
      <c r="E836">
        <v>50</v>
      </c>
      <c r="F836">
        <v>46.902278899999999</v>
      </c>
      <c r="G836">
        <v>1386.4418945</v>
      </c>
      <c r="H836">
        <v>1372.1907959</v>
      </c>
      <c r="I836">
        <v>1287.3969727000001</v>
      </c>
      <c r="J836">
        <v>1268.1837158000001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390.71146700000003</v>
      </c>
      <c r="B837" s="1">
        <f>DATE(2011,5,26) + TIME(17,4,30)</f>
        <v>40689.711458333331</v>
      </c>
      <c r="C837">
        <v>80</v>
      </c>
      <c r="D837">
        <v>79.939086914000001</v>
      </c>
      <c r="E837">
        <v>50</v>
      </c>
      <c r="F837">
        <v>46.851016997999999</v>
      </c>
      <c r="G837">
        <v>1386.3745117000001</v>
      </c>
      <c r="H837">
        <v>1372.1341553</v>
      </c>
      <c r="I837">
        <v>1287.3806152</v>
      </c>
      <c r="J837">
        <v>1268.1621094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391.25205699999998</v>
      </c>
      <c r="B838" s="1">
        <f>DATE(2011,5,27) + TIME(6,2,57)</f>
        <v>40690.25204861111</v>
      </c>
      <c r="C838">
        <v>80</v>
      </c>
      <c r="D838">
        <v>79.939086914000001</v>
      </c>
      <c r="E838">
        <v>50</v>
      </c>
      <c r="F838">
        <v>46.799068450999997</v>
      </c>
      <c r="G838">
        <v>1386.3071289</v>
      </c>
      <c r="H838">
        <v>1372.0775146000001</v>
      </c>
      <c r="I838">
        <v>1287.3637695</v>
      </c>
      <c r="J838">
        <v>1268.1401367000001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391.805182</v>
      </c>
      <c r="B839" s="1">
        <f>DATE(2011,5,27) + TIME(19,19,27)</f>
        <v>40690.805173611108</v>
      </c>
      <c r="C839">
        <v>80</v>
      </c>
      <c r="D839">
        <v>79.939086914000001</v>
      </c>
      <c r="E839">
        <v>50</v>
      </c>
      <c r="F839">
        <v>46.746334075999997</v>
      </c>
      <c r="G839">
        <v>1386.2393798999999</v>
      </c>
      <c r="H839">
        <v>1372.0206298999999</v>
      </c>
      <c r="I839">
        <v>1287.3466797000001</v>
      </c>
      <c r="J839">
        <v>1268.1175536999999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392.36584699999997</v>
      </c>
      <c r="B840" s="1">
        <f>DATE(2011,5,28) + TIME(8,46,49)</f>
        <v>40691.365844907406</v>
      </c>
      <c r="C840">
        <v>80</v>
      </c>
      <c r="D840">
        <v>79.939086914000001</v>
      </c>
      <c r="E840">
        <v>50</v>
      </c>
      <c r="F840">
        <v>46.693050384999999</v>
      </c>
      <c r="G840">
        <v>1386.1713867000001</v>
      </c>
      <c r="H840">
        <v>1371.9633789</v>
      </c>
      <c r="I840">
        <v>1287.3289795000001</v>
      </c>
      <c r="J840">
        <v>1268.0943603999999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392.927977</v>
      </c>
      <c r="B841" s="1">
        <f>DATE(2011,5,28) + TIME(22,16,17)</f>
        <v>40691.927974537037</v>
      </c>
      <c r="C841">
        <v>80</v>
      </c>
      <c r="D841">
        <v>79.939086914000001</v>
      </c>
      <c r="E841">
        <v>50</v>
      </c>
      <c r="F841">
        <v>46.639617919999999</v>
      </c>
      <c r="G841">
        <v>1386.1035156</v>
      </c>
      <c r="H841">
        <v>1371.90625</v>
      </c>
      <c r="I841">
        <v>1287.3109131000001</v>
      </c>
      <c r="J841">
        <v>1268.0706786999999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393.49231700000001</v>
      </c>
      <c r="B842" s="1">
        <f>DATE(2011,5,29) + TIME(11,48,56)</f>
        <v>40692.492314814815</v>
      </c>
      <c r="C842">
        <v>80</v>
      </c>
      <c r="D842">
        <v>79.939086914000001</v>
      </c>
      <c r="E842">
        <v>50</v>
      </c>
      <c r="F842">
        <v>46.586139678999999</v>
      </c>
      <c r="G842">
        <v>1386.0366211</v>
      </c>
      <c r="H842">
        <v>1371.8499756000001</v>
      </c>
      <c r="I842">
        <v>1287.2927245999999</v>
      </c>
      <c r="J842">
        <v>1268.046875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394.06028700000002</v>
      </c>
      <c r="B843" s="1">
        <f>DATE(2011,5,30) + TIME(1,26,48)</f>
        <v>40693.060277777775</v>
      </c>
      <c r="C843">
        <v>80</v>
      </c>
      <c r="D843">
        <v>79.939094542999996</v>
      </c>
      <c r="E843">
        <v>50</v>
      </c>
      <c r="F843">
        <v>46.532619476000001</v>
      </c>
      <c r="G843">
        <v>1385.9705810999999</v>
      </c>
      <c r="H843">
        <v>1371.7944336</v>
      </c>
      <c r="I843">
        <v>1287.2742920000001</v>
      </c>
      <c r="J843">
        <v>1268.0227050999999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394.63299999999998</v>
      </c>
      <c r="B844" s="1">
        <f>DATE(2011,5,30) + TIME(15,11,31)</f>
        <v>40693.632997685185</v>
      </c>
      <c r="C844">
        <v>80</v>
      </c>
      <c r="D844">
        <v>79.939094542999996</v>
      </c>
      <c r="E844">
        <v>50</v>
      </c>
      <c r="F844">
        <v>46.479011536000002</v>
      </c>
      <c r="G844">
        <v>1385.9051514</v>
      </c>
      <c r="H844">
        <v>1371.7393798999999</v>
      </c>
      <c r="I844">
        <v>1287.2557373</v>
      </c>
      <c r="J844">
        <v>1267.9981689000001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395.21178500000002</v>
      </c>
      <c r="B845" s="1">
        <f>DATE(2011,5,31) + TIME(5,4,58)</f>
        <v>40694.211782407408</v>
      </c>
      <c r="C845">
        <v>80</v>
      </c>
      <c r="D845">
        <v>79.939102172999995</v>
      </c>
      <c r="E845">
        <v>50</v>
      </c>
      <c r="F845">
        <v>46.425235747999999</v>
      </c>
      <c r="G845">
        <v>1385.840332</v>
      </c>
      <c r="H845">
        <v>1371.6846923999999</v>
      </c>
      <c r="I845">
        <v>1287.2369385</v>
      </c>
      <c r="J845">
        <v>1267.9733887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395.79800499999999</v>
      </c>
      <c r="B846" s="1">
        <f>DATE(2011,5,31) + TIME(19,9,7)</f>
        <v>40694.797997685186</v>
      </c>
      <c r="C846">
        <v>80</v>
      </c>
      <c r="D846">
        <v>79.939109802000004</v>
      </c>
      <c r="E846">
        <v>50</v>
      </c>
      <c r="F846">
        <v>46.371189117</v>
      </c>
      <c r="G846">
        <v>1385.7757568</v>
      </c>
      <c r="H846">
        <v>1371.6303711</v>
      </c>
      <c r="I846">
        <v>1287.2177733999999</v>
      </c>
      <c r="J846">
        <v>1267.9479980000001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396</v>
      </c>
      <c r="B847" s="1">
        <f>DATE(2011,6,1) + TIME(0,0,0)</f>
        <v>40695</v>
      </c>
      <c r="C847">
        <v>80</v>
      </c>
      <c r="D847">
        <v>79.939094542999996</v>
      </c>
      <c r="E847">
        <v>50</v>
      </c>
      <c r="F847">
        <v>46.344936371000003</v>
      </c>
      <c r="G847">
        <v>1385.7110596</v>
      </c>
      <c r="H847">
        <v>1371.5758057</v>
      </c>
      <c r="I847">
        <v>1287.1949463000001</v>
      </c>
      <c r="J847">
        <v>1267.9248047000001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396.595078</v>
      </c>
      <c r="B848" s="1">
        <f>DATE(2011,6,1) + TIME(14,16,54)</f>
        <v>40695.595069444447</v>
      </c>
      <c r="C848">
        <v>80</v>
      </c>
      <c r="D848">
        <v>79.939109802000004</v>
      </c>
      <c r="E848">
        <v>50</v>
      </c>
      <c r="F848">
        <v>46.293998717999997</v>
      </c>
      <c r="G848">
        <v>1385.6892089999999</v>
      </c>
      <c r="H848">
        <v>1371.5573730000001</v>
      </c>
      <c r="I848">
        <v>1287.1917725000001</v>
      </c>
      <c r="J848">
        <v>1267.9125977000001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397.20445799999999</v>
      </c>
      <c r="B849" s="1">
        <f>DATE(2011,6,2) + TIME(4,54,25)</f>
        <v>40696.204456018517</v>
      </c>
      <c r="C849">
        <v>80</v>
      </c>
      <c r="D849">
        <v>79.939117432000003</v>
      </c>
      <c r="E849">
        <v>50</v>
      </c>
      <c r="F849">
        <v>46.240882874</v>
      </c>
      <c r="G849">
        <v>1385.6254882999999</v>
      </c>
      <c r="H849">
        <v>1371.5036620999999</v>
      </c>
      <c r="I849">
        <v>1287.1716309000001</v>
      </c>
      <c r="J849">
        <v>1267.8864745999999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397.82635099999999</v>
      </c>
      <c r="B850" s="1">
        <f>DATE(2011,6,2) + TIME(19,49,56)</f>
        <v>40696.826342592591</v>
      </c>
      <c r="C850">
        <v>80</v>
      </c>
      <c r="D850">
        <v>79.939125060999999</v>
      </c>
      <c r="E850">
        <v>50</v>
      </c>
      <c r="F850">
        <v>46.186199188000003</v>
      </c>
      <c r="G850">
        <v>1385.5610352000001</v>
      </c>
      <c r="H850">
        <v>1371.4493408000001</v>
      </c>
      <c r="I850">
        <v>1287.151001</v>
      </c>
      <c r="J850">
        <v>1267.859375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398.46256199999999</v>
      </c>
      <c r="B851" s="1">
        <f>DATE(2011,6,3) + TIME(11,6,5)</f>
        <v>40697.462557870371</v>
      </c>
      <c r="C851">
        <v>80</v>
      </c>
      <c r="D851">
        <v>79.939140320000007</v>
      </c>
      <c r="E851">
        <v>50</v>
      </c>
      <c r="F851">
        <v>46.130222320999998</v>
      </c>
      <c r="G851">
        <v>1385.4962158000001</v>
      </c>
      <c r="H851">
        <v>1371.3946533000001</v>
      </c>
      <c r="I851">
        <v>1287.1296387</v>
      </c>
      <c r="J851">
        <v>1267.8312988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399.11506400000002</v>
      </c>
      <c r="B852" s="1">
        <f>DATE(2011,6,4) + TIME(2,45,41)</f>
        <v>40698.115057870367</v>
      </c>
      <c r="C852">
        <v>80</v>
      </c>
      <c r="D852">
        <v>79.939147949000002</v>
      </c>
      <c r="E852">
        <v>50</v>
      </c>
      <c r="F852">
        <v>46.073017120000003</v>
      </c>
      <c r="G852">
        <v>1385.4309082</v>
      </c>
      <c r="H852">
        <v>1371.3395995999999</v>
      </c>
      <c r="I852">
        <v>1287.1077881000001</v>
      </c>
      <c r="J852">
        <v>1267.8023682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399.44958700000001</v>
      </c>
      <c r="B853" s="1">
        <f>DATE(2011,6,4) + TIME(10,47,24)</f>
        <v>40698.449583333335</v>
      </c>
      <c r="C853">
        <v>80</v>
      </c>
      <c r="D853">
        <v>79.939140320000007</v>
      </c>
      <c r="E853">
        <v>50</v>
      </c>
      <c r="F853">
        <v>46.034683227999999</v>
      </c>
      <c r="G853">
        <v>1385.3647461</v>
      </c>
      <c r="H853">
        <v>1371.2836914</v>
      </c>
      <c r="I853">
        <v>1287.0830077999999</v>
      </c>
      <c r="J853">
        <v>1267.7744141000001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399.784111</v>
      </c>
      <c r="B854" s="1">
        <f>DATE(2011,6,4) + TIME(18,49,7)</f>
        <v>40698.784108796295</v>
      </c>
      <c r="C854">
        <v>80</v>
      </c>
      <c r="D854">
        <v>79.939132689999994</v>
      </c>
      <c r="E854">
        <v>50</v>
      </c>
      <c r="F854">
        <v>45.999099731000001</v>
      </c>
      <c r="G854">
        <v>1385.3302002</v>
      </c>
      <c r="H854">
        <v>1371.2543945</v>
      </c>
      <c r="I854">
        <v>1287.0711670000001</v>
      </c>
      <c r="J854">
        <v>1267.7574463000001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400.11863399999999</v>
      </c>
      <c r="B855" s="1">
        <f>DATE(2011,6,5) + TIME(2,50,49)</f>
        <v>40699.118622685186</v>
      </c>
      <c r="C855">
        <v>80</v>
      </c>
      <c r="D855">
        <v>79.939132689999994</v>
      </c>
      <c r="E855">
        <v>50</v>
      </c>
      <c r="F855">
        <v>45.965393065999997</v>
      </c>
      <c r="G855">
        <v>1385.2977295000001</v>
      </c>
      <c r="H855">
        <v>1371.2270507999999</v>
      </c>
      <c r="I855">
        <v>1287.0600586</v>
      </c>
      <c r="J855">
        <v>1267.7415771000001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400.45315699999998</v>
      </c>
      <c r="B856" s="1">
        <f>DATE(2011,6,5) + TIME(10,52,32)</f>
        <v>40699.453148148146</v>
      </c>
      <c r="C856">
        <v>80</v>
      </c>
      <c r="D856">
        <v>79.939132689999994</v>
      </c>
      <c r="E856">
        <v>50</v>
      </c>
      <c r="F856">
        <v>45.932998656999999</v>
      </c>
      <c r="G856">
        <v>1385.2650146000001</v>
      </c>
      <c r="H856">
        <v>1371.1993408000001</v>
      </c>
      <c r="I856">
        <v>1287.0485839999999</v>
      </c>
      <c r="J856">
        <v>1267.7255858999999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401.12220300000001</v>
      </c>
      <c r="B857" s="1">
        <f>DATE(2011,6,6) + TIME(2,55,58)</f>
        <v>40700.122199074074</v>
      </c>
      <c r="C857">
        <v>80</v>
      </c>
      <c r="D857">
        <v>79.939170837000006</v>
      </c>
      <c r="E857">
        <v>50</v>
      </c>
      <c r="F857">
        <v>45.885036468999999</v>
      </c>
      <c r="G857">
        <v>1385.2331543</v>
      </c>
      <c r="H857">
        <v>1371.1724853999999</v>
      </c>
      <c r="I857">
        <v>1287.0389404</v>
      </c>
      <c r="J857">
        <v>1267.7080077999999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401.79222099999998</v>
      </c>
      <c r="B858" s="1">
        <f>DATE(2011,6,6) + TIME(19,0,47)</f>
        <v>40700.792210648149</v>
      </c>
      <c r="C858">
        <v>80</v>
      </c>
      <c r="D858">
        <v>79.939186096</v>
      </c>
      <c r="E858">
        <v>50</v>
      </c>
      <c r="F858">
        <v>45.832004546999997</v>
      </c>
      <c r="G858">
        <v>1385.1685791</v>
      </c>
      <c r="H858">
        <v>1371.1177978999999</v>
      </c>
      <c r="I858">
        <v>1287.0145264</v>
      </c>
      <c r="J858">
        <v>1267.677124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402.46707600000002</v>
      </c>
      <c r="B859" s="1">
        <f>DATE(2011,6,7) + TIME(11,12,35)</f>
        <v>40701.46707175926</v>
      </c>
      <c r="C859">
        <v>80</v>
      </c>
      <c r="D859">
        <v>79.939208984000004</v>
      </c>
      <c r="E859">
        <v>50</v>
      </c>
      <c r="F859">
        <v>45.776283264</v>
      </c>
      <c r="G859">
        <v>1385.1049805</v>
      </c>
      <c r="H859">
        <v>1371.0639647999999</v>
      </c>
      <c r="I859">
        <v>1286.9902344</v>
      </c>
      <c r="J859">
        <v>1267.6453856999999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403.14809000000002</v>
      </c>
      <c r="B860" s="1">
        <f>DATE(2011,6,8) + TIME(3,33,15)</f>
        <v>40702.148090277777</v>
      </c>
      <c r="C860">
        <v>80</v>
      </c>
      <c r="D860">
        <v>79.939224242999998</v>
      </c>
      <c r="E860">
        <v>50</v>
      </c>
      <c r="F860">
        <v>45.719047545999999</v>
      </c>
      <c r="G860">
        <v>1385.0417480000001</v>
      </c>
      <c r="H860">
        <v>1371.0104980000001</v>
      </c>
      <c r="I860">
        <v>1286.9655762</v>
      </c>
      <c r="J860">
        <v>1267.6129149999999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403.83684499999998</v>
      </c>
      <c r="B861" s="1">
        <f>DATE(2011,6,8) + TIME(20,5,3)</f>
        <v>40702.836840277778</v>
      </c>
      <c r="C861">
        <v>80</v>
      </c>
      <c r="D861">
        <v>79.939239502000007</v>
      </c>
      <c r="E861">
        <v>50</v>
      </c>
      <c r="F861">
        <v>45.660858154000003</v>
      </c>
      <c r="G861">
        <v>1384.9788818</v>
      </c>
      <c r="H861">
        <v>1370.9573975000001</v>
      </c>
      <c r="I861">
        <v>1286.9405518000001</v>
      </c>
      <c r="J861">
        <v>1267.5795897999999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404.53499399999998</v>
      </c>
      <c r="B862" s="1">
        <f>DATE(2011,6,9) + TIME(12,50,23)</f>
        <v>40703.534988425927</v>
      </c>
      <c r="C862">
        <v>80</v>
      </c>
      <c r="D862">
        <v>79.939254761000001</v>
      </c>
      <c r="E862">
        <v>50</v>
      </c>
      <c r="F862">
        <v>45.601936340000002</v>
      </c>
      <c r="G862">
        <v>1384.9162598</v>
      </c>
      <c r="H862">
        <v>1370.9042969</v>
      </c>
      <c r="I862">
        <v>1286.9150391000001</v>
      </c>
      <c r="J862">
        <v>1267.5455322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405.24426299999999</v>
      </c>
      <c r="B863" s="1">
        <f>DATE(2011,6,10) + TIME(5,51,44)</f>
        <v>40704.244259259256</v>
      </c>
      <c r="C863">
        <v>80</v>
      </c>
      <c r="D863">
        <v>79.939270019999995</v>
      </c>
      <c r="E863">
        <v>50</v>
      </c>
      <c r="F863">
        <v>45.542327880999999</v>
      </c>
      <c r="G863">
        <v>1384.8537598</v>
      </c>
      <c r="H863">
        <v>1370.8513184000001</v>
      </c>
      <c r="I863">
        <v>1286.8889160000001</v>
      </c>
      <c r="J863">
        <v>1267.5104980000001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405.96648900000002</v>
      </c>
      <c r="B864" s="1">
        <f>DATE(2011,6,10) + TIME(23,11,44)</f>
        <v>40704.966481481482</v>
      </c>
      <c r="C864">
        <v>80</v>
      </c>
      <c r="D864">
        <v>79.939292907999999</v>
      </c>
      <c r="E864">
        <v>50</v>
      </c>
      <c r="F864">
        <v>45.481998443999998</v>
      </c>
      <c r="G864">
        <v>1384.7910156</v>
      </c>
      <c r="H864">
        <v>1370.7982178</v>
      </c>
      <c r="I864">
        <v>1286.8621826000001</v>
      </c>
      <c r="J864">
        <v>1267.4744873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406.70365500000003</v>
      </c>
      <c r="B865" s="1">
        <f>DATE(2011,6,11) + TIME(16,53,15)</f>
        <v>40705.703645833331</v>
      </c>
      <c r="C865">
        <v>80</v>
      </c>
      <c r="D865">
        <v>79.939308166999993</v>
      </c>
      <c r="E865">
        <v>50</v>
      </c>
      <c r="F865">
        <v>45.420837401999997</v>
      </c>
      <c r="G865">
        <v>1384.7281493999999</v>
      </c>
      <c r="H865">
        <v>1370.7448730000001</v>
      </c>
      <c r="I865">
        <v>1286.8345947</v>
      </c>
      <c r="J865">
        <v>1267.4373779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407.457919</v>
      </c>
      <c r="B866" s="1">
        <f>DATE(2011,6,12) + TIME(10,59,24)</f>
        <v>40706.457916666666</v>
      </c>
      <c r="C866">
        <v>80</v>
      </c>
      <c r="D866">
        <v>79.939331054999997</v>
      </c>
      <c r="E866">
        <v>50</v>
      </c>
      <c r="F866">
        <v>45.358715056999998</v>
      </c>
      <c r="G866">
        <v>1384.6649170000001</v>
      </c>
      <c r="H866">
        <v>1370.6910399999999</v>
      </c>
      <c r="I866">
        <v>1286.8061522999999</v>
      </c>
      <c r="J866">
        <v>1267.3989257999999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408.229466</v>
      </c>
      <c r="B867" s="1">
        <f>DATE(2011,6,13) + TIME(5,30,25)</f>
        <v>40707.229456018518</v>
      </c>
      <c r="C867">
        <v>80</v>
      </c>
      <c r="D867">
        <v>79.939353943</v>
      </c>
      <c r="E867">
        <v>50</v>
      </c>
      <c r="F867">
        <v>45.295562744000001</v>
      </c>
      <c r="G867">
        <v>1384.6010742000001</v>
      </c>
      <c r="H867">
        <v>1370.6368408000001</v>
      </c>
      <c r="I867">
        <v>1286.7767334</v>
      </c>
      <c r="J867">
        <v>1267.3591309000001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409.016369</v>
      </c>
      <c r="B868" s="1">
        <f>DATE(2011,6,14) + TIME(0,23,34)</f>
        <v>40708.016365740739</v>
      </c>
      <c r="C868">
        <v>80</v>
      </c>
      <c r="D868">
        <v>79.939376831000004</v>
      </c>
      <c r="E868">
        <v>50</v>
      </c>
      <c r="F868">
        <v>45.231422424000002</v>
      </c>
      <c r="G868">
        <v>1384.5367432</v>
      </c>
      <c r="H868">
        <v>1370.5821533000001</v>
      </c>
      <c r="I868">
        <v>1286.7463379000001</v>
      </c>
      <c r="J868">
        <v>1267.317749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409.80761100000001</v>
      </c>
      <c r="B869" s="1">
        <f>DATE(2011,6,14) + TIME(19,22,57)</f>
        <v>40708.807604166665</v>
      </c>
      <c r="C869">
        <v>80</v>
      </c>
      <c r="D869">
        <v>79.939399718999994</v>
      </c>
      <c r="E869">
        <v>50</v>
      </c>
      <c r="F869">
        <v>45.166751861999998</v>
      </c>
      <c r="G869">
        <v>1384.4719238</v>
      </c>
      <c r="H869">
        <v>1370.5270995999999</v>
      </c>
      <c r="I869">
        <v>1286.7147216999999</v>
      </c>
      <c r="J869">
        <v>1267.2751464999999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410.60104999999999</v>
      </c>
      <c r="B870" s="1">
        <f>DATE(2011,6,15) + TIME(14,25,30)</f>
        <v>40709.601041666669</v>
      </c>
      <c r="C870">
        <v>80</v>
      </c>
      <c r="D870">
        <v>79.939422606999997</v>
      </c>
      <c r="E870">
        <v>50</v>
      </c>
      <c r="F870">
        <v>45.101890564000001</v>
      </c>
      <c r="G870">
        <v>1384.4078368999999</v>
      </c>
      <c r="H870">
        <v>1370.4725341999999</v>
      </c>
      <c r="I870">
        <v>1286.6827393000001</v>
      </c>
      <c r="J870">
        <v>1267.2314452999999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411.39881600000001</v>
      </c>
      <c r="B871" s="1">
        <f>DATE(2011,6,16) + TIME(9,34,17)</f>
        <v>40710.39880787037</v>
      </c>
      <c r="C871">
        <v>80</v>
      </c>
      <c r="D871">
        <v>79.939445496000005</v>
      </c>
      <c r="E871">
        <v>50</v>
      </c>
      <c r="F871">
        <v>45.036914824999997</v>
      </c>
      <c r="G871">
        <v>1384.3443603999999</v>
      </c>
      <c r="H871">
        <v>1370.4185791</v>
      </c>
      <c r="I871">
        <v>1286.6501464999999</v>
      </c>
      <c r="J871">
        <v>1267.1870117000001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412.20255300000002</v>
      </c>
      <c r="B872" s="1">
        <f>DATE(2011,6,17) + TIME(4,51,40)</f>
        <v>40711.202546296299</v>
      </c>
      <c r="C872">
        <v>80</v>
      </c>
      <c r="D872">
        <v>79.939468383999994</v>
      </c>
      <c r="E872">
        <v>50</v>
      </c>
      <c r="F872">
        <v>44.971794127999999</v>
      </c>
      <c r="G872">
        <v>1384.2814940999999</v>
      </c>
      <c r="H872">
        <v>1370.3649902</v>
      </c>
      <c r="I872">
        <v>1286.6169434000001</v>
      </c>
      <c r="J872">
        <v>1267.1417236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413.01421800000003</v>
      </c>
      <c r="B873" s="1">
        <f>DATE(2011,6,18) + TIME(0,20,28)</f>
        <v>40712.01421296296</v>
      </c>
      <c r="C873">
        <v>80</v>
      </c>
      <c r="D873">
        <v>79.939491271999998</v>
      </c>
      <c r="E873">
        <v>50</v>
      </c>
      <c r="F873">
        <v>44.906417847</v>
      </c>
      <c r="G873">
        <v>1384.2189940999999</v>
      </c>
      <c r="H873">
        <v>1370.3116454999999</v>
      </c>
      <c r="I873">
        <v>1286.5831298999999</v>
      </c>
      <c r="J873">
        <v>1267.0952147999999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413.83581199999998</v>
      </c>
      <c r="B874" s="1">
        <f>DATE(2011,6,18) + TIME(20,3,34)</f>
        <v>40712.835810185185</v>
      </c>
      <c r="C874">
        <v>80</v>
      </c>
      <c r="D874">
        <v>79.939521790000001</v>
      </c>
      <c r="E874">
        <v>50</v>
      </c>
      <c r="F874">
        <v>44.840656281000001</v>
      </c>
      <c r="G874">
        <v>1384.1567382999999</v>
      </c>
      <c r="H874">
        <v>1370.2585449000001</v>
      </c>
      <c r="I874">
        <v>1286.5485839999999</v>
      </c>
      <c r="J874">
        <v>1267.0476074000001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414.66944100000001</v>
      </c>
      <c r="B875" s="1">
        <f>DATE(2011,6,19) + TIME(16,3,59)</f>
        <v>40713.669432870367</v>
      </c>
      <c r="C875">
        <v>80</v>
      </c>
      <c r="D875">
        <v>79.939544678000004</v>
      </c>
      <c r="E875">
        <v>50</v>
      </c>
      <c r="F875">
        <v>44.774353026999997</v>
      </c>
      <c r="G875">
        <v>1384.0944824000001</v>
      </c>
      <c r="H875">
        <v>1370.2054443</v>
      </c>
      <c r="I875">
        <v>1286.5130615</v>
      </c>
      <c r="J875">
        <v>1266.9986572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415.51480500000002</v>
      </c>
      <c r="B876" s="1">
        <f>DATE(2011,6,20) + TIME(12,21,19)</f>
        <v>40714.514803240738</v>
      </c>
      <c r="C876">
        <v>80</v>
      </c>
      <c r="D876">
        <v>79.939575195000003</v>
      </c>
      <c r="E876">
        <v>50</v>
      </c>
      <c r="F876">
        <v>44.707435607999997</v>
      </c>
      <c r="G876">
        <v>1384.0322266000001</v>
      </c>
      <c r="H876">
        <v>1370.1522216999999</v>
      </c>
      <c r="I876">
        <v>1286.4765625</v>
      </c>
      <c r="J876">
        <v>1266.9481201000001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416.37129900000002</v>
      </c>
      <c r="B877" s="1">
        <f>DATE(2011,6,21) + TIME(8,54,40)</f>
        <v>40715.371296296296</v>
      </c>
      <c r="C877">
        <v>80</v>
      </c>
      <c r="D877">
        <v>79.939605713000006</v>
      </c>
      <c r="E877">
        <v>50</v>
      </c>
      <c r="F877">
        <v>44.639884948999999</v>
      </c>
      <c r="G877">
        <v>1383.9699707</v>
      </c>
      <c r="H877">
        <v>1370.098999</v>
      </c>
      <c r="I877">
        <v>1286.4390868999999</v>
      </c>
      <c r="J877">
        <v>1266.8961182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417.24105200000002</v>
      </c>
      <c r="B878" s="1">
        <f>DATE(2011,6,22) + TIME(5,47,6)</f>
        <v>40716.241041666668</v>
      </c>
      <c r="C878">
        <v>80</v>
      </c>
      <c r="D878">
        <v>79.939636230000005</v>
      </c>
      <c r="E878">
        <v>50</v>
      </c>
      <c r="F878">
        <v>44.571617126</v>
      </c>
      <c r="G878">
        <v>1383.9077147999999</v>
      </c>
      <c r="H878">
        <v>1370.0457764</v>
      </c>
      <c r="I878">
        <v>1286.4005127</v>
      </c>
      <c r="J878">
        <v>1266.8424072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418.126304</v>
      </c>
      <c r="B879" s="1">
        <f>DATE(2011,6,23) + TIME(3,1,52)</f>
        <v>40717.126296296294</v>
      </c>
      <c r="C879">
        <v>80</v>
      </c>
      <c r="D879">
        <v>79.939666747999993</v>
      </c>
      <c r="E879">
        <v>50</v>
      </c>
      <c r="F879">
        <v>44.502494812000002</v>
      </c>
      <c r="G879">
        <v>1383.8453368999999</v>
      </c>
      <c r="H879">
        <v>1369.9923096</v>
      </c>
      <c r="I879">
        <v>1286.3608397999999</v>
      </c>
      <c r="J879">
        <v>1266.7871094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419.02947</v>
      </c>
      <c r="B880" s="1">
        <f>DATE(2011,6,24) + TIME(0,42,26)</f>
        <v>40718.029467592591</v>
      </c>
      <c r="C880">
        <v>80</v>
      </c>
      <c r="D880">
        <v>79.939697265999996</v>
      </c>
      <c r="E880">
        <v>50</v>
      </c>
      <c r="F880">
        <v>44.432353972999998</v>
      </c>
      <c r="G880">
        <v>1383.7827147999999</v>
      </c>
      <c r="H880">
        <v>1369.9385986</v>
      </c>
      <c r="I880">
        <v>1286.3198242000001</v>
      </c>
      <c r="J880">
        <v>1266.7297363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419.94191000000001</v>
      </c>
      <c r="B881" s="1">
        <f>DATE(2011,6,24) + TIME(22,36,21)</f>
        <v>40718.94190972222</v>
      </c>
      <c r="C881">
        <v>80</v>
      </c>
      <c r="D881">
        <v>79.939735412999994</v>
      </c>
      <c r="E881">
        <v>50</v>
      </c>
      <c r="F881">
        <v>44.361392975000001</v>
      </c>
      <c r="G881">
        <v>1383.7196045000001</v>
      </c>
      <c r="H881">
        <v>1369.8845214999999</v>
      </c>
      <c r="I881">
        <v>1286.2773437999999</v>
      </c>
      <c r="J881">
        <v>1266.6701660000001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420.86259200000001</v>
      </c>
      <c r="B882" s="1">
        <f>DATE(2011,6,25) + TIME(20,42,7)</f>
        <v>40719.862581018519</v>
      </c>
      <c r="C882">
        <v>80</v>
      </c>
      <c r="D882">
        <v>79.939765929999993</v>
      </c>
      <c r="E882">
        <v>50</v>
      </c>
      <c r="F882">
        <v>44.289802551000001</v>
      </c>
      <c r="G882">
        <v>1383.6566161999999</v>
      </c>
      <c r="H882">
        <v>1369.8305664</v>
      </c>
      <c r="I882">
        <v>1286.2337646000001</v>
      </c>
      <c r="J882">
        <v>1266.6090088000001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421.79379399999999</v>
      </c>
      <c r="B883" s="1">
        <f>DATE(2011,6,26) + TIME(19,3,3)</f>
        <v>40720.79378472222</v>
      </c>
      <c r="C883">
        <v>80</v>
      </c>
      <c r="D883">
        <v>79.939804077000005</v>
      </c>
      <c r="E883">
        <v>50</v>
      </c>
      <c r="F883">
        <v>44.217586517000001</v>
      </c>
      <c r="G883">
        <v>1383.5939940999999</v>
      </c>
      <c r="H883">
        <v>1369.7767334</v>
      </c>
      <c r="I883">
        <v>1286.1892089999999</v>
      </c>
      <c r="J883">
        <v>1266.5460204999999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422.73302999999999</v>
      </c>
      <c r="B884" s="1">
        <f>DATE(2011,6,27) + TIME(17,35,33)</f>
        <v>40721.733020833337</v>
      </c>
      <c r="C884">
        <v>80</v>
      </c>
      <c r="D884">
        <v>79.939842224000003</v>
      </c>
      <c r="E884">
        <v>50</v>
      </c>
      <c r="F884">
        <v>44.144809723000002</v>
      </c>
      <c r="G884">
        <v>1383.5314940999999</v>
      </c>
      <c r="H884">
        <v>1369.7229004000001</v>
      </c>
      <c r="I884">
        <v>1286.1434326000001</v>
      </c>
      <c r="J884">
        <v>1266.4812012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423.67835500000001</v>
      </c>
      <c r="B885" s="1">
        <f>DATE(2011,6,28) + TIME(16,16,49)</f>
        <v>40722.678344907406</v>
      </c>
      <c r="C885">
        <v>80</v>
      </c>
      <c r="D885">
        <v>79.939872742000006</v>
      </c>
      <c r="E885">
        <v>50</v>
      </c>
      <c r="F885">
        <v>44.071575164999999</v>
      </c>
      <c r="G885">
        <v>1383.4692382999999</v>
      </c>
      <c r="H885">
        <v>1369.6693115</v>
      </c>
      <c r="I885">
        <v>1286.0965576000001</v>
      </c>
      <c r="J885">
        <v>1266.4146728999999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424.630965</v>
      </c>
      <c r="B886" s="1">
        <f>DATE(2011,6,29) + TIME(15,8,35)</f>
        <v>40723.630960648145</v>
      </c>
      <c r="C886">
        <v>80</v>
      </c>
      <c r="D886">
        <v>79.939910889000004</v>
      </c>
      <c r="E886">
        <v>50</v>
      </c>
      <c r="F886">
        <v>43.997898102000001</v>
      </c>
      <c r="G886">
        <v>1383.4073486</v>
      </c>
      <c r="H886">
        <v>1369.6160889</v>
      </c>
      <c r="I886">
        <v>1286.0485839999999</v>
      </c>
      <c r="J886">
        <v>1266.3463135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425.59269699999999</v>
      </c>
      <c r="B887" s="1">
        <f>DATE(2011,6,30) + TIME(14,13,29)</f>
        <v>40724.59269675926</v>
      </c>
      <c r="C887">
        <v>80</v>
      </c>
      <c r="D887">
        <v>79.939949036000002</v>
      </c>
      <c r="E887">
        <v>50</v>
      </c>
      <c r="F887">
        <v>43.923702239999997</v>
      </c>
      <c r="G887">
        <v>1383.3457031</v>
      </c>
      <c r="H887">
        <v>1369.5629882999999</v>
      </c>
      <c r="I887">
        <v>1285.9996338000001</v>
      </c>
      <c r="J887">
        <v>1266.2762451000001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426</v>
      </c>
      <c r="B888" s="1">
        <f>DATE(2011,7,1) + TIME(0,0,0)</f>
        <v>40725</v>
      </c>
      <c r="C888">
        <v>80</v>
      </c>
      <c r="D888">
        <v>79.939956664999997</v>
      </c>
      <c r="E888">
        <v>50</v>
      </c>
      <c r="F888">
        <v>43.877017975000001</v>
      </c>
      <c r="G888">
        <v>1383.2843018000001</v>
      </c>
      <c r="H888">
        <v>1369.5100098</v>
      </c>
      <c r="I888">
        <v>1285.9482422000001</v>
      </c>
      <c r="J888">
        <v>1266.2110596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426.973139</v>
      </c>
      <c r="B889" s="1">
        <f>DATE(2011,7,1) + TIME(23,21,19)</f>
        <v>40725.973136574074</v>
      </c>
      <c r="C889">
        <v>80</v>
      </c>
      <c r="D889">
        <v>79.940002441000004</v>
      </c>
      <c r="E889">
        <v>50</v>
      </c>
      <c r="F889">
        <v>43.810665131</v>
      </c>
      <c r="G889">
        <v>1383.2583007999999</v>
      </c>
      <c r="H889">
        <v>1369.4875488</v>
      </c>
      <c r="I889">
        <v>1285.9273682</v>
      </c>
      <c r="J889">
        <v>1266.1701660000001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427.96678800000001</v>
      </c>
      <c r="B890" s="1">
        <f>DATE(2011,7,2) + TIME(23,12,10)</f>
        <v>40726.966782407406</v>
      </c>
      <c r="C890">
        <v>80</v>
      </c>
      <c r="D890">
        <v>79.940048218000001</v>
      </c>
      <c r="E890">
        <v>50</v>
      </c>
      <c r="F890">
        <v>43.738475800000003</v>
      </c>
      <c r="G890">
        <v>1383.1975098</v>
      </c>
      <c r="H890">
        <v>1369.4350586</v>
      </c>
      <c r="I890">
        <v>1285.8757324000001</v>
      </c>
      <c r="J890">
        <v>1266.0969238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428.97771999999998</v>
      </c>
      <c r="B891" s="1">
        <f>DATE(2011,7,3) + TIME(23,27,54)</f>
        <v>40727.977708333332</v>
      </c>
      <c r="C891">
        <v>80</v>
      </c>
      <c r="D891">
        <v>79.940086364999999</v>
      </c>
      <c r="E891">
        <v>50</v>
      </c>
      <c r="F891">
        <v>43.662948608000001</v>
      </c>
      <c r="G891">
        <v>1383.1359863</v>
      </c>
      <c r="H891">
        <v>1369.3819579999999</v>
      </c>
      <c r="I891">
        <v>1285.8220214999999</v>
      </c>
      <c r="J891">
        <v>1266.0196533000001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430.00458300000003</v>
      </c>
      <c r="B892" s="1">
        <f>DATE(2011,7,5) + TIME(0,6,35)</f>
        <v>40729.004571759258</v>
      </c>
      <c r="C892">
        <v>80</v>
      </c>
      <c r="D892">
        <v>79.940132141000007</v>
      </c>
      <c r="E892">
        <v>50</v>
      </c>
      <c r="F892">
        <v>43.585262299</v>
      </c>
      <c r="G892">
        <v>1383.0740966999999</v>
      </c>
      <c r="H892">
        <v>1369.3283690999999</v>
      </c>
      <c r="I892">
        <v>1285.7664795000001</v>
      </c>
      <c r="J892">
        <v>1265.9392089999999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431.03959300000002</v>
      </c>
      <c r="B893" s="1">
        <f>DATE(2011,7,6) + TIME(0,57,0)</f>
        <v>40730.039583333331</v>
      </c>
      <c r="C893">
        <v>80</v>
      </c>
      <c r="D893">
        <v>79.940177917</v>
      </c>
      <c r="E893">
        <v>50</v>
      </c>
      <c r="F893">
        <v>43.506187439000001</v>
      </c>
      <c r="G893">
        <v>1383.0120850000001</v>
      </c>
      <c r="H893">
        <v>1369.2746582</v>
      </c>
      <c r="I893">
        <v>1285.7091064000001</v>
      </c>
      <c r="J893">
        <v>1265.855957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432.08533699999998</v>
      </c>
      <c r="B894" s="1">
        <f>DATE(2011,7,7) + TIME(2,2,53)</f>
        <v>40731.085335648146</v>
      </c>
      <c r="C894">
        <v>80</v>
      </c>
      <c r="D894">
        <v>79.940223693999997</v>
      </c>
      <c r="E894">
        <v>50</v>
      </c>
      <c r="F894">
        <v>43.426052093999999</v>
      </c>
      <c r="G894">
        <v>1382.9501952999999</v>
      </c>
      <c r="H894">
        <v>1369.2210693</v>
      </c>
      <c r="I894">
        <v>1285.6503906</v>
      </c>
      <c r="J894">
        <v>1265.7701416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433.14443199999999</v>
      </c>
      <c r="B895" s="1">
        <f>DATE(2011,7,8) + TIME(3,27,58)</f>
        <v>40732.144421296296</v>
      </c>
      <c r="C895">
        <v>80</v>
      </c>
      <c r="D895">
        <v>79.940269470000004</v>
      </c>
      <c r="E895">
        <v>50</v>
      </c>
      <c r="F895">
        <v>43.344867706000002</v>
      </c>
      <c r="G895">
        <v>1382.8885498</v>
      </c>
      <c r="H895">
        <v>1369.1676024999999</v>
      </c>
      <c r="I895">
        <v>1285.5902100000001</v>
      </c>
      <c r="J895">
        <v>1265.6817627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434.21964000000003</v>
      </c>
      <c r="B896" s="1">
        <f>DATE(2011,7,9) + TIME(5,16,16)</f>
        <v>40733.219629629632</v>
      </c>
      <c r="C896">
        <v>80</v>
      </c>
      <c r="D896">
        <v>79.940315247000001</v>
      </c>
      <c r="E896">
        <v>50</v>
      </c>
      <c r="F896">
        <v>43.262504577999998</v>
      </c>
      <c r="G896">
        <v>1382.8267822</v>
      </c>
      <c r="H896">
        <v>1369.1140137</v>
      </c>
      <c r="I896">
        <v>1285.5283202999999</v>
      </c>
      <c r="J896">
        <v>1265.5904541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435.30295000000001</v>
      </c>
      <c r="B897" s="1">
        <f>DATE(2011,7,10) + TIME(7,16,14)</f>
        <v>40734.302939814814</v>
      </c>
      <c r="C897">
        <v>80</v>
      </c>
      <c r="D897">
        <v>79.940361022999994</v>
      </c>
      <c r="E897">
        <v>50</v>
      </c>
      <c r="F897">
        <v>43.179103851000001</v>
      </c>
      <c r="G897">
        <v>1382.7648925999999</v>
      </c>
      <c r="H897">
        <v>1369.0603027</v>
      </c>
      <c r="I897">
        <v>1285.4644774999999</v>
      </c>
      <c r="J897">
        <v>1265.4962158000001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436.393304</v>
      </c>
      <c r="B898" s="1">
        <f>DATE(2011,7,11) + TIME(9,26,21)</f>
        <v>40735.39329861111</v>
      </c>
      <c r="C898">
        <v>80</v>
      </c>
      <c r="D898">
        <v>79.940406799000002</v>
      </c>
      <c r="E898">
        <v>50</v>
      </c>
      <c r="F898">
        <v>43.094860077</v>
      </c>
      <c r="G898">
        <v>1382.7032471</v>
      </c>
      <c r="H898">
        <v>1369.0065918</v>
      </c>
      <c r="I898">
        <v>1285.3991699000001</v>
      </c>
      <c r="J898">
        <v>1265.3994141000001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437.49442399999998</v>
      </c>
      <c r="B899" s="1">
        <f>DATE(2011,7,12) + TIME(11,51,58)</f>
        <v>40736.494421296295</v>
      </c>
      <c r="C899">
        <v>80</v>
      </c>
      <c r="D899">
        <v>79.940460204999994</v>
      </c>
      <c r="E899">
        <v>50</v>
      </c>
      <c r="F899">
        <v>43.009731293000002</v>
      </c>
      <c r="G899">
        <v>1382.6419678</v>
      </c>
      <c r="H899">
        <v>1368.9532471</v>
      </c>
      <c r="I899">
        <v>1285.3325195</v>
      </c>
      <c r="J899">
        <v>1265.3001709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438.60895499999998</v>
      </c>
      <c r="B900" s="1">
        <f>DATE(2011,7,13) + TIME(14,36,53)</f>
        <v>40737.608946759261</v>
      </c>
      <c r="C900">
        <v>80</v>
      </c>
      <c r="D900">
        <v>79.940505981000001</v>
      </c>
      <c r="E900">
        <v>50</v>
      </c>
      <c r="F900">
        <v>42.923553466999998</v>
      </c>
      <c r="G900">
        <v>1382.5806885</v>
      </c>
      <c r="H900">
        <v>1368.8999022999999</v>
      </c>
      <c r="I900">
        <v>1285.2641602000001</v>
      </c>
      <c r="J900">
        <v>1265.1979980000001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439.73971399999999</v>
      </c>
      <c r="B901" s="1">
        <f>DATE(2011,7,14) + TIME(17,45,11)</f>
        <v>40738.739710648151</v>
      </c>
      <c r="C901">
        <v>80</v>
      </c>
      <c r="D901">
        <v>79.940559386999993</v>
      </c>
      <c r="E901">
        <v>50</v>
      </c>
      <c r="F901">
        <v>42.836109161000003</v>
      </c>
      <c r="G901">
        <v>1382.5194091999999</v>
      </c>
      <c r="H901">
        <v>1368.8464355000001</v>
      </c>
      <c r="I901">
        <v>1285.1940918</v>
      </c>
      <c r="J901">
        <v>1265.0926514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440.88965400000001</v>
      </c>
      <c r="B902" s="1">
        <f>DATE(2011,7,15) + TIME(21,21,6)</f>
        <v>40739.889652777776</v>
      </c>
      <c r="C902">
        <v>80</v>
      </c>
      <c r="D902">
        <v>79.940612793</v>
      </c>
      <c r="E902">
        <v>50</v>
      </c>
      <c r="F902">
        <v>42.747165680000002</v>
      </c>
      <c r="G902">
        <v>1382.4580077999999</v>
      </c>
      <c r="H902">
        <v>1368.7928466999999</v>
      </c>
      <c r="I902">
        <v>1285.1218262</v>
      </c>
      <c r="J902">
        <v>1264.9840088000001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442.04768799999999</v>
      </c>
      <c r="B903" s="1">
        <f>DATE(2011,7,17) + TIME(1,8,40)</f>
        <v>40741.047685185185</v>
      </c>
      <c r="C903">
        <v>80</v>
      </c>
      <c r="D903">
        <v>79.940666199000006</v>
      </c>
      <c r="E903">
        <v>50</v>
      </c>
      <c r="F903">
        <v>42.656898499</v>
      </c>
      <c r="G903">
        <v>1382.3962402</v>
      </c>
      <c r="H903">
        <v>1368.7388916</v>
      </c>
      <c r="I903">
        <v>1285.0474853999999</v>
      </c>
      <c r="J903">
        <v>1264.871582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443.21646800000002</v>
      </c>
      <c r="B904" s="1">
        <f>DATE(2011,7,18) + TIME(5,11,42)</f>
        <v>40742.216458333336</v>
      </c>
      <c r="C904">
        <v>80</v>
      </c>
      <c r="D904">
        <v>79.940719603999995</v>
      </c>
      <c r="E904">
        <v>50</v>
      </c>
      <c r="F904">
        <v>42.56546402</v>
      </c>
      <c r="G904">
        <v>1382.3347168</v>
      </c>
      <c r="H904">
        <v>1368.6851807</v>
      </c>
      <c r="I904">
        <v>1284.9714355000001</v>
      </c>
      <c r="J904">
        <v>1264.7562256000001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444.39894800000002</v>
      </c>
      <c r="B905" s="1">
        <f>DATE(2011,7,19) + TIME(9,34,29)</f>
        <v>40743.398946759262</v>
      </c>
      <c r="C905">
        <v>80</v>
      </c>
      <c r="D905">
        <v>79.940773010000001</v>
      </c>
      <c r="E905">
        <v>50</v>
      </c>
      <c r="F905">
        <v>42.472782135000003</v>
      </c>
      <c r="G905">
        <v>1382.2733154</v>
      </c>
      <c r="H905">
        <v>1368.6313477000001</v>
      </c>
      <c r="I905">
        <v>1284.8937988</v>
      </c>
      <c r="J905">
        <v>1264.6378173999999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445.59468600000002</v>
      </c>
      <c r="B906" s="1">
        <f>DATE(2011,7,20) + TIME(14,16,20)</f>
        <v>40744.594675925924</v>
      </c>
      <c r="C906">
        <v>80</v>
      </c>
      <c r="D906">
        <v>79.940826415999993</v>
      </c>
      <c r="E906">
        <v>50</v>
      </c>
      <c r="F906">
        <v>42.378757477000001</v>
      </c>
      <c r="G906">
        <v>1382.2119141000001</v>
      </c>
      <c r="H906">
        <v>1368.5775146000001</v>
      </c>
      <c r="I906">
        <v>1284.8140868999999</v>
      </c>
      <c r="J906">
        <v>1264.5158690999999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446.801624</v>
      </c>
      <c r="B907" s="1">
        <f>DATE(2011,7,21) + TIME(19,14,20)</f>
        <v>40745.801620370374</v>
      </c>
      <c r="C907">
        <v>80</v>
      </c>
      <c r="D907">
        <v>79.940887450999995</v>
      </c>
      <c r="E907">
        <v>50</v>
      </c>
      <c r="F907">
        <v>42.283420563</v>
      </c>
      <c r="G907">
        <v>1382.1505127</v>
      </c>
      <c r="H907">
        <v>1368.5236815999999</v>
      </c>
      <c r="I907">
        <v>1284.7325439000001</v>
      </c>
      <c r="J907">
        <v>1264.390625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448.022671</v>
      </c>
      <c r="B908" s="1">
        <f>DATE(2011,7,23) + TIME(0,32,38)</f>
        <v>40747.022662037038</v>
      </c>
      <c r="C908">
        <v>80</v>
      </c>
      <c r="D908">
        <v>79.940940857000001</v>
      </c>
      <c r="E908">
        <v>50</v>
      </c>
      <c r="F908">
        <v>42.186714172000002</v>
      </c>
      <c r="G908">
        <v>1382.0892334</v>
      </c>
      <c r="H908">
        <v>1368.4698486</v>
      </c>
      <c r="I908">
        <v>1284.6491699000001</v>
      </c>
      <c r="J908">
        <v>1264.2619629000001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449.26085</v>
      </c>
      <c r="B909" s="1">
        <f>DATE(2011,7,24) + TIME(6,15,37)</f>
        <v>40748.260844907411</v>
      </c>
      <c r="C909">
        <v>80</v>
      </c>
      <c r="D909">
        <v>79.941001892000003</v>
      </c>
      <c r="E909">
        <v>50</v>
      </c>
      <c r="F909">
        <v>42.088466644</v>
      </c>
      <c r="G909">
        <v>1382.027832</v>
      </c>
      <c r="H909">
        <v>1368.4158935999999</v>
      </c>
      <c r="I909">
        <v>1284.5638428</v>
      </c>
      <c r="J909">
        <v>1264.1297606999999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450.51699500000001</v>
      </c>
      <c r="B910" s="1">
        <f>DATE(2011,7,25) + TIME(12,24,28)</f>
        <v>40749.51699074074</v>
      </c>
      <c r="C910">
        <v>80</v>
      </c>
      <c r="D910">
        <v>79.941062927000004</v>
      </c>
      <c r="E910">
        <v>50</v>
      </c>
      <c r="F910">
        <v>41.988513947000001</v>
      </c>
      <c r="G910">
        <v>1381.9661865</v>
      </c>
      <c r="H910">
        <v>1368.3616943</v>
      </c>
      <c r="I910">
        <v>1284.4763184000001</v>
      </c>
      <c r="J910">
        <v>1263.9935303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451.78865400000001</v>
      </c>
      <c r="B911" s="1">
        <f>DATE(2011,7,26) + TIME(18,55,39)</f>
        <v>40750.788645833331</v>
      </c>
      <c r="C911">
        <v>80</v>
      </c>
      <c r="D911">
        <v>79.941116332999997</v>
      </c>
      <c r="E911">
        <v>50</v>
      </c>
      <c r="F911">
        <v>41.886840820000003</v>
      </c>
      <c r="G911">
        <v>1381.9044189000001</v>
      </c>
      <c r="H911">
        <v>1368.307251</v>
      </c>
      <c r="I911">
        <v>1284.3865966999999</v>
      </c>
      <c r="J911">
        <v>1263.8533935999999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453.07435099999998</v>
      </c>
      <c r="B912" s="1">
        <f>DATE(2011,7,28) + TIME(1,47,3)</f>
        <v>40752.074340277781</v>
      </c>
      <c r="C912">
        <v>80</v>
      </c>
      <c r="D912">
        <v>79.941184997999997</v>
      </c>
      <c r="E912">
        <v>50</v>
      </c>
      <c r="F912">
        <v>41.783538817999997</v>
      </c>
      <c r="G912">
        <v>1381.8425293</v>
      </c>
      <c r="H912">
        <v>1368.2526855000001</v>
      </c>
      <c r="I912">
        <v>1284.2947998</v>
      </c>
      <c r="J912">
        <v>1263.7093506000001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454.368627</v>
      </c>
      <c r="B913" s="1">
        <f>DATE(2011,7,29) + TIME(8,50,49)</f>
        <v>40753.368622685186</v>
      </c>
      <c r="C913">
        <v>80</v>
      </c>
      <c r="D913">
        <v>79.941246032999999</v>
      </c>
      <c r="E913">
        <v>50</v>
      </c>
      <c r="F913">
        <v>41.678833007999998</v>
      </c>
      <c r="G913">
        <v>1381.7805175999999</v>
      </c>
      <c r="H913">
        <v>1368.1979980000001</v>
      </c>
      <c r="I913">
        <v>1284.2010498</v>
      </c>
      <c r="J913">
        <v>1263.5616454999999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455.674733</v>
      </c>
      <c r="B914" s="1">
        <f>DATE(2011,7,30) + TIME(16,11,36)</f>
        <v>40754.674722222226</v>
      </c>
      <c r="C914">
        <v>80</v>
      </c>
      <c r="D914">
        <v>79.941307068</v>
      </c>
      <c r="E914">
        <v>50</v>
      </c>
      <c r="F914">
        <v>41.572845459</v>
      </c>
      <c r="G914">
        <v>1381.71875</v>
      </c>
      <c r="H914">
        <v>1368.1434326000001</v>
      </c>
      <c r="I914">
        <v>1284.1058350000001</v>
      </c>
      <c r="J914">
        <v>1263.4107666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456.33736699999997</v>
      </c>
      <c r="B915" s="1">
        <f>DATE(2011,7,31) + TIME(8,5,48)</f>
        <v>40755.337361111109</v>
      </c>
      <c r="C915">
        <v>80</v>
      </c>
      <c r="D915">
        <v>79.941329956000004</v>
      </c>
      <c r="E915">
        <v>50</v>
      </c>
      <c r="F915">
        <v>41.493782043000003</v>
      </c>
      <c r="G915">
        <v>1381.6568603999999</v>
      </c>
      <c r="H915">
        <v>1368.0887451000001</v>
      </c>
      <c r="I915">
        <v>1284.0102539</v>
      </c>
      <c r="J915">
        <v>1263.2694091999999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457</v>
      </c>
      <c r="B916" s="1">
        <f>DATE(2011,8,1) + TIME(0,0,0)</f>
        <v>40756</v>
      </c>
      <c r="C916">
        <v>80</v>
      </c>
      <c r="D916">
        <v>79.941360474000007</v>
      </c>
      <c r="E916">
        <v>50</v>
      </c>
      <c r="F916">
        <v>41.426177979000002</v>
      </c>
      <c r="G916">
        <v>1381.6253661999999</v>
      </c>
      <c r="H916">
        <v>1368.0607910000001</v>
      </c>
      <c r="I916">
        <v>1283.9578856999999</v>
      </c>
      <c r="J916">
        <v>1263.1807861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458.325267</v>
      </c>
      <c r="B917" s="1">
        <f>DATE(2011,8,2) + TIME(7,48,23)</f>
        <v>40757.325266203705</v>
      </c>
      <c r="C917">
        <v>80</v>
      </c>
      <c r="D917">
        <v>79.941429138000004</v>
      </c>
      <c r="E917">
        <v>50</v>
      </c>
      <c r="F917">
        <v>41.342441559000001</v>
      </c>
      <c r="G917">
        <v>1381.5948486</v>
      </c>
      <c r="H917">
        <v>1368.0338135</v>
      </c>
      <c r="I917">
        <v>1283.9060059000001</v>
      </c>
      <c r="J917">
        <v>1263.0864257999999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459.65720599999997</v>
      </c>
      <c r="B918" s="1">
        <f>DATE(2011,8,3) + TIME(15,46,22)</f>
        <v>40758.657199074078</v>
      </c>
      <c r="C918">
        <v>80</v>
      </c>
      <c r="D918">
        <v>79.941497803000004</v>
      </c>
      <c r="E918">
        <v>50</v>
      </c>
      <c r="F918">
        <v>41.241962432999998</v>
      </c>
      <c r="G918">
        <v>1381.5338135</v>
      </c>
      <c r="H918">
        <v>1367.9796143000001</v>
      </c>
      <c r="I918">
        <v>1283.8085937999999</v>
      </c>
      <c r="J918">
        <v>1262.9334716999999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461.00493399999999</v>
      </c>
      <c r="B919" s="1">
        <f>DATE(2011,8,5) + TIME(0,7,6)</f>
        <v>40760.004930555559</v>
      </c>
      <c r="C919">
        <v>80</v>
      </c>
      <c r="D919">
        <v>79.941566467000001</v>
      </c>
      <c r="E919">
        <v>50</v>
      </c>
      <c r="F919">
        <v>41.134746552000003</v>
      </c>
      <c r="G919">
        <v>1381.4726562000001</v>
      </c>
      <c r="H919">
        <v>1367.9254149999999</v>
      </c>
      <c r="I919">
        <v>1283.708374</v>
      </c>
      <c r="J919">
        <v>1262.7728271000001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462.371714</v>
      </c>
      <c r="B920" s="1">
        <f>DATE(2011,8,6) + TIME(8,55,16)</f>
        <v>40761.371712962966</v>
      </c>
      <c r="C920">
        <v>80</v>
      </c>
      <c r="D920">
        <v>79.941627502000003</v>
      </c>
      <c r="E920">
        <v>50</v>
      </c>
      <c r="F920">
        <v>41.024124145999998</v>
      </c>
      <c r="G920">
        <v>1381.4113769999999</v>
      </c>
      <c r="H920">
        <v>1367.8709716999999</v>
      </c>
      <c r="I920">
        <v>1283.605957</v>
      </c>
      <c r="J920">
        <v>1262.6070557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463.7611</v>
      </c>
      <c r="B921" s="1">
        <f>DATE(2011,8,7) + TIME(18,15,59)</f>
        <v>40762.761099537034</v>
      </c>
      <c r="C921">
        <v>80</v>
      </c>
      <c r="D921">
        <v>79.941696167000003</v>
      </c>
      <c r="E921">
        <v>50</v>
      </c>
      <c r="F921">
        <v>40.911178589000002</v>
      </c>
      <c r="G921">
        <v>1381.3498535000001</v>
      </c>
      <c r="H921">
        <v>1367.8162841999999</v>
      </c>
      <c r="I921">
        <v>1283.5014647999999</v>
      </c>
      <c r="J921">
        <v>1262.4367675999999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465.167823</v>
      </c>
      <c r="B922" s="1">
        <f>DATE(2011,8,9) + TIME(4,1,39)</f>
        <v>40764.167812500003</v>
      </c>
      <c r="C922">
        <v>80</v>
      </c>
      <c r="D922">
        <v>79.941764832000004</v>
      </c>
      <c r="E922">
        <v>50</v>
      </c>
      <c r="F922">
        <v>40.796466827000003</v>
      </c>
      <c r="G922">
        <v>1381.2878418</v>
      </c>
      <c r="H922">
        <v>1367.7611084</v>
      </c>
      <c r="I922">
        <v>1283.3948975000001</v>
      </c>
      <c r="J922">
        <v>1262.262207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466.58820800000001</v>
      </c>
      <c r="B923" s="1">
        <f>DATE(2011,8,10) + TIME(14,7,1)</f>
        <v>40765.588206018518</v>
      </c>
      <c r="C923">
        <v>80</v>
      </c>
      <c r="D923">
        <v>79.941841124999996</v>
      </c>
      <c r="E923">
        <v>50</v>
      </c>
      <c r="F923">
        <v>40.680541992000002</v>
      </c>
      <c r="G923">
        <v>1381.2255858999999</v>
      </c>
      <c r="H923">
        <v>1367.7056885</v>
      </c>
      <c r="I923">
        <v>1283.2867432</v>
      </c>
      <c r="J923">
        <v>1262.0841064000001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468.02593200000001</v>
      </c>
      <c r="B924" s="1">
        <f>DATE(2011,8,12) + TIME(0,37,20)</f>
        <v>40767.025925925926</v>
      </c>
      <c r="C924">
        <v>80</v>
      </c>
      <c r="D924">
        <v>79.941909789999997</v>
      </c>
      <c r="E924">
        <v>50</v>
      </c>
      <c r="F924">
        <v>40.563709258999999</v>
      </c>
      <c r="G924">
        <v>1381.1633300999999</v>
      </c>
      <c r="H924">
        <v>1367.6500243999999</v>
      </c>
      <c r="I924">
        <v>1283.1773682</v>
      </c>
      <c r="J924">
        <v>1261.902832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469.48179599999997</v>
      </c>
      <c r="B925" s="1">
        <f>DATE(2011,8,13) + TIME(11,33,47)</f>
        <v>40768.481793981482</v>
      </c>
      <c r="C925">
        <v>80</v>
      </c>
      <c r="D925">
        <v>79.941978454999997</v>
      </c>
      <c r="E925">
        <v>50</v>
      </c>
      <c r="F925">
        <v>40.446029662999997</v>
      </c>
      <c r="G925">
        <v>1381.1008300999999</v>
      </c>
      <c r="H925">
        <v>1367.5942382999999</v>
      </c>
      <c r="I925">
        <v>1283.0667725000001</v>
      </c>
      <c r="J925">
        <v>1261.7185059000001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470.94242600000001</v>
      </c>
      <c r="B926" s="1">
        <f>DATE(2011,8,14) + TIME(22,37,5)</f>
        <v>40769.942418981482</v>
      </c>
      <c r="C926">
        <v>80</v>
      </c>
      <c r="D926">
        <v>79.942054748999993</v>
      </c>
      <c r="E926">
        <v>50</v>
      </c>
      <c r="F926">
        <v>40.327995299999998</v>
      </c>
      <c r="G926">
        <v>1381.0380858999999</v>
      </c>
      <c r="H926">
        <v>1367.5380858999999</v>
      </c>
      <c r="I926">
        <v>1282.9549560999999</v>
      </c>
      <c r="J926">
        <v>1261.5313721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472.41021899999998</v>
      </c>
      <c r="B927" s="1">
        <f>DATE(2011,8,16) + TIME(9,50,42)</f>
        <v>40771.410208333335</v>
      </c>
      <c r="C927">
        <v>80</v>
      </c>
      <c r="D927">
        <v>79.942123413000004</v>
      </c>
      <c r="E927">
        <v>50</v>
      </c>
      <c r="F927">
        <v>40.210216522000003</v>
      </c>
      <c r="G927">
        <v>1380.9757079999999</v>
      </c>
      <c r="H927">
        <v>1367.4821777</v>
      </c>
      <c r="I927">
        <v>1282.8430175999999</v>
      </c>
      <c r="J927">
        <v>1261.3427733999999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473.888758</v>
      </c>
      <c r="B928" s="1">
        <f>DATE(2011,8,17) + TIME(21,19,48)</f>
        <v>40772.888749999998</v>
      </c>
      <c r="C928">
        <v>80</v>
      </c>
      <c r="D928">
        <v>79.942199707</v>
      </c>
      <c r="E928">
        <v>50</v>
      </c>
      <c r="F928">
        <v>40.092899322999997</v>
      </c>
      <c r="G928">
        <v>1380.9134521000001</v>
      </c>
      <c r="H928">
        <v>1367.4263916</v>
      </c>
      <c r="I928">
        <v>1282.7310791</v>
      </c>
      <c r="J928">
        <v>1261.1530762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475.384906</v>
      </c>
      <c r="B929" s="1">
        <f>DATE(2011,8,19) + TIME(9,14,15)</f>
        <v>40774.384895833333</v>
      </c>
      <c r="C929">
        <v>80</v>
      </c>
      <c r="D929">
        <v>79.942268372000001</v>
      </c>
      <c r="E929">
        <v>50</v>
      </c>
      <c r="F929">
        <v>39.976051331000001</v>
      </c>
      <c r="G929">
        <v>1380.8511963000001</v>
      </c>
      <c r="H929">
        <v>1367.3706055</v>
      </c>
      <c r="I929">
        <v>1282.6191406</v>
      </c>
      <c r="J929">
        <v>1260.9621582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476.90244000000001</v>
      </c>
      <c r="B930" s="1">
        <f>DATE(2011,8,20) + TIME(21,39,30)</f>
        <v>40775.902430555558</v>
      </c>
      <c r="C930">
        <v>80</v>
      </c>
      <c r="D930">
        <v>79.942344665999997</v>
      </c>
      <c r="E930">
        <v>50</v>
      </c>
      <c r="F930">
        <v>39.859661101999997</v>
      </c>
      <c r="G930">
        <v>1380.7886963000001</v>
      </c>
      <c r="H930">
        <v>1367.3144531</v>
      </c>
      <c r="I930">
        <v>1282.5068358999999</v>
      </c>
      <c r="J930">
        <v>1260.7695312000001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477.66746000000001</v>
      </c>
      <c r="B931" s="1">
        <f>DATE(2011,8,21) + TIME(16,1,8)</f>
        <v>40776.667453703703</v>
      </c>
      <c r="C931">
        <v>80</v>
      </c>
      <c r="D931">
        <v>79.942375182999996</v>
      </c>
      <c r="E931">
        <v>50</v>
      </c>
      <c r="F931">
        <v>39.772338867000002</v>
      </c>
      <c r="G931">
        <v>1380.7257079999999</v>
      </c>
      <c r="H931">
        <v>1367.2575684000001</v>
      </c>
      <c r="I931">
        <v>1282.3974608999999</v>
      </c>
      <c r="J931">
        <v>1260.5925293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478.432479</v>
      </c>
      <c r="B932" s="1">
        <f>DATE(2011,8,22) + TIME(10,22,46)</f>
        <v>40777.432476851849</v>
      </c>
      <c r="C932">
        <v>80</v>
      </c>
      <c r="D932">
        <v>79.942413329999994</v>
      </c>
      <c r="E932">
        <v>50</v>
      </c>
      <c r="F932">
        <v>39.700725554999998</v>
      </c>
      <c r="G932">
        <v>1380.6936035000001</v>
      </c>
      <c r="H932">
        <v>1367.2286377</v>
      </c>
      <c r="I932">
        <v>1282.3370361</v>
      </c>
      <c r="J932">
        <v>1260.4820557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479.96251899999999</v>
      </c>
      <c r="B933" s="1">
        <f>DATE(2011,8,23) + TIME(23,6,1)</f>
        <v>40778.962511574071</v>
      </c>
      <c r="C933">
        <v>80</v>
      </c>
      <c r="D933">
        <v>79.942497252999999</v>
      </c>
      <c r="E933">
        <v>50</v>
      </c>
      <c r="F933">
        <v>39.616619110000002</v>
      </c>
      <c r="G933">
        <v>1380.6625977000001</v>
      </c>
      <c r="H933">
        <v>1367.2006836</v>
      </c>
      <c r="I933">
        <v>1282.2769774999999</v>
      </c>
      <c r="J933">
        <v>1260.3663329999999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481.49392599999999</v>
      </c>
      <c r="B934" s="1">
        <f>DATE(2011,8,25) + TIME(11,51,15)</f>
        <v>40780.493923611109</v>
      </c>
      <c r="C934">
        <v>80</v>
      </c>
      <c r="D934">
        <v>79.942573546999995</v>
      </c>
      <c r="E934">
        <v>50</v>
      </c>
      <c r="F934">
        <v>39.515144348</v>
      </c>
      <c r="G934">
        <v>1380.6002197</v>
      </c>
      <c r="H934">
        <v>1367.1445312000001</v>
      </c>
      <c r="I934">
        <v>1282.1704102000001</v>
      </c>
      <c r="J934">
        <v>1260.1839600000001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483.04513400000002</v>
      </c>
      <c r="B935" s="1">
        <f>DATE(2011,8,27) + TIME(1,4,59)</f>
        <v>40782.045127314814</v>
      </c>
      <c r="C935">
        <v>80</v>
      </c>
      <c r="D935">
        <v>79.942649841000005</v>
      </c>
      <c r="E935">
        <v>50</v>
      </c>
      <c r="F935">
        <v>39.410060883</v>
      </c>
      <c r="G935">
        <v>1380.5380858999999</v>
      </c>
      <c r="H935">
        <v>1367.0882568</v>
      </c>
      <c r="I935">
        <v>1282.0628661999999</v>
      </c>
      <c r="J935">
        <v>1259.9962158000001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484.622049</v>
      </c>
      <c r="B936" s="1">
        <f>DATE(2011,8,28) + TIME(14,55,44)</f>
        <v>40783.622037037036</v>
      </c>
      <c r="C936">
        <v>80</v>
      </c>
      <c r="D936">
        <v>79.942733765</v>
      </c>
      <c r="E936">
        <v>50</v>
      </c>
      <c r="F936">
        <v>39.30562973</v>
      </c>
      <c r="G936">
        <v>1380.4754639</v>
      </c>
      <c r="H936">
        <v>1367.0317382999999</v>
      </c>
      <c r="I936">
        <v>1281.9554443</v>
      </c>
      <c r="J936">
        <v>1259.8066406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486.22995300000002</v>
      </c>
      <c r="B937" s="1">
        <f>DATE(2011,8,30) + TIME(5,31,7)</f>
        <v>40785.229942129627</v>
      </c>
      <c r="C937">
        <v>80</v>
      </c>
      <c r="D937">
        <v>79.942810058999996</v>
      </c>
      <c r="E937">
        <v>50</v>
      </c>
      <c r="F937">
        <v>39.203506470000001</v>
      </c>
      <c r="G937">
        <v>1380.4122314000001</v>
      </c>
      <c r="H937">
        <v>1366.9744873</v>
      </c>
      <c r="I937">
        <v>1281.8485106999999</v>
      </c>
      <c r="J937">
        <v>1259.6168213000001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487.84235699999999</v>
      </c>
      <c r="B938" s="1">
        <f>DATE(2011,8,31) + TIME(20,12,59)</f>
        <v>40786.842349537037</v>
      </c>
      <c r="C938">
        <v>80</v>
      </c>
      <c r="D938">
        <v>79.942893982000001</v>
      </c>
      <c r="E938">
        <v>50</v>
      </c>
      <c r="F938">
        <v>39.105224608999997</v>
      </c>
      <c r="G938">
        <v>1380.3481445</v>
      </c>
      <c r="H938">
        <v>1366.9163818</v>
      </c>
      <c r="I938">
        <v>1281.7425536999999</v>
      </c>
      <c r="J938">
        <v>1259.4277344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488</v>
      </c>
      <c r="B939" s="1">
        <f>DATE(2011,9,1) + TIME(0,0,0)</f>
        <v>40787</v>
      </c>
      <c r="C939">
        <v>80</v>
      </c>
      <c r="D939">
        <v>79.942886353000006</v>
      </c>
      <c r="E939">
        <v>50</v>
      </c>
      <c r="F939">
        <v>39.081188202</v>
      </c>
      <c r="G939">
        <v>1380.2877197</v>
      </c>
      <c r="H939">
        <v>1366.8616943</v>
      </c>
      <c r="I939">
        <v>1281.6547852000001</v>
      </c>
      <c r="J939">
        <v>1259.2972411999999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489.61797799999999</v>
      </c>
      <c r="B940" s="1">
        <f>DATE(2011,9,2) + TIME(14,49,53)</f>
        <v>40788.617974537039</v>
      </c>
      <c r="C940">
        <v>80</v>
      </c>
      <c r="D940">
        <v>79.942977905000006</v>
      </c>
      <c r="E940">
        <v>50</v>
      </c>
      <c r="F940">
        <v>38.999362945999998</v>
      </c>
      <c r="G940">
        <v>1380.2777100000001</v>
      </c>
      <c r="H940">
        <v>1366.8522949000001</v>
      </c>
      <c r="I940">
        <v>1281.6269531</v>
      </c>
      <c r="J940">
        <v>1259.2183838000001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491.24477000000002</v>
      </c>
      <c r="B941" s="1">
        <f>DATE(2011,9,4) + TIME(5,52,28)</f>
        <v>40790.244768518518</v>
      </c>
      <c r="C941">
        <v>80</v>
      </c>
      <c r="D941">
        <v>79.943061829000001</v>
      </c>
      <c r="E941">
        <v>50</v>
      </c>
      <c r="F941">
        <v>38.916934967000003</v>
      </c>
      <c r="G941">
        <v>1380.2144774999999</v>
      </c>
      <c r="H941">
        <v>1366.7947998</v>
      </c>
      <c r="I941">
        <v>1281.5289307</v>
      </c>
      <c r="J941">
        <v>1259.0424805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492.87407400000001</v>
      </c>
      <c r="B942" s="1">
        <f>DATE(2011,9,5) + TIME(20,58,39)</f>
        <v>40791.874062499999</v>
      </c>
      <c r="C942">
        <v>80</v>
      </c>
      <c r="D942">
        <v>79.943138122999997</v>
      </c>
      <c r="E942">
        <v>50</v>
      </c>
      <c r="F942">
        <v>38.839763640999998</v>
      </c>
      <c r="G942">
        <v>1380.1507568</v>
      </c>
      <c r="H942">
        <v>1366.7368164</v>
      </c>
      <c r="I942">
        <v>1281.4329834</v>
      </c>
      <c r="J942">
        <v>1258.8686522999999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494.51314500000001</v>
      </c>
      <c r="B943" s="1">
        <f>DATE(2011,9,7) + TIME(12,18,55)</f>
        <v>40793.513136574074</v>
      </c>
      <c r="C943">
        <v>80</v>
      </c>
      <c r="D943">
        <v>79.943222046000002</v>
      </c>
      <c r="E943">
        <v>50</v>
      </c>
      <c r="F943">
        <v>38.770256042</v>
      </c>
      <c r="G943">
        <v>1380.0874022999999</v>
      </c>
      <c r="H943">
        <v>1366.6790771000001</v>
      </c>
      <c r="I943">
        <v>1281.3404541</v>
      </c>
      <c r="J943">
        <v>1258.7000731999999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496.16869800000001</v>
      </c>
      <c r="B944" s="1">
        <f>DATE(2011,9,9) + TIME(4,2,55)</f>
        <v>40795.168692129628</v>
      </c>
      <c r="C944">
        <v>80</v>
      </c>
      <c r="D944">
        <v>79.943305968999994</v>
      </c>
      <c r="E944">
        <v>50</v>
      </c>
      <c r="F944">
        <v>38.709598540999998</v>
      </c>
      <c r="G944">
        <v>1380.0240478999999</v>
      </c>
      <c r="H944">
        <v>1366.6212158000001</v>
      </c>
      <c r="I944">
        <v>1281.2514647999999</v>
      </c>
      <c r="J944">
        <v>1258.5377197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497.85255000000001</v>
      </c>
      <c r="B945" s="1">
        <f>DATE(2011,9,10) + TIME(20,27,40)</f>
        <v>40796.852546296293</v>
      </c>
      <c r="C945">
        <v>80</v>
      </c>
      <c r="D945">
        <v>79.943389893000003</v>
      </c>
      <c r="E945">
        <v>50</v>
      </c>
      <c r="F945">
        <v>38.658683777</v>
      </c>
      <c r="G945">
        <v>1379.9603271000001</v>
      </c>
      <c r="H945">
        <v>1366.5631103999999</v>
      </c>
      <c r="I945">
        <v>1281.1661377</v>
      </c>
      <c r="J945">
        <v>1258.3814697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499.55950999999999</v>
      </c>
      <c r="B946" s="1">
        <f>DATE(2011,9,12) + TIME(13,25,41)</f>
        <v>40798.559502314813</v>
      </c>
      <c r="C946">
        <v>80</v>
      </c>
      <c r="D946">
        <v>79.943473815999994</v>
      </c>
      <c r="E946">
        <v>50</v>
      </c>
      <c r="F946">
        <v>38.618564606</v>
      </c>
      <c r="G946">
        <v>1379.8959961</v>
      </c>
      <c r="H946">
        <v>1366.5041504000001</v>
      </c>
      <c r="I946">
        <v>1281.0842285000001</v>
      </c>
      <c r="J946">
        <v>1258.2315673999999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501.27361300000001</v>
      </c>
      <c r="B947" s="1">
        <f>DATE(2011,9,14) + TIME(6,34,0)</f>
        <v>40800.273611111108</v>
      </c>
      <c r="C947">
        <v>80</v>
      </c>
      <c r="D947">
        <v>79.943557738999999</v>
      </c>
      <c r="E947">
        <v>50</v>
      </c>
      <c r="F947">
        <v>38.590587616000001</v>
      </c>
      <c r="G947">
        <v>1379.8311768000001</v>
      </c>
      <c r="H947">
        <v>1366.4447021000001</v>
      </c>
      <c r="I947">
        <v>1281.0063477000001</v>
      </c>
      <c r="J947">
        <v>1258.0891113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503.001238</v>
      </c>
      <c r="B948" s="1">
        <f>DATE(2011,9,16) + TIME(0,1,46)</f>
        <v>40802.001226851855</v>
      </c>
      <c r="C948">
        <v>80</v>
      </c>
      <c r="D948">
        <v>79.943641662999994</v>
      </c>
      <c r="E948">
        <v>50</v>
      </c>
      <c r="F948">
        <v>38.575901031000001</v>
      </c>
      <c r="G948">
        <v>1379.7664795000001</v>
      </c>
      <c r="H948">
        <v>1366.385376</v>
      </c>
      <c r="I948">
        <v>1280.9331055</v>
      </c>
      <c r="J948">
        <v>1257.9558105000001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504.748017</v>
      </c>
      <c r="B949" s="1">
        <f>DATE(2011,9,17) + TIME(17,57,8)</f>
        <v>40803.74800925926</v>
      </c>
      <c r="C949">
        <v>80</v>
      </c>
      <c r="D949">
        <v>79.943725585999999</v>
      </c>
      <c r="E949">
        <v>50</v>
      </c>
      <c r="F949">
        <v>38.575462340999998</v>
      </c>
      <c r="G949">
        <v>1379.7016602000001</v>
      </c>
      <c r="H949">
        <v>1366.3259277</v>
      </c>
      <c r="I949">
        <v>1280.864624</v>
      </c>
      <c r="J949">
        <v>1257.8319091999999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506.519026</v>
      </c>
      <c r="B950" s="1">
        <f>DATE(2011,9,19) + TIME(12,27,23)</f>
        <v>40805.519016203703</v>
      </c>
      <c r="C950">
        <v>80</v>
      </c>
      <c r="D950">
        <v>79.943817139000004</v>
      </c>
      <c r="E950">
        <v>50</v>
      </c>
      <c r="F950">
        <v>38.590217590000002</v>
      </c>
      <c r="G950">
        <v>1379.6365966999999</v>
      </c>
      <c r="H950">
        <v>1366.2661132999999</v>
      </c>
      <c r="I950">
        <v>1280.8006591999999</v>
      </c>
      <c r="J950">
        <v>1257.7175293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508.30805500000002</v>
      </c>
      <c r="B951" s="1">
        <f>DATE(2011,9,21) + TIME(7,23,35)</f>
        <v>40807.30804398148</v>
      </c>
      <c r="C951">
        <v>80</v>
      </c>
      <c r="D951">
        <v>79.943901061999995</v>
      </c>
      <c r="E951">
        <v>50</v>
      </c>
      <c r="F951">
        <v>38.62109375</v>
      </c>
      <c r="G951">
        <v>1379.5710449000001</v>
      </c>
      <c r="H951">
        <v>1366.2058105000001</v>
      </c>
      <c r="I951">
        <v>1280.7413329999999</v>
      </c>
      <c r="J951">
        <v>1257.6129149999999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510.11673300000001</v>
      </c>
      <c r="B952" s="1">
        <f>DATE(2011,9,23) + TIME(2,48,5)</f>
        <v>40809.116724537038</v>
      </c>
      <c r="C952">
        <v>80</v>
      </c>
      <c r="D952">
        <v>79.943992614999999</v>
      </c>
      <c r="E952">
        <v>50</v>
      </c>
      <c r="F952">
        <v>38.668823242000002</v>
      </c>
      <c r="G952">
        <v>1379.5053711</v>
      </c>
      <c r="H952">
        <v>1366.1453856999999</v>
      </c>
      <c r="I952">
        <v>1280.6867675999999</v>
      </c>
      <c r="J952">
        <v>1257.5186768000001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511.02184499999998</v>
      </c>
      <c r="B953" s="1">
        <f>DATE(2011,9,24) + TIME(0,31,27)</f>
        <v>40810.021840277775</v>
      </c>
      <c r="C953">
        <v>80</v>
      </c>
      <c r="D953">
        <v>79.944023131999998</v>
      </c>
      <c r="E953">
        <v>50</v>
      </c>
      <c r="F953">
        <v>38.719615935999997</v>
      </c>
      <c r="G953">
        <v>1379.4396973</v>
      </c>
      <c r="H953">
        <v>1366.0847168</v>
      </c>
      <c r="I953">
        <v>1280.6453856999999</v>
      </c>
      <c r="J953">
        <v>1257.4429932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511.92695800000001</v>
      </c>
      <c r="B954" s="1">
        <f>DATE(2011,9,24) + TIME(22,14,49)</f>
        <v>40810.92695601852</v>
      </c>
      <c r="C954">
        <v>80</v>
      </c>
      <c r="D954">
        <v>79.944068908999995</v>
      </c>
      <c r="E954">
        <v>50</v>
      </c>
      <c r="F954">
        <v>38.766574859999999</v>
      </c>
      <c r="G954">
        <v>1379.4063721</v>
      </c>
      <c r="H954">
        <v>1366.0539550999999</v>
      </c>
      <c r="I954">
        <v>1280.6177978999999</v>
      </c>
      <c r="J954">
        <v>1257.4012451000001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512.83207100000004</v>
      </c>
      <c r="B955" s="1">
        <f>DATE(2011,9,25) + TIME(19,58,10)</f>
        <v>40811.832060185188</v>
      </c>
      <c r="C955">
        <v>80</v>
      </c>
      <c r="D955">
        <v>79.944114685000002</v>
      </c>
      <c r="E955">
        <v>50</v>
      </c>
      <c r="F955">
        <v>38.814105988000001</v>
      </c>
      <c r="G955">
        <v>1379.3737793</v>
      </c>
      <c r="H955">
        <v>1366.0239257999999</v>
      </c>
      <c r="I955">
        <v>1280.5944824000001</v>
      </c>
      <c r="J955">
        <v>1257.3654785000001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514.64229699999999</v>
      </c>
      <c r="B956" s="1">
        <f>DATE(2011,9,27) + TIME(15,24,54)</f>
        <v>40813.642291666663</v>
      </c>
      <c r="C956">
        <v>80</v>
      </c>
      <c r="D956">
        <v>79.944213867000002</v>
      </c>
      <c r="E956">
        <v>50</v>
      </c>
      <c r="F956">
        <v>38.878013611</v>
      </c>
      <c r="G956">
        <v>1379.3416748</v>
      </c>
      <c r="H956">
        <v>1365.9941406</v>
      </c>
      <c r="I956">
        <v>1280.5676269999999</v>
      </c>
      <c r="J956">
        <v>1257.3298339999999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516.45441800000003</v>
      </c>
      <c r="B957" s="1">
        <f>DATE(2011,9,29) + TIME(10,54,21)</f>
        <v>40815.454409722224</v>
      </c>
      <c r="C957">
        <v>80</v>
      </c>
      <c r="D957">
        <v>79.944297790999997</v>
      </c>
      <c r="E957">
        <v>50</v>
      </c>
      <c r="F957">
        <v>38.9765625</v>
      </c>
      <c r="G957">
        <v>1379.2775879000001</v>
      </c>
      <c r="H957">
        <v>1365.9350586</v>
      </c>
      <c r="I957">
        <v>1280.5339355000001</v>
      </c>
      <c r="J957">
        <v>1257.2769774999999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518</v>
      </c>
      <c r="B958" s="1">
        <f>DATE(2011,10,1) + TIME(0,0,0)</f>
        <v>40817</v>
      </c>
      <c r="C958">
        <v>80</v>
      </c>
      <c r="D958">
        <v>79.944374084000003</v>
      </c>
      <c r="E958">
        <v>50</v>
      </c>
      <c r="F958">
        <v>39.090328217</v>
      </c>
      <c r="G958">
        <v>1379.2137451000001</v>
      </c>
      <c r="H958">
        <v>1365.8760986</v>
      </c>
      <c r="I958">
        <v>1280.5035399999999</v>
      </c>
      <c r="J958">
        <v>1257.2330322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519.83530499999995</v>
      </c>
      <c r="B959" s="1">
        <f>DATE(2011,10,2) + TIME(20,2,50)</f>
        <v>40818.835300925923</v>
      </c>
      <c r="C959">
        <v>80</v>
      </c>
      <c r="D959">
        <v>79.944465636999993</v>
      </c>
      <c r="E959">
        <v>50</v>
      </c>
      <c r="F959">
        <v>39.214622497999997</v>
      </c>
      <c r="G959">
        <v>1379.1599120999999</v>
      </c>
      <c r="H959">
        <v>1365.8261719</v>
      </c>
      <c r="I959">
        <v>1280.4757079999999</v>
      </c>
      <c r="J959">
        <v>1257.2012939000001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521.72743800000001</v>
      </c>
      <c r="B960" s="1">
        <f>DATE(2011,10,4) + TIME(17,27,30)</f>
        <v>40820.727430555555</v>
      </c>
      <c r="C960">
        <v>80</v>
      </c>
      <c r="D960">
        <v>79.944557189999998</v>
      </c>
      <c r="E960">
        <v>50</v>
      </c>
      <c r="F960">
        <v>39.361534118999998</v>
      </c>
      <c r="G960">
        <v>1379.0966797000001</v>
      </c>
      <c r="H960">
        <v>1365.7678223</v>
      </c>
      <c r="I960">
        <v>1280.4499512</v>
      </c>
      <c r="J960">
        <v>1257.1727295000001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523.64151000000004</v>
      </c>
      <c r="B961" s="1">
        <f>DATE(2011,10,6) + TIME(15,23,46)</f>
        <v>40822.641504629632</v>
      </c>
      <c r="C961">
        <v>80</v>
      </c>
      <c r="D961">
        <v>79.944648743000002</v>
      </c>
      <c r="E961">
        <v>50</v>
      </c>
      <c r="F961">
        <v>39.526527405000003</v>
      </c>
      <c r="G961">
        <v>1379.0323486</v>
      </c>
      <c r="H961">
        <v>1365.7081298999999</v>
      </c>
      <c r="I961">
        <v>1280.4267577999999</v>
      </c>
      <c r="J961">
        <v>1257.1519774999999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525.59004700000003</v>
      </c>
      <c r="B962" s="1">
        <f>DATE(2011,10,8) + TIME(14,9,40)</f>
        <v>40824.590046296296</v>
      </c>
      <c r="C962">
        <v>80</v>
      </c>
      <c r="D962">
        <v>79.944740295000003</v>
      </c>
      <c r="E962">
        <v>50</v>
      </c>
      <c r="F962">
        <v>39.706390380999999</v>
      </c>
      <c r="G962">
        <v>1378.9680175999999</v>
      </c>
      <c r="H962">
        <v>1365.6486815999999</v>
      </c>
      <c r="I962">
        <v>1280.4064940999999</v>
      </c>
      <c r="J962">
        <v>1257.1394043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526.57890699999996</v>
      </c>
      <c r="B963" s="1">
        <f>DATE(2011,10,9) + TIME(13,53,37)</f>
        <v>40825.578900462962</v>
      </c>
      <c r="C963">
        <v>80</v>
      </c>
      <c r="D963">
        <v>79.944786071999999</v>
      </c>
      <c r="E963">
        <v>50</v>
      </c>
      <c r="F963">
        <v>39.860263824</v>
      </c>
      <c r="G963">
        <v>1378.9035644999999</v>
      </c>
      <c r="H963">
        <v>1365.5889893000001</v>
      </c>
      <c r="I963">
        <v>1280.3990478999999</v>
      </c>
      <c r="J963">
        <v>1257.1342772999999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527.567767</v>
      </c>
      <c r="B964" s="1">
        <f>DATE(2011,10,10) + TIME(13,37,35)</f>
        <v>40826.567766203705</v>
      </c>
      <c r="C964">
        <v>80</v>
      </c>
      <c r="D964">
        <v>79.944831848000007</v>
      </c>
      <c r="E964">
        <v>50</v>
      </c>
      <c r="F964">
        <v>39.984619141000003</v>
      </c>
      <c r="G964">
        <v>1378.8707274999999</v>
      </c>
      <c r="H964">
        <v>1365.5584716999999</v>
      </c>
      <c r="I964">
        <v>1280.3867187999999</v>
      </c>
      <c r="J964">
        <v>1257.1365966999999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528.55662700000005</v>
      </c>
      <c r="B965" s="1">
        <f>DATE(2011,10,11) + TIME(13,21,32)</f>
        <v>40827.556620370371</v>
      </c>
      <c r="C965">
        <v>80</v>
      </c>
      <c r="D965">
        <v>79.944877625000004</v>
      </c>
      <c r="E965">
        <v>50</v>
      </c>
      <c r="F965">
        <v>40.097866058000001</v>
      </c>
      <c r="G965">
        <v>1378.838501</v>
      </c>
      <c r="H965">
        <v>1365.5286865</v>
      </c>
      <c r="I965">
        <v>1280.3778076000001</v>
      </c>
      <c r="J965">
        <v>1257.1395264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529.54548599999998</v>
      </c>
      <c r="B966" s="1">
        <f>DATE(2011,10,12) + TIME(13,5,30)</f>
        <v>40828.545486111114</v>
      </c>
      <c r="C966">
        <v>80</v>
      </c>
      <c r="D966">
        <v>79.944923400999997</v>
      </c>
      <c r="E966">
        <v>50</v>
      </c>
      <c r="F966">
        <v>40.207370758000003</v>
      </c>
      <c r="G966">
        <v>1378.8066406</v>
      </c>
      <c r="H966">
        <v>1365.4991454999999</v>
      </c>
      <c r="I966">
        <v>1280.3708495999999</v>
      </c>
      <c r="J966">
        <v>1257.1434326000001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530.53434600000003</v>
      </c>
      <c r="B967" s="1">
        <f>DATE(2011,10,13) + TIME(12,49,27)</f>
        <v>40829.53434027778</v>
      </c>
      <c r="C967">
        <v>80</v>
      </c>
      <c r="D967">
        <v>79.944969177000004</v>
      </c>
      <c r="E967">
        <v>50</v>
      </c>
      <c r="F967">
        <v>40.316024779999999</v>
      </c>
      <c r="G967">
        <v>1378.7751464999999</v>
      </c>
      <c r="H967">
        <v>1365.4698486</v>
      </c>
      <c r="I967">
        <v>1280.3648682</v>
      </c>
      <c r="J967">
        <v>1257.1485596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531.52320599999996</v>
      </c>
      <c r="B968" s="1">
        <f>DATE(2011,10,14) + TIME(12,33,24)</f>
        <v>40830.523194444446</v>
      </c>
      <c r="C968">
        <v>80</v>
      </c>
      <c r="D968">
        <v>79.945014954000001</v>
      </c>
      <c r="E968">
        <v>50</v>
      </c>
      <c r="F968">
        <v>40.424888611</v>
      </c>
      <c r="G968">
        <v>1378.7437743999999</v>
      </c>
      <c r="H968">
        <v>1365.4407959</v>
      </c>
      <c r="I968">
        <v>1280.3597411999999</v>
      </c>
      <c r="J968">
        <v>1257.1549072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533.50092500000005</v>
      </c>
      <c r="B969" s="1">
        <f>DATE(2011,10,16) + TIME(12,1,19)</f>
        <v>40832.500914351855</v>
      </c>
      <c r="C969">
        <v>80</v>
      </c>
      <c r="D969">
        <v>79.945121764999996</v>
      </c>
      <c r="E969">
        <v>50</v>
      </c>
      <c r="F969">
        <v>40.562168120999999</v>
      </c>
      <c r="G969">
        <v>1378.7127685999999</v>
      </c>
      <c r="H969">
        <v>1365.4121094</v>
      </c>
      <c r="I969">
        <v>1280.348999</v>
      </c>
      <c r="J969">
        <v>1257.1635742000001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535.48355500000002</v>
      </c>
      <c r="B970" s="1">
        <f>DATE(2011,10,18) + TIME(11,36,19)</f>
        <v>40834.483553240738</v>
      </c>
      <c r="C970">
        <v>80</v>
      </c>
      <c r="D970">
        <v>79.945213318</v>
      </c>
      <c r="E970">
        <v>50</v>
      </c>
      <c r="F970">
        <v>40.761764526</v>
      </c>
      <c r="G970">
        <v>1378.6514893000001</v>
      </c>
      <c r="H970">
        <v>1365.3553466999999</v>
      </c>
      <c r="I970">
        <v>1280.3441161999999</v>
      </c>
      <c r="J970">
        <v>1257.177124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537.51005999999995</v>
      </c>
      <c r="B971" s="1">
        <f>DATE(2011,10,20) + TIME(12,14,29)</f>
        <v>40836.510057870371</v>
      </c>
      <c r="C971">
        <v>80</v>
      </c>
      <c r="D971">
        <v>79.9453125</v>
      </c>
      <c r="E971">
        <v>50</v>
      </c>
      <c r="F971">
        <v>40.979957581000001</v>
      </c>
      <c r="G971">
        <v>1378.5908202999999</v>
      </c>
      <c r="H971">
        <v>1365.2990723</v>
      </c>
      <c r="I971">
        <v>1280.338501</v>
      </c>
      <c r="J971">
        <v>1257.1973877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539.58899899999994</v>
      </c>
      <c r="B972" s="1">
        <f>DATE(2011,10,22) + TIME(14,8,9)</f>
        <v>40838.588993055557</v>
      </c>
      <c r="C972">
        <v>80</v>
      </c>
      <c r="D972">
        <v>79.945411682</v>
      </c>
      <c r="E972">
        <v>50</v>
      </c>
      <c r="F972">
        <v>41.206642150999997</v>
      </c>
      <c r="G972">
        <v>1378.5297852000001</v>
      </c>
      <c r="H972">
        <v>1365.2425536999999</v>
      </c>
      <c r="I972">
        <v>1280.3339844</v>
      </c>
      <c r="J972">
        <v>1257.2218018000001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541.69879900000001</v>
      </c>
      <c r="B973" s="1">
        <f>DATE(2011,10,24) + TIME(16,46,16)</f>
        <v>40840.698796296296</v>
      </c>
      <c r="C973">
        <v>80</v>
      </c>
      <c r="D973">
        <v>79.945510863999999</v>
      </c>
      <c r="E973">
        <v>50</v>
      </c>
      <c r="F973">
        <v>41.438110352000002</v>
      </c>
      <c r="G973">
        <v>1378.4683838000001</v>
      </c>
      <c r="H973">
        <v>1365.1855469</v>
      </c>
      <c r="I973">
        <v>1280.3308105000001</v>
      </c>
      <c r="J973">
        <v>1257.2495117000001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543.82369500000004</v>
      </c>
      <c r="B974" s="1">
        <f>DATE(2011,10,26) + TIME(19,46,7)</f>
        <v>40842.823692129627</v>
      </c>
      <c r="C974">
        <v>80</v>
      </c>
      <c r="D974">
        <v>79.945610045999999</v>
      </c>
      <c r="E974">
        <v>50</v>
      </c>
      <c r="F974">
        <v>41.670681000000002</v>
      </c>
      <c r="G974">
        <v>1378.4071045000001</v>
      </c>
      <c r="H974">
        <v>1365.1287841999999</v>
      </c>
      <c r="I974">
        <v>1280.3289795000001</v>
      </c>
      <c r="J974">
        <v>1257.2799072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545.96474599999999</v>
      </c>
      <c r="B975" s="1">
        <f>DATE(2011,10,28) + TIME(23,9,14)</f>
        <v>40844.964745370373</v>
      </c>
      <c r="C975">
        <v>80</v>
      </c>
      <c r="D975">
        <v>79.945709229000002</v>
      </c>
      <c r="E975">
        <v>50</v>
      </c>
      <c r="F975">
        <v>41.901668549</v>
      </c>
      <c r="G975">
        <v>1378.3465576000001</v>
      </c>
      <c r="H975">
        <v>1365.0726318</v>
      </c>
      <c r="I975">
        <v>1280.3283690999999</v>
      </c>
      <c r="J975">
        <v>1257.3123779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548.11892999999998</v>
      </c>
      <c r="B976" s="1">
        <f>DATE(2011,10,31) + TIME(2,51,15)</f>
        <v>40847.118923611109</v>
      </c>
      <c r="C976">
        <v>80</v>
      </c>
      <c r="D976">
        <v>79.945808411000002</v>
      </c>
      <c r="E976">
        <v>50</v>
      </c>
      <c r="F976">
        <v>42.129707336000003</v>
      </c>
      <c r="G976">
        <v>1378.2866211</v>
      </c>
      <c r="H976">
        <v>1365.0170897999999</v>
      </c>
      <c r="I976">
        <v>1280.3288574000001</v>
      </c>
      <c r="J976">
        <v>1257.3463135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549</v>
      </c>
      <c r="B977" s="1">
        <f>DATE(2011,11,1) + TIME(0,0,0)</f>
        <v>40848</v>
      </c>
      <c r="C977">
        <v>80</v>
      </c>
      <c r="D977">
        <v>79.945838928000001</v>
      </c>
      <c r="E977">
        <v>50</v>
      </c>
      <c r="F977">
        <v>42.296817779999998</v>
      </c>
      <c r="G977">
        <v>1378.2277832</v>
      </c>
      <c r="H977">
        <v>1364.9626464999999</v>
      </c>
      <c r="I977">
        <v>1280.3410644999999</v>
      </c>
      <c r="J977">
        <v>1257.3760986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549.000001</v>
      </c>
      <c r="B978" s="1">
        <f>DATE(2011,11,1) + TIME(0,0,0)</f>
        <v>40848</v>
      </c>
      <c r="C978">
        <v>80</v>
      </c>
      <c r="D978">
        <v>79.945686339999995</v>
      </c>
      <c r="E978">
        <v>50</v>
      </c>
      <c r="F978">
        <v>42.296966552999997</v>
      </c>
      <c r="G978">
        <v>1364.0878906</v>
      </c>
      <c r="H978">
        <v>1352.0384521000001</v>
      </c>
      <c r="I978">
        <v>1304.4110106999999</v>
      </c>
      <c r="J978">
        <v>1281.2686768000001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549.00000399999999</v>
      </c>
      <c r="B979" s="1">
        <f>DATE(2011,11,1) + TIME(0,0,0)</f>
        <v>40848</v>
      </c>
      <c r="C979">
        <v>80</v>
      </c>
      <c r="D979">
        <v>79.945304871000005</v>
      </c>
      <c r="E979">
        <v>50</v>
      </c>
      <c r="F979">
        <v>42.297370911000002</v>
      </c>
      <c r="G979">
        <v>1361.8791504000001</v>
      </c>
      <c r="H979">
        <v>1349.8288574000001</v>
      </c>
      <c r="I979">
        <v>1306.8283690999999</v>
      </c>
      <c r="J979">
        <v>1283.7800293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549.00001299999997</v>
      </c>
      <c r="B980" s="1">
        <f>DATE(2011,11,1) + TIME(0,0,1)</f>
        <v>40848.000011574077</v>
      </c>
      <c r="C980">
        <v>80</v>
      </c>
      <c r="D980">
        <v>79.944526671999995</v>
      </c>
      <c r="E980">
        <v>50</v>
      </c>
      <c r="F980">
        <v>42.298339843999997</v>
      </c>
      <c r="G980">
        <v>1357.4244385</v>
      </c>
      <c r="H980">
        <v>1345.3735352000001</v>
      </c>
      <c r="I980">
        <v>1312.4770507999999</v>
      </c>
      <c r="J980">
        <v>1289.5983887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549.00004000000001</v>
      </c>
      <c r="B981" s="1">
        <f>DATE(2011,11,1) + TIME(0,0,3)</f>
        <v>40848.000034722223</v>
      </c>
      <c r="C981">
        <v>80</v>
      </c>
      <c r="D981">
        <v>79.943397521999998</v>
      </c>
      <c r="E981">
        <v>50</v>
      </c>
      <c r="F981">
        <v>42.300186156999999</v>
      </c>
      <c r="G981">
        <v>1350.9251709</v>
      </c>
      <c r="H981">
        <v>1338.8748779</v>
      </c>
      <c r="I981">
        <v>1322.5386963000001</v>
      </c>
      <c r="J981">
        <v>1299.8188477000001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549.00012100000004</v>
      </c>
      <c r="B982" s="1">
        <f>DATE(2011,11,1) + TIME(0,0,10)</f>
        <v>40848.000115740739</v>
      </c>
      <c r="C982">
        <v>80</v>
      </c>
      <c r="D982">
        <v>79.942115783999995</v>
      </c>
      <c r="E982">
        <v>50</v>
      </c>
      <c r="F982">
        <v>42.303001404</v>
      </c>
      <c r="G982">
        <v>1343.6920166</v>
      </c>
      <c r="H982">
        <v>1331.6495361</v>
      </c>
      <c r="I982">
        <v>1335.3112793</v>
      </c>
      <c r="J982">
        <v>1312.6011963000001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549.00036399999999</v>
      </c>
      <c r="B983" s="1">
        <f>DATE(2011,11,1) + TIME(0,0,31)</f>
        <v>40848.000358796293</v>
      </c>
      <c r="C983">
        <v>80</v>
      </c>
      <c r="D983">
        <v>79.94078064</v>
      </c>
      <c r="E983">
        <v>50</v>
      </c>
      <c r="F983">
        <v>42.307800293</v>
      </c>
      <c r="G983">
        <v>1336.4197998</v>
      </c>
      <c r="H983">
        <v>1324.3875731999999</v>
      </c>
      <c r="I983">
        <v>1348.9205322</v>
      </c>
      <c r="J983">
        <v>1326.2249756000001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549.00109299999997</v>
      </c>
      <c r="B984" s="1">
        <f>DATE(2011,11,1) + TIME(0,1,34)</f>
        <v>40848.001087962963</v>
      </c>
      <c r="C984">
        <v>80</v>
      </c>
      <c r="D984">
        <v>79.939285278</v>
      </c>
      <c r="E984">
        <v>50</v>
      </c>
      <c r="F984">
        <v>42.318210602000001</v>
      </c>
      <c r="G984">
        <v>1329.1107178</v>
      </c>
      <c r="H984">
        <v>1317.0675048999999</v>
      </c>
      <c r="I984">
        <v>1362.8919678</v>
      </c>
      <c r="J984">
        <v>1340.2247314000001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549.00328000000002</v>
      </c>
      <c r="B985" s="1">
        <f>DATE(2011,11,1) + TIME(0,4,43)</f>
        <v>40848.003275462965</v>
      </c>
      <c r="C985">
        <v>80</v>
      </c>
      <c r="D985">
        <v>79.937294006000002</v>
      </c>
      <c r="E985">
        <v>50</v>
      </c>
      <c r="F985">
        <v>42.345287323000001</v>
      </c>
      <c r="G985">
        <v>1321.5499268000001</v>
      </c>
      <c r="H985">
        <v>1309.4158935999999</v>
      </c>
      <c r="I985">
        <v>1377.1291504000001</v>
      </c>
      <c r="J985">
        <v>1354.4375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549.00984100000005</v>
      </c>
      <c r="B986" s="1">
        <f>DATE(2011,11,1) + TIME(0,14,10)</f>
        <v>40848.009837962964</v>
      </c>
      <c r="C986">
        <v>80</v>
      </c>
      <c r="D986">
        <v>79.933921814000001</v>
      </c>
      <c r="E986">
        <v>50</v>
      </c>
      <c r="F986">
        <v>42.421798705999997</v>
      </c>
      <c r="G986">
        <v>1313.8812256000001</v>
      </c>
      <c r="H986">
        <v>1301.6221923999999</v>
      </c>
      <c r="I986">
        <v>1390.3305664</v>
      </c>
      <c r="J986">
        <v>1367.5494385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549.02952400000004</v>
      </c>
      <c r="B987" s="1">
        <f>DATE(2011,11,1) + TIME(0,42,30)</f>
        <v>40848.029513888891</v>
      </c>
      <c r="C987">
        <v>80</v>
      </c>
      <c r="D987">
        <v>79.926803589000002</v>
      </c>
      <c r="E987">
        <v>50</v>
      </c>
      <c r="F987">
        <v>42.641590118000003</v>
      </c>
      <c r="G987">
        <v>1307.5128173999999</v>
      </c>
      <c r="H987">
        <v>1295.1889647999999</v>
      </c>
      <c r="I987">
        <v>1399.6165771000001</v>
      </c>
      <c r="J987">
        <v>1376.7979736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549.06977099999995</v>
      </c>
      <c r="B988" s="1">
        <f>DATE(2011,11,1) + TIME(1,40,28)</f>
        <v>40848.069768518515</v>
      </c>
      <c r="C988">
        <v>80</v>
      </c>
      <c r="D988">
        <v>79.914390564000001</v>
      </c>
      <c r="E988">
        <v>50</v>
      </c>
      <c r="F988">
        <v>43.064067841000004</v>
      </c>
      <c r="G988">
        <v>1304.4901123</v>
      </c>
      <c r="H988">
        <v>1292.1483154</v>
      </c>
      <c r="I988">
        <v>1403.0015868999999</v>
      </c>
      <c r="J988">
        <v>1380.2995605000001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549.11178399999994</v>
      </c>
      <c r="B989" s="1">
        <f>DATE(2011,11,1) + TIME(2,40,58)</f>
        <v>40848.11178240741</v>
      </c>
      <c r="C989">
        <v>80</v>
      </c>
      <c r="D989">
        <v>79.902046204000001</v>
      </c>
      <c r="E989">
        <v>50</v>
      </c>
      <c r="F989">
        <v>43.478641510000003</v>
      </c>
      <c r="G989">
        <v>1303.6367187999999</v>
      </c>
      <c r="H989">
        <v>1291.2907714999999</v>
      </c>
      <c r="I989">
        <v>1403.5187988</v>
      </c>
      <c r="J989">
        <v>1380.9659423999999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549.15550900000005</v>
      </c>
      <c r="B990" s="1">
        <f>DATE(2011,11,1) + TIME(3,43,55)</f>
        <v>40848.155497685184</v>
      </c>
      <c r="C990">
        <v>80</v>
      </c>
      <c r="D990">
        <v>79.889518738000007</v>
      </c>
      <c r="E990">
        <v>50</v>
      </c>
      <c r="F990">
        <v>43.883346558</v>
      </c>
      <c r="G990">
        <v>1303.3742675999999</v>
      </c>
      <c r="H990">
        <v>1291.0269774999999</v>
      </c>
      <c r="I990">
        <v>1403.3957519999999</v>
      </c>
      <c r="J990">
        <v>1380.9969481999999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549.20105999999998</v>
      </c>
      <c r="B991" s="1">
        <f>DATE(2011,11,1) + TIME(4,49,31)</f>
        <v>40848.201053240744</v>
      </c>
      <c r="C991">
        <v>80</v>
      </c>
      <c r="D991">
        <v>79.876747131000002</v>
      </c>
      <c r="E991">
        <v>50</v>
      </c>
      <c r="F991">
        <v>44.277770996000001</v>
      </c>
      <c r="G991">
        <v>1303.286499</v>
      </c>
      <c r="H991">
        <v>1290.9383545000001</v>
      </c>
      <c r="I991">
        <v>1403.1378173999999</v>
      </c>
      <c r="J991">
        <v>1380.8902588000001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549.24862399999995</v>
      </c>
      <c r="B992" s="1">
        <f>DATE(2011,11,1) + TIME(5,58,1)</f>
        <v>40848.248622685183</v>
      </c>
      <c r="C992">
        <v>80</v>
      </c>
      <c r="D992">
        <v>79.863662719999994</v>
      </c>
      <c r="E992">
        <v>50</v>
      </c>
      <c r="F992">
        <v>44.661952972000002</v>
      </c>
      <c r="G992">
        <v>1303.2539062000001</v>
      </c>
      <c r="H992">
        <v>1290.9050293</v>
      </c>
      <c r="I992">
        <v>1402.8615723</v>
      </c>
      <c r="J992">
        <v>1380.760376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549.29842699999995</v>
      </c>
      <c r="B993" s="1">
        <f>DATE(2011,11,1) + TIME(7,9,44)</f>
        <v>40848.298425925925</v>
      </c>
      <c r="C993">
        <v>80</v>
      </c>
      <c r="D993">
        <v>79.850219726999995</v>
      </c>
      <c r="E993">
        <v>50</v>
      </c>
      <c r="F993">
        <v>45.035984038999999</v>
      </c>
      <c r="G993">
        <v>1303.2398682</v>
      </c>
      <c r="H993">
        <v>1290.8905029</v>
      </c>
      <c r="I993">
        <v>1402.5913086</v>
      </c>
      <c r="J993">
        <v>1380.6315918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549.35073</v>
      </c>
      <c r="B994" s="1">
        <f>DATE(2011,11,1) + TIME(8,25,3)</f>
        <v>40848.350729166668</v>
      </c>
      <c r="C994">
        <v>80</v>
      </c>
      <c r="D994">
        <v>79.836364746000001</v>
      </c>
      <c r="E994">
        <v>50</v>
      </c>
      <c r="F994">
        <v>45.399902343999997</v>
      </c>
      <c r="G994">
        <v>1303.2324219</v>
      </c>
      <c r="H994">
        <v>1290.8824463000001</v>
      </c>
      <c r="I994">
        <v>1402.3304443</v>
      </c>
      <c r="J994">
        <v>1380.5068358999999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549.40584100000001</v>
      </c>
      <c r="B995" s="1">
        <f>DATE(2011,11,1) + TIME(9,44,24)</f>
        <v>40848.405833333331</v>
      </c>
      <c r="C995">
        <v>80</v>
      </c>
      <c r="D995">
        <v>79.822052002000007</v>
      </c>
      <c r="E995">
        <v>50</v>
      </c>
      <c r="F995">
        <v>45.753723145000002</v>
      </c>
      <c r="G995">
        <v>1303.2275391000001</v>
      </c>
      <c r="H995">
        <v>1290.8770752</v>
      </c>
      <c r="I995">
        <v>1402.0780029</v>
      </c>
      <c r="J995">
        <v>1380.3858643000001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549.46412399999997</v>
      </c>
      <c r="B996" s="1">
        <f>DATE(2011,11,1) + TIME(11,8,20)</f>
        <v>40848.464120370372</v>
      </c>
      <c r="C996">
        <v>80</v>
      </c>
      <c r="D996">
        <v>79.807205199999999</v>
      </c>
      <c r="E996">
        <v>50</v>
      </c>
      <c r="F996">
        <v>46.097434997999997</v>
      </c>
      <c r="G996">
        <v>1303.2235106999999</v>
      </c>
      <c r="H996">
        <v>1290.8724365</v>
      </c>
      <c r="I996">
        <v>1401.8331298999999</v>
      </c>
      <c r="J996">
        <v>1380.2675781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549.52601500000003</v>
      </c>
      <c r="B997" s="1">
        <f>DATE(2011,11,1) + TIME(12,37,27)</f>
        <v>40848.526006944441</v>
      </c>
      <c r="C997">
        <v>80</v>
      </c>
      <c r="D997">
        <v>79.791748046999999</v>
      </c>
      <c r="E997">
        <v>50</v>
      </c>
      <c r="F997">
        <v>46.430976868000002</v>
      </c>
      <c r="G997">
        <v>1303.2197266000001</v>
      </c>
      <c r="H997">
        <v>1290.8679199000001</v>
      </c>
      <c r="I997">
        <v>1401.5949707</v>
      </c>
      <c r="J997">
        <v>1380.1513672000001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549.59204</v>
      </c>
      <c r="B998" s="1">
        <f>DATE(2011,11,1) + TIME(14,12,32)</f>
        <v>40848.592037037037</v>
      </c>
      <c r="C998">
        <v>80</v>
      </c>
      <c r="D998">
        <v>79.775588988999999</v>
      </c>
      <c r="E998">
        <v>50</v>
      </c>
      <c r="F998">
        <v>46.754257201999998</v>
      </c>
      <c r="G998">
        <v>1303.2159423999999</v>
      </c>
      <c r="H998">
        <v>1290.8634033000001</v>
      </c>
      <c r="I998">
        <v>1401.3629149999999</v>
      </c>
      <c r="J998">
        <v>1380.0369873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549.66284599999994</v>
      </c>
      <c r="B999" s="1">
        <f>DATE(2011,11,1) + TIME(15,54,29)</f>
        <v>40848.662835648145</v>
      </c>
      <c r="C999">
        <v>80</v>
      </c>
      <c r="D999">
        <v>79.758613585999996</v>
      </c>
      <c r="E999">
        <v>50</v>
      </c>
      <c r="F999">
        <v>47.067131042</v>
      </c>
      <c r="G999">
        <v>1303.2119141000001</v>
      </c>
      <c r="H999">
        <v>1290.8587646000001</v>
      </c>
      <c r="I999">
        <v>1401.1365966999999</v>
      </c>
      <c r="J999">
        <v>1379.9239502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549.73923300000001</v>
      </c>
      <c r="B1000" s="1">
        <f>DATE(2011,11,1) + TIME(17,44,29)</f>
        <v>40848.739224537036</v>
      </c>
      <c r="C1000">
        <v>80</v>
      </c>
      <c r="D1000">
        <v>79.740684509000005</v>
      </c>
      <c r="E1000">
        <v>50</v>
      </c>
      <c r="F1000">
        <v>47.369396209999998</v>
      </c>
      <c r="G1000">
        <v>1303.2075195</v>
      </c>
      <c r="H1000">
        <v>1290.8536377</v>
      </c>
      <c r="I1000">
        <v>1400.9155272999999</v>
      </c>
      <c r="J1000">
        <v>1379.8117675999999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549.82221000000004</v>
      </c>
      <c r="B1001" s="1">
        <f>DATE(2011,11,1) + TIME(19,43,58)</f>
        <v>40848.822199074071</v>
      </c>
      <c r="C1001">
        <v>80</v>
      </c>
      <c r="D1001">
        <v>79.721633910999998</v>
      </c>
      <c r="E1001">
        <v>50</v>
      </c>
      <c r="F1001">
        <v>47.660778045999997</v>
      </c>
      <c r="G1001">
        <v>1303.2028809000001</v>
      </c>
      <c r="H1001">
        <v>1290.8482666</v>
      </c>
      <c r="I1001">
        <v>1400.6993408000001</v>
      </c>
      <c r="J1001">
        <v>1379.7004394999999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549.91305</v>
      </c>
      <c r="B1002" s="1">
        <f>DATE(2011,11,1) + TIME(21,54,47)</f>
        <v>40848.913043981483</v>
      </c>
      <c r="C1002">
        <v>80</v>
      </c>
      <c r="D1002">
        <v>79.701248168999996</v>
      </c>
      <c r="E1002">
        <v>50</v>
      </c>
      <c r="F1002">
        <v>47.940853119000003</v>
      </c>
      <c r="G1002">
        <v>1303.1979980000001</v>
      </c>
      <c r="H1002">
        <v>1290.8424072</v>
      </c>
      <c r="I1002">
        <v>1400.487793</v>
      </c>
      <c r="J1002">
        <v>1379.5894774999999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550.01347399999997</v>
      </c>
      <c r="B1003" s="1">
        <f>DATE(2011,11,2) + TIME(0,19,24)</f>
        <v>40849.013472222221</v>
      </c>
      <c r="C1003">
        <v>80</v>
      </c>
      <c r="D1003">
        <v>79.679252625000004</v>
      </c>
      <c r="E1003">
        <v>50</v>
      </c>
      <c r="F1003">
        <v>48.209224700999997</v>
      </c>
      <c r="G1003">
        <v>1303.1925048999999</v>
      </c>
      <c r="H1003">
        <v>1290.8360596</v>
      </c>
      <c r="I1003">
        <v>1400.2801514</v>
      </c>
      <c r="J1003">
        <v>1379.4783935999999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550.125766</v>
      </c>
      <c r="B1004" s="1">
        <f>DATE(2011,11,2) + TIME(3,1,6)</f>
        <v>40849.125763888886</v>
      </c>
      <c r="C1004">
        <v>80</v>
      </c>
      <c r="D1004">
        <v>79.655273437999995</v>
      </c>
      <c r="E1004">
        <v>50</v>
      </c>
      <c r="F1004">
        <v>48.465290070000002</v>
      </c>
      <c r="G1004">
        <v>1303.1865233999999</v>
      </c>
      <c r="H1004">
        <v>1290.8292236</v>
      </c>
      <c r="I1004">
        <v>1400.0761719</v>
      </c>
      <c r="J1004">
        <v>1379.3666992000001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550.25309000000004</v>
      </c>
      <c r="B1005" s="1">
        <f>DATE(2011,11,2) + TIME(6,4,26)</f>
        <v>40849.253078703703</v>
      </c>
      <c r="C1005">
        <v>80</v>
      </c>
      <c r="D1005">
        <v>79.628829956000004</v>
      </c>
      <c r="E1005">
        <v>50</v>
      </c>
      <c r="F1005">
        <v>48.708259583</v>
      </c>
      <c r="G1005">
        <v>1303.1799315999999</v>
      </c>
      <c r="H1005">
        <v>1290.8214111</v>
      </c>
      <c r="I1005">
        <v>1399.8752440999999</v>
      </c>
      <c r="J1005">
        <v>1379.2540283000001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550.39998300000002</v>
      </c>
      <c r="B1006" s="1">
        <f>DATE(2011,11,2) + TIME(9,35,58)</f>
        <v>40849.399976851855</v>
      </c>
      <c r="C1006">
        <v>80</v>
      </c>
      <c r="D1006">
        <v>79.599235535000005</v>
      </c>
      <c r="E1006">
        <v>50</v>
      </c>
      <c r="F1006">
        <v>48.937103270999998</v>
      </c>
      <c r="G1006">
        <v>1303.1724853999999</v>
      </c>
      <c r="H1006">
        <v>1290.8128661999999</v>
      </c>
      <c r="I1006">
        <v>1399.6766356999999</v>
      </c>
      <c r="J1006">
        <v>1379.1394043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550.55545800000004</v>
      </c>
      <c r="B1007" s="1">
        <f>DATE(2011,11,2) + TIME(13,19,51)</f>
        <v>40849.555451388886</v>
      </c>
      <c r="C1007">
        <v>80</v>
      </c>
      <c r="D1007">
        <v>79.568336486999996</v>
      </c>
      <c r="E1007">
        <v>50</v>
      </c>
      <c r="F1007">
        <v>49.132755279999998</v>
      </c>
      <c r="G1007">
        <v>1303.1639404</v>
      </c>
      <c r="H1007">
        <v>1290.8031006000001</v>
      </c>
      <c r="I1007">
        <v>1399.4934082</v>
      </c>
      <c r="J1007">
        <v>1379.0286865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550.71206199999995</v>
      </c>
      <c r="B1008" s="1">
        <f>DATE(2011,11,2) + TIME(17,5,22)</f>
        <v>40849.712060185186</v>
      </c>
      <c r="C1008">
        <v>80</v>
      </c>
      <c r="D1008">
        <v>79.537322997999993</v>
      </c>
      <c r="E1008">
        <v>50</v>
      </c>
      <c r="F1008">
        <v>49.291748046999999</v>
      </c>
      <c r="G1008">
        <v>1303.1547852000001</v>
      </c>
      <c r="H1008">
        <v>1290.7928466999999</v>
      </c>
      <c r="I1008">
        <v>1399.3311768000001</v>
      </c>
      <c r="J1008">
        <v>1378.9265137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550.871848</v>
      </c>
      <c r="B1009" s="1">
        <f>DATE(2011,11,2) + TIME(20,55,27)</f>
        <v>40849.871840277781</v>
      </c>
      <c r="C1009">
        <v>80</v>
      </c>
      <c r="D1009">
        <v>79.505889893000003</v>
      </c>
      <c r="E1009">
        <v>50</v>
      </c>
      <c r="F1009">
        <v>49.422122954999999</v>
      </c>
      <c r="G1009">
        <v>1303.1457519999999</v>
      </c>
      <c r="H1009">
        <v>1290.7825928</v>
      </c>
      <c r="I1009">
        <v>1399.1870117000001</v>
      </c>
      <c r="J1009">
        <v>1378.8328856999999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551.03611000000001</v>
      </c>
      <c r="B1010" s="1">
        <f>DATE(2011,11,3) + TIME(0,51,59)</f>
        <v>40850.036099537036</v>
      </c>
      <c r="C1010">
        <v>80</v>
      </c>
      <c r="D1010">
        <v>79.473846436000002</v>
      </c>
      <c r="E1010">
        <v>50</v>
      </c>
      <c r="F1010">
        <v>49.529277802000003</v>
      </c>
      <c r="G1010">
        <v>1303.1364745999999</v>
      </c>
      <c r="H1010">
        <v>1290.7722168</v>
      </c>
      <c r="I1010">
        <v>1399.0571289</v>
      </c>
      <c r="J1010">
        <v>1378.7460937999999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551.20621600000004</v>
      </c>
      <c r="B1011" s="1">
        <f>DATE(2011,11,3) + TIME(4,56,57)</f>
        <v>40850.20621527778</v>
      </c>
      <c r="C1011">
        <v>80</v>
      </c>
      <c r="D1011">
        <v>79.440979003999999</v>
      </c>
      <c r="E1011">
        <v>50</v>
      </c>
      <c r="F1011">
        <v>49.617389678999999</v>
      </c>
      <c r="G1011">
        <v>1303.1271973</v>
      </c>
      <c r="H1011">
        <v>1290.7615966999999</v>
      </c>
      <c r="I1011">
        <v>1398.9388428</v>
      </c>
      <c r="J1011">
        <v>1378.6645507999999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551.38363100000004</v>
      </c>
      <c r="B1012" s="1">
        <f>DATE(2011,11,3) + TIME(9,12,25)</f>
        <v>40850.383622685185</v>
      </c>
      <c r="C1012">
        <v>80</v>
      </c>
      <c r="D1012">
        <v>79.407089232999994</v>
      </c>
      <c r="E1012">
        <v>50</v>
      </c>
      <c r="F1012">
        <v>49.689582825000002</v>
      </c>
      <c r="G1012">
        <v>1303.1171875</v>
      </c>
      <c r="H1012">
        <v>1290.7502440999999</v>
      </c>
      <c r="I1012">
        <v>1398.8292236</v>
      </c>
      <c r="J1012">
        <v>1378.5864257999999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551.57000800000003</v>
      </c>
      <c r="B1013" s="1">
        <f>DATE(2011,11,3) + TIME(13,40,48)</f>
        <v>40850.57</v>
      </c>
      <c r="C1013">
        <v>80</v>
      </c>
      <c r="D1013">
        <v>79.371894835999996</v>
      </c>
      <c r="E1013">
        <v>50</v>
      </c>
      <c r="F1013">
        <v>49.748703003000003</v>
      </c>
      <c r="G1013">
        <v>1303.1075439000001</v>
      </c>
      <c r="H1013">
        <v>1290.7391356999999</v>
      </c>
      <c r="I1013">
        <v>1398.7287598</v>
      </c>
      <c r="J1013">
        <v>1378.5131836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551.76704800000005</v>
      </c>
      <c r="B1014" s="1">
        <f>DATE(2011,11,3) + TIME(18,24,32)</f>
        <v>40850.76703703704</v>
      </c>
      <c r="C1014">
        <v>80</v>
      </c>
      <c r="D1014">
        <v>79.335151671999995</v>
      </c>
      <c r="E1014">
        <v>50</v>
      </c>
      <c r="F1014">
        <v>49.796833038000003</v>
      </c>
      <c r="G1014">
        <v>1303.097168</v>
      </c>
      <c r="H1014">
        <v>1290.7272949000001</v>
      </c>
      <c r="I1014">
        <v>1398.6336670000001</v>
      </c>
      <c r="J1014">
        <v>1378.4417725000001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551.977216</v>
      </c>
      <c r="B1015" s="1">
        <f>DATE(2011,11,3) + TIME(23,27,11)</f>
        <v>40850.977210648147</v>
      </c>
      <c r="C1015">
        <v>80</v>
      </c>
      <c r="D1015">
        <v>79.296508789000001</v>
      </c>
      <c r="E1015">
        <v>50</v>
      </c>
      <c r="F1015">
        <v>49.835811614999997</v>
      </c>
      <c r="G1015">
        <v>1303.0861815999999</v>
      </c>
      <c r="H1015">
        <v>1290.7149658000001</v>
      </c>
      <c r="I1015">
        <v>1398.5432129000001</v>
      </c>
      <c r="J1015">
        <v>1378.3721923999999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552.20329200000003</v>
      </c>
      <c r="B1016" s="1">
        <f>DATE(2011,11,4) + TIME(4,52,44)</f>
        <v>40851.203287037039</v>
      </c>
      <c r="C1016">
        <v>80</v>
      </c>
      <c r="D1016">
        <v>79.255531310999999</v>
      </c>
      <c r="E1016">
        <v>50</v>
      </c>
      <c r="F1016">
        <v>49.867275237999998</v>
      </c>
      <c r="G1016">
        <v>1303.0750731999999</v>
      </c>
      <c r="H1016">
        <v>1290.7021483999999</v>
      </c>
      <c r="I1016">
        <v>1398.4570312000001</v>
      </c>
      <c r="J1016">
        <v>1378.3044434000001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552.44591300000002</v>
      </c>
      <c r="B1017" s="1">
        <f>DATE(2011,11,4) + TIME(10,42,6)</f>
        <v>40851.445902777778</v>
      </c>
      <c r="C1017">
        <v>80</v>
      </c>
      <c r="D1017">
        <v>79.212173461999996</v>
      </c>
      <c r="E1017">
        <v>50</v>
      </c>
      <c r="F1017">
        <v>49.892047882</v>
      </c>
      <c r="G1017">
        <v>1303.0625</v>
      </c>
      <c r="H1017">
        <v>1290.6877440999999</v>
      </c>
      <c r="I1017">
        <v>1398.3717041</v>
      </c>
      <c r="J1017">
        <v>1378.2357178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552.70641899999998</v>
      </c>
      <c r="B1018" s="1">
        <f>DATE(2011,11,4) + TIME(16,57,14)</f>
        <v>40851.706412037034</v>
      </c>
      <c r="C1018">
        <v>80</v>
      </c>
      <c r="D1018">
        <v>79.166221618999998</v>
      </c>
      <c r="E1018">
        <v>50</v>
      </c>
      <c r="F1018">
        <v>49.911220551</v>
      </c>
      <c r="G1018">
        <v>1303.0491943</v>
      </c>
      <c r="H1018">
        <v>1290.6727295000001</v>
      </c>
      <c r="I1018">
        <v>1398.2891846</v>
      </c>
      <c r="J1018">
        <v>1378.1680908000001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552.988294</v>
      </c>
      <c r="B1019" s="1">
        <f>DATE(2011,11,4) + TIME(23,43,8)</f>
        <v>40851.988287037035</v>
      </c>
      <c r="C1019">
        <v>80</v>
      </c>
      <c r="D1019">
        <v>79.117225646999998</v>
      </c>
      <c r="E1019">
        <v>50</v>
      </c>
      <c r="F1019">
        <v>49.925876617</v>
      </c>
      <c r="G1019">
        <v>1303.0351562000001</v>
      </c>
      <c r="H1019">
        <v>1290.6566161999999</v>
      </c>
      <c r="I1019">
        <v>1398.208374</v>
      </c>
      <c r="J1019">
        <v>1378.1005858999999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553.29625199999998</v>
      </c>
      <c r="B1020" s="1">
        <f>DATE(2011,11,5) + TIME(7,6,36)</f>
        <v>40852.296249999999</v>
      </c>
      <c r="C1020">
        <v>80</v>
      </c>
      <c r="D1020">
        <v>79.064575195000003</v>
      </c>
      <c r="E1020">
        <v>50</v>
      </c>
      <c r="F1020">
        <v>49.936927795000003</v>
      </c>
      <c r="G1020">
        <v>1303.0200195</v>
      </c>
      <c r="H1020">
        <v>1290.6394043</v>
      </c>
      <c r="I1020">
        <v>1398.1280518000001</v>
      </c>
      <c r="J1020">
        <v>1378.0328368999999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553.62098700000001</v>
      </c>
      <c r="B1021" s="1">
        <f>DATE(2011,11,5) + TIME(14,54,13)</f>
        <v>40852.620983796296</v>
      </c>
      <c r="C1021">
        <v>80</v>
      </c>
      <c r="D1021">
        <v>79.009254455999994</v>
      </c>
      <c r="E1021">
        <v>50</v>
      </c>
      <c r="F1021">
        <v>49.944869994999998</v>
      </c>
      <c r="G1021">
        <v>1303.0035399999999</v>
      </c>
      <c r="H1021">
        <v>1290.6206055</v>
      </c>
      <c r="I1021">
        <v>1398.0473632999999</v>
      </c>
      <c r="J1021">
        <v>1377.9641113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553.95165799999995</v>
      </c>
      <c r="B1022" s="1">
        <f>DATE(2011,11,5) + TIME(22,50,23)</f>
        <v>40852.951655092591</v>
      </c>
      <c r="C1022">
        <v>80</v>
      </c>
      <c r="D1022">
        <v>78.952590942</v>
      </c>
      <c r="E1022">
        <v>50</v>
      </c>
      <c r="F1022">
        <v>49.950386047000002</v>
      </c>
      <c r="G1022">
        <v>1302.9860839999999</v>
      </c>
      <c r="H1022">
        <v>1290.6010742000001</v>
      </c>
      <c r="I1022">
        <v>1397.9688721</v>
      </c>
      <c r="J1022">
        <v>1377.8964844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554.29209000000003</v>
      </c>
      <c r="B1023" s="1">
        <f>DATE(2011,11,6) + TIME(7,0,36)</f>
        <v>40853.292083333334</v>
      </c>
      <c r="C1023">
        <v>80</v>
      </c>
      <c r="D1023">
        <v>78.894401549999998</v>
      </c>
      <c r="E1023">
        <v>50</v>
      </c>
      <c r="F1023">
        <v>49.954246521000002</v>
      </c>
      <c r="G1023">
        <v>1302.9685059000001</v>
      </c>
      <c r="H1023">
        <v>1290.5810547000001</v>
      </c>
      <c r="I1023">
        <v>1397.8942870999999</v>
      </c>
      <c r="J1023">
        <v>1377.8321533000001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554.64602200000002</v>
      </c>
      <c r="B1024" s="1">
        <f>DATE(2011,11,6) + TIME(15,30,16)</f>
        <v>40853.646018518521</v>
      </c>
      <c r="C1024">
        <v>80</v>
      </c>
      <c r="D1024">
        <v>78.834396362000007</v>
      </c>
      <c r="E1024">
        <v>50</v>
      </c>
      <c r="F1024">
        <v>49.956962584999999</v>
      </c>
      <c r="G1024">
        <v>1302.9504394999999</v>
      </c>
      <c r="H1024">
        <v>1290.5606689000001</v>
      </c>
      <c r="I1024">
        <v>1397.8225098</v>
      </c>
      <c r="J1024">
        <v>1377.7701416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555.00954000000002</v>
      </c>
      <c r="B1025" s="1">
        <f>DATE(2011,11,7) + TIME(0,13,44)</f>
        <v>40854.00953703704</v>
      </c>
      <c r="C1025">
        <v>80</v>
      </c>
      <c r="D1025">
        <v>78.773040770999998</v>
      </c>
      <c r="E1025">
        <v>50</v>
      </c>
      <c r="F1025">
        <v>49.958858489999997</v>
      </c>
      <c r="G1025">
        <v>1302.9317627</v>
      </c>
      <c r="H1025">
        <v>1290.5394286999999</v>
      </c>
      <c r="I1025">
        <v>1397.7525635</v>
      </c>
      <c r="J1025">
        <v>1377.7093506000001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555.38514099999998</v>
      </c>
      <c r="B1026" s="1">
        <f>DATE(2011,11,7) + TIME(9,14,36)</f>
        <v>40854.385138888887</v>
      </c>
      <c r="C1026">
        <v>80</v>
      </c>
      <c r="D1026">
        <v>78.710151671999995</v>
      </c>
      <c r="E1026">
        <v>50</v>
      </c>
      <c r="F1026">
        <v>49.960193633999999</v>
      </c>
      <c r="G1026">
        <v>1302.9127197</v>
      </c>
      <c r="H1026">
        <v>1290.5178223</v>
      </c>
      <c r="I1026">
        <v>1397.6848144999999</v>
      </c>
      <c r="J1026">
        <v>1377.6507568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555.77610300000003</v>
      </c>
      <c r="B1027" s="1">
        <f>DATE(2011,11,7) + TIME(18,37,35)</f>
        <v>40854.776099537034</v>
      </c>
      <c r="C1027">
        <v>80</v>
      </c>
      <c r="D1027">
        <v>78.645431518999999</v>
      </c>
      <c r="E1027">
        <v>50</v>
      </c>
      <c r="F1027">
        <v>49.961143493999998</v>
      </c>
      <c r="G1027">
        <v>1302.8930664</v>
      </c>
      <c r="H1027">
        <v>1290.4953613</v>
      </c>
      <c r="I1027">
        <v>1397.6188964999999</v>
      </c>
      <c r="J1027">
        <v>1377.5935059000001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556.18607799999995</v>
      </c>
      <c r="B1028" s="1">
        <f>DATE(2011,11,8) + TIME(4,27,57)</f>
        <v>40855.186076388891</v>
      </c>
      <c r="C1028">
        <v>80</v>
      </c>
      <c r="D1028">
        <v>78.578460692999997</v>
      </c>
      <c r="E1028">
        <v>50</v>
      </c>
      <c r="F1028">
        <v>49.961826324</v>
      </c>
      <c r="G1028">
        <v>1302.8728027</v>
      </c>
      <c r="H1028">
        <v>1290.4722899999999</v>
      </c>
      <c r="I1028">
        <v>1397.5538329999999</v>
      </c>
      <c r="J1028">
        <v>1377.5372314000001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556.61933499999998</v>
      </c>
      <c r="B1029" s="1">
        <f>DATE(2011,11,8) + TIME(14,51,50)</f>
        <v>40855.619328703702</v>
      </c>
      <c r="C1029">
        <v>80</v>
      </c>
      <c r="D1029">
        <v>78.508758545000006</v>
      </c>
      <c r="E1029">
        <v>50</v>
      </c>
      <c r="F1029">
        <v>49.962322235000002</v>
      </c>
      <c r="G1029">
        <v>1302.8515625</v>
      </c>
      <c r="H1029">
        <v>1290.4479980000001</v>
      </c>
      <c r="I1029">
        <v>1397.4893798999999</v>
      </c>
      <c r="J1029">
        <v>1377.4813231999999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557.08099100000004</v>
      </c>
      <c r="B1030" s="1">
        <f>DATE(2011,11,9) + TIME(1,56,37)</f>
        <v>40856.080983796295</v>
      </c>
      <c r="C1030">
        <v>80</v>
      </c>
      <c r="D1030">
        <v>78.435714722</v>
      </c>
      <c r="E1030">
        <v>50</v>
      </c>
      <c r="F1030">
        <v>49.962692261000001</v>
      </c>
      <c r="G1030">
        <v>1302.8291016000001</v>
      </c>
      <c r="H1030">
        <v>1290.4224853999999</v>
      </c>
      <c r="I1030">
        <v>1397.4248047000001</v>
      </c>
      <c r="J1030">
        <v>1377.4254149999999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557.57743100000005</v>
      </c>
      <c r="B1031" s="1">
        <f>DATE(2011,11,9) + TIME(13,51,30)</f>
        <v>40856.577430555553</v>
      </c>
      <c r="C1031">
        <v>80</v>
      </c>
      <c r="D1031">
        <v>78.358573914000004</v>
      </c>
      <c r="E1031">
        <v>50</v>
      </c>
      <c r="F1031">
        <v>49.962970734000002</v>
      </c>
      <c r="G1031">
        <v>1302.8054199000001</v>
      </c>
      <c r="H1031">
        <v>1290.3952637</v>
      </c>
      <c r="I1031">
        <v>1397.3596190999999</v>
      </c>
      <c r="J1031">
        <v>1377.3691406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558.08542899999998</v>
      </c>
      <c r="B1032" s="1">
        <f>DATE(2011,11,10) + TIME(2,3,1)</f>
        <v>40857.085428240738</v>
      </c>
      <c r="C1032">
        <v>80</v>
      </c>
      <c r="D1032">
        <v>78.279174804999997</v>
      </c>
      <c r="E1032">
        <v>50</v>
      </c>
      <c r="F1032">
        <v>49.963172913000001</v>
      </c>
      <c r="G1032">
        <v>1302.7797852000001</v>
      </c>
      <c r="H1032">
        <v>1290.3662108999999</v>
      </c>
      <c r="I1032">
        <v>1397.2932129000001</v>
      </c>
      <c r="J1032">
        <v>1377.3118896000001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558.60426099999995</v>
      </c>
      <c r="B1033" s="1">
        <f>DATE(2011,11,10) + TIME(14,30,8)</f>
        <v>40857.604259259257</v>
      </c>
      <c r="C1033">
        <v>80</v>
      </c>
      <c r="D1033">
        <v>78.198097228999998</v>
      </c>
      <c r="E1033">
        <v>50</v>
      </c>
      <c r="F1033">
        <v>49.963325500000003</v>
      </c>
      <c r="G1033">
        <v>1302.7535399999999</v>
      </c>
      <c r="H1033">
        <v>1290.3364257999999</v>
      </c>
      <c r="I1033">
        <v>1397.2287598</v>
      </c>
      <c r="J1033">
        <v>1377.2563477000001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559.13924299999996</v>
      </c>
      <c r="B1034" s="1">
        <f>DATE(2011,11,11) + TIME(3,20,30)</f>
        <v>40858.139236111114</v>
      </c>
      <c r="C1034">
        <v>80</v>
      </c>
      <c r="D1034">
        <v>78.115203856999997</v>
      </c>
      <c r="E1034">
        <v>50</v>
      </c>
      <c r="F1034">
        <v>49.963439940999997</v>
      </c>
      <c r="G1034">
        <v>1302.7269286999999</v>
      </c>
      <c r="H1034">
        <v>1290.3060303</v>
      </c>
      <c r="I1034">
        <v>1397.1663818</v>
      </c>
      <c r="J1034">
        <v>1377.2027588000001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559.695922</v>
      </c>
      <c r="B1035" s="1">
        <f>DATE(2011,11,11) + TIME(16,42,7)</f>
        <v>40858.695914351854</v>
      </c>
      <c r="C1035">
        <v>80</v>
      </c>
      <c r="D1035">
        <v>78.030113220000004</v>
      </c>
      <c r="E1035">
        <v>50</v>
      </c>
      <c r="F1035">
        <v>49.963531494000001</v>
      </c>
      <c r="G1035">
        <v>1302.6994629000001</v>
      </c>
      <c r="H1035">
        <v>1290.2747803</v>
      </c>
      <c r="I1035">
        <v>1397.1052245999999</v>
      </c>
      <c r="J1035">
        <v>1377.1501464999999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560.27964099999997</v>
      </c>
      <c r="B1036" s="1">
        <f>DATE(2011,11,12) + TIME(6,42,41)</f>
        <v>40859.279641203706</v>
      </c>
      <c r="C1036">
        <v>80</v>
      </c>
      <c r="D1036">
        <v>77.942283630000006</v>
      </c>
      <c r="E1036">
        <v>50</v>
      </c>
      <c r="F1036">
        <v>49.963607787999997</v>
      </c>
      <c r="G1036">
        <v>1302.6710204999999</v>
      </c>
      <c r="H1036">
        <v>1290.2420654</v>
      </c>
      <c r="I1036">
        <v>1397.0447998</v>
      </c>
      <c r="J1036">
        <v>1377.0982666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560.87747000000002</v>
      </c>
      <c r="B1037" s="1">
        <f>DATE(2011,11,12) + TIME(21,3,33)</f>
        <v>40859.877465277779</v>
      </c>
      <c r="C1037">
        <v>80</v>
      </c>
      <c r="D1037">
        <v>77.852577209000003</v>
      </c>
      <c r="E1037">
        <v>50</v>
      </c>
      <c r="F1037">
        <v>49.963665009000003</v>
      </c>
      <c r="G1037">
        <v>1302.6411132999999</v>
      </c>
      <c r="H1037">
        <v>1290.2080077999999</v>
      </c>
      <c r="I1037">
        <v>1396.9842529</v>
      </c>
      <c r="J1037">
        <v>1377.0465088000001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561.49486899999999</v>
      </c>
      <c r="B1038" s="1">
        <f>DATE(2011,11,13) + TIME(11,52,36)</f>
        <v>40860.49486111111</v>
      </c>
      <c r="C1038">
        <v>80</v>
      </c>
      <c r="D1038">
        <v>77.760894774999997</v>
      </c>
      <c r="E1038">
        <v>50</v>
      </c>
      <c r="F1038">
        <v>49.963714600000003</v>
      </c>
      <c r="G1038">
        <v>1302.6104736</v>
      </c>
      <c r="H1038">
        <v>1290.1729736</v>
      </c>
      <c r="I1038">
        <v>1396.925293</v>
      </c>
      <c r="J1038">
        <v>1376.9959716999999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562.13744699999995</v>
      </c>
      <c r="B1039" s="1">
        <f>DATE(2011,11,14) + TIME(3,17,55)</f>
        <v>40861.137442129628</v>
      </c>
      <c r="C1039">
        <v>80</v>
      </c>
      <c r="D1039">
        <v>77.666839600000003</v>
      </c>
      <c r="E1039">
        <v>50</v>
      </c>
      <c r="F1039">
        <v>49.963756560999997</v>
      </c>
      <c r="G1039">
        <v>1302.5788574000001</v>
      </c>
      <c r="H1039">
        <v>1290.1367187999999</v>
      </c>
      <c r="I1039">
        <v>1396.8673096</v>
      </c>
      <c r="J1039">
        <v>1376.9462891000001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562.81160399999999</v>
      </c>
      <c r="B1040" s="1">
        <f>DATE(2011,11,14) + TIME(19,28,42)</f>
        <v>40861.811597222222</v>
      </c>
      <c r="C1040">
        <v>80</v>
      </c>
      <c r="D1040">
        <v>77.569816588999998</v>
      </c>
      <c r="E1040">
        <v>50</v>
      </c>
      <c r="F1040">
        <v>49.963794708000002</v>
      </c>
      <c r="G1040">
        <v>1302.5460204999999</v>
      </c>
      <c r="H1040">
        <v>1290.098999</v>
      </c>
      <c r="I1040">
        <v>1396.8095702999999</v>
      </c>
      <c r="J1040">
        <v>1376.8970947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563.518597</v>
      </c>
      <c r="B1041" s="1">
        <f>DATE(2011,11,15) + TIME(12,26,46)</f>
        <v>40862.518587962964</v>
      </c>
      <c r="C1041">
        <v>80</v>
      </c>
      <c r="D1041">
        <v>77.469512938999998</v>
      </c>
      <c r="E1041">
        <v>50</v>
      </c>
      <c r="F1041">
        <v>49.963829040999997</v>
      </c>
      <c r="G1041">
        <v>1302.5114745999999</v>
      </c>
      <c r="H1041">
        <v>1290.0594481999999</v>
      </c>
      <c r="I1041">
        <v>1396.7518310999999</v>
      </c>
      <c r="J1041">
        <v>1376.8477783000001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564.24635899999998</v>
      </c>
      <c r="B1042" s="1">
        <f>DATE(2011,11,16) + TIME(5,54,45)</f>
        <v>40863.246354166666</v>
      </c>
      <c r="C1042">
        <v>80</v>
      </c>
      <c r="D1042">
        <v>77.366622925000001</v>
      </c>
      <c r="E1042">
        <v>50</v>
      </c>
      <c r="F1042">
        <v>49.963859558000003</v>
      </c>
      <c r="G1042">
        <v>1302.4750977000001</v>
      </c>
      <c r="H1042">
        <v>1290.0178223</v>
      </c>
      <c r="I1042">
        <v>1396.6938477000001</v>
      </c>
      <c r="J1042">
        <v>1376.7984618999999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565.00351899999998</v>
      </c>
      <c r="B1043" s="1">
        <f>DATE(2011,11,17) + TIME(0,5,4)</f>
        <v>40864.003518518519</v>
      </c>
      <c r="C1043">
        <v>80</v>
      </c>
      <c r="D1043">
        <v>77.261009216000005</v>
      </c>
      <c r="E1043">
        <v>50</v>
      </c>
      <c r="F1043">
        <v>49.963890075999998</v>
      </c>
      <c r="G1043">
        <v>1302.4377440999999</v>
      </c>
      <c r="H1043">
        <v>1289.9747314000001</v>
      </c>
      <c r="I1043">
        <v>1396.6369629000001</v>
      </c>
      <c r="J1043">
        <v>1376.7498779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565.79941899999994</v>
      </c>
      <c r="B1044" s="1">
        <f>DATE(2011,11,17) + TIME(19,11,9)</f>
        <v>40864.799409722225</v>
      </c>
      <c r="C1044">
        <v>80</v>
      </c>
      <c r="D1044">
        <v>77.151992797999995</v>
      </c>
      <c r="E1044">
        <v>50</v>
      </c>
      <c r="F1044">
        <v>49.963920592999997</v>
      </c>
      <c r="G1044">
        <v>1302.3988036999999</v>
      </c>
      <c r="H1044">
        <v>1289.9298096</v>
      </c>
      <c r="I1044">
        <v>1396.5803223</v>
      </c>
      <c r="J1044">
        <v>1376.7017822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566.61949900000002</v>
      </c>
      <c r="B1045" s="1">
        <f>DATE(2011,11,18) + TIME(14,52,4)</f>
        <v>40865.619490740741</v>
      </c>
      <c r="C1045">
        <v>80</v>
      </c>
      <c r="D1045">
        <v>77.040184021000002</v>
      </c>
      <c r="E1045">
        <v>50</v>
      </c>
      <c r="F1045">
        <v>49.963951111</v>
      </c>
      <c r="G1045">
        <v>1302.3575439000001</v>
      </c>
      <c r="H1045">
        <v>1289.8824463000001</v>
      </c>
      <c r="I1045">
        <v>1396.5233154</v>
      </c>
      <c r="J1045">
        <v>1376.6533202999999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567.45411999999999</v>
      </c>
      <c r="B1046" s="1">
        <f>DATE(2011,11,19) + TIME(10,53,55)</f>
        <v>40866.454108796293</v>
      </c>
      <c r="C1046">
        <v>80</v>
      </c>
      <c r="D1046">
        <v>76.926651000999996</v>
      </c>
      <c r="E1046">
        <v>50</v>
      </c>
      <c r="F1046">
        <v>49.963981627999999</v>
      </c>
      <c r="G1046">
        <v>1302.3150635</v>
      </c>
      <c r="H1046">
        <v>1289.833374</v>
      </c>
      <c r="I1046">
        <v>1396.4671631000001</v>
      </c>
      <c r="J1046">
        <v>1376.6055908000001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568.31075299999998</v>
      </c>
      <c r="B1047" s="1">
        <f>DATE(2011,11,20) + TIME(7,27,29)</f>
        <v>40867.310752314814</v>
      </c>
      <c r="C1047">
        <v>80</v>
      </c>
      <c r="D1047">
        <v>76.811569214000002</v>
      </c>
      <c r="E1047">
        <v>50</v>
      </c>
      <c r="F1047">
        <v>49.964008331000002</v>
      </c>
      <c r="G1047">
        <v>1302.2714844</v>
      </c>
      <c r="H1047">
        <v>1289.7830810999999</v>
      </c>
      <c r="I1047">
        <v>1396.4124756000001</v>
      </c>
      <c r="J1047">
        <v>1376.5592041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569.19714299999998</v>
      </c>
      <c r="B1048" s="1">
        <f>DATE(2011,11,21) + TIME(4,43,53)</f>
        <v>40868.197141203702</v>
      </c>
      <c r="C1048">
        <v>80</v>
      </c>
      <c r="D1048">
        <v>76.694534301999994</v>
      </c>
      <c r="E1048">
        <v>50</v>
      </c>
      <c r="F1048">
        <v>49.964042663999997</v>
      </c>
      <c r="G1048">
        <v>1302.2266846</v>
      </c>
      <c r="H1048">
        <v>1289.7310791</v>
      </c>
      <c r="I1048">
        <v>1396.3585204999999</v>
      </c>
      <c r="J1048">
        <v>1376.5134277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570.12191199999995</v>
      </c>
      <c r="B1049" s="1">
        <f>DATE(2011,11,22) + TIME(2,55,33)</f>
        <v>40869.12190972222</v>
      </c>
      <c r="C1049">
        <v>80</v>
      </c>
      <c r="D1049">
        <v>76.574798584000007</v>
      </c>
      <c r="E1049">
        <v>50</v>
      </c>
      <c r="F1049">
        <v>49.964073181000003</v>
      </c>
      <c r="G1049">
        <v>1302.1801757999999</v>
      </c>
      <c r="H1049">
        <v>1289.6770019999999</v>
      </c>
      <c r="I1049">
        <v>1396.3051757999999</v>
      </c>
      <c r="J1049">
        <v>1376.4681396000001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571.07295599999998</v>
      </c>
      <c r="B1050" s="1">
        <f>DATE(2011,11,23) + TIME(1,45,3)</f>
        <v>40870.072951388887</v>
      </c>
      <c r="C1050">
        <v>80</v>
      </c>
      <c r="D1050">
        <v>76.452644348000007</v>
      </c>
      <c r="E1050">
        <v>50</v>
      </c>
      <c r="F1050">
        <v>49.964107513000002</v>
      </c>
      <c r="G1050">
        <v>1302.1312256000001</v>
      </c>
      <c r="H1050">
        <v>1289.6201172000001</v>
      </c>
      <c r="I1050">
        <v>1396.2515868999999</v>
      </c>
      <c r="J1050">
        <v>1376.4228516000001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572.05474200000003</v>
      </c>
      <c r="B1051" s="1">
        <f>DATE(2011,11,24) + TIME(1,18,49)</f>
        <v>40871.0547337963</v>
      </c>
      <c r="C1051">
        <v>80</v>
      </c>
      <c r="D1051">
        <v>76.328216553000004</v>
      </c>
      <c r="E1051">
        <v>50</v>
      </c>
      <c r="F1051">
        <v>49.964141845999997</v>
      </c>
      <c r="G1051">
        <v>1302.0806885</v>
      </c>
      <c r="H1051">
        <v>1289.5611572</v>
      </c>
      <c r="I1051">
        <v>1396.1987305</v>
      </c>
      <c r="J1051">
        <v>1376.3780518000001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573.07816400000002</v>
      </c>
      <c r="B1052" s="1">
        <f>DATE(2011,11,25) + TIME(1,52,33)</f>
        <v>40872.078159722223</v>
      </c>
      <c r="C1052">
        <v>80</v>
      </c>
      <c r="D1052">
        <v>76.200996399000005</v>
      </c>
      <c r="E1052">
        <v>50</v>
      </c>
      <c r="F1052">
        <v>49.964176178000002</v>
      </c>
      <c r="G1052">
        <v>1302.0280762</v>
      </c>
      <c r="H1052">
        <v>1289.4996338000001</v>
      </c>
      <c r="I1052">
        <v>1396.1462402</v>
      </c>
      <c r="J1052">
        <v>1376.3336182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574.15371500000003</v>
      </c>
      <c r="B1053" s="1">
        <f>DATE(2011,11,26) + TIME(3,41,21)</f>
        <v>40873.153715277775</v>
      </c>
      <c r="C1053">
        <v>80</v>
      </c>
      <c r="D1053">
        <v>76.070106506000002</v>
      </c>
      <c r="E1053">
        <v>50</v>
      </c>
      <c r="F1053">
        <v>49.964214325</v>
      </c>
      <c r="G1053">
        <v>1301.9727783000001</v>
      </c>
      <c r="H1053">
        <v>1289.4349365</v>
      </c>
      <c r="I1053">
        <v>1396.09375</v>
      </c>
      <c r="J1053">
        <v>1376.2891846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575.24364600000001</v>
      </c>
      <c r="B1054" s="1">
        <f>DATE(2011,11,27) + TIME(5,50,50)</f>
        <v>40874.243634259263</v>
      </c>
      <c r="C1054">
        <v>80</v>
      </c>
      <c r="D1054">
        <v>75.936820983999993</v>
      </c>
      <c r="E1054">
        <v>50</v>
      </c>
      <c r="F1054">
        <v>49.964256286999998</v>
      </c>
      <c r="G1054">
        <v>1301.9141846</v>
      </c>
      <c r="H1054">
        <v>1289.3662108999999</v>
      </c>
      <c r="I1054">
        <v>1396.0406493999999</v>
      </c>
      <c r="J1054">
        <v>1376.2441406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576.35785999999996</v>
      </c>
      <c r="B1055" s="1">
        <f>DATE(2011,11,28) + TIME(8,35,19)</f>
        <v>40875.357858796298</v>
      </c>
      <c r="C1055">
        <v>80</v>
      </c>
      <c r="D1055">
        <v>75.802223205999994</v>
      </c>
      <c r="E1055">
        <v>50</v>
      </c>
      <c r="F1055">
        <v>49.964294434000003</v>
      </c>
      <c r="G1055">
        <v>1301.8542480000001</v>
      </c>
      <c r="H1055">
        <v>1289.2956543</v>
      </c>
      <c r="I1055">
        <v>1395.9888916</v>
      </c>
      <c r="J1055">
        <v>1376.2004394999999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577.50636699999995</v>
      </c>
      <c r="B1056" s="1">
        <f>DATE(2011,11,29) + TIME(12,9,10)</f>
        <v>40876.506365740737</v>
      </c>
      <c r="C1056">
        <v>80</v>
      </c>
      <c r="D1056">
        <v>75.666069031000006</v>
      </c>
      <c r="E1056">
        <v>50</v>
      </c>
      <c r="F1056">
        <v>49.964336394999997</v>
      </c>
      <c r="G1056">
        <v>1301.7923584</v>
      </c>
      <c r="H1056">
        <v>1289.2225341999999</v>
      </c>
      <c r="I1056">
        <v>1395.9381103999999</v>
      </c>
      <c r="J1056">
        <v>1376.1573486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578.68804899999998</v>
      </c>
      <c r="B1057" s="1">
        <f>DATE(2011,11,30) + TIME(16,30,47)</f>
        <v>40877.688043981485</v>
      </c>
      <c r="C1057">
        <v>80</v>
      </c>
      <c r="D1057">
        <v>75.528091431000007</v>
      </c>
      <c r="E1057">
        <v>50</v>
      </c>
      <c r="F1057">
        <v>49.964382172000001</v>
      </c>
      <c r="G1057">
        <v>1301.7279053</v>
      </c>
      <c r="H1057">
        <v>1289.1461182</v>
      </c>
      <c r="I1057">
        <v>1395.8875731999999</v>
      </c>
      <c r="J1057">
        <v>1376.1145019999999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579</v>
      </c>
      <c r="B1058" s="1">
        <f>DATE(2011,12,1) + TIME(0,0,0)</f>
        <v>40878</v>
      </c>
      <c r="C1058">
        <v>80</v>
      </c>
      <c r="D1058">
        <v>75.460464478000006</v>
      </c>
      <c r="E1058">
        <v>50</v>
      </c>
      <c r="F1058">
        <v>49.964385986000003</v>
      </c>
      <c r="G1058">
        <v>1301.6585693</v>
      </c>
      <c r="H1058">
        <v>1289.0720214999999</v>
      </c>
      <c r="I1058">
        <v>1395.8367920000001</v>
      </c>
      <c r="J1058">
        <v>1376.0715332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580.22779500000001</v>
      </c>
      <c r="B1059" s="1">
        <f>DATE(2011,12,2) + TIME(5,28,1)</f>
        <v>40879.227789351855</v>
      </c>
      <c r="C1059">
        <v>80</v>
      </c>
      <c r="D1059">
        <v>75.340080260999997</v>
      </c>
      <c r="E1059">
        <v>50</v>
      </c>
      <c r="F1059">
        <v>49.964435577000003</v>
      </c>
      <c r="G1059">
        <v>1301.6423339999999</v>
      </c>
      <c r="H1059">
        <v>1289.0427245999999</v>
      </c>
      <c r="I1059">
        <v>1395.8244629000001</v>
      </c>
      <c r="J1059">
        <v>1376.0611572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581.52976100000001</v>
      </c>
      <c r="B1060" s="1">
        <f>DATE(2011,12,3) + TIME(12,42,51)</f>
        <v>40880.529756944445</v>
      </c>
      <c r="C1060">
        <v>80</v>
      </c>
      <c r="D1060">
        <v>75.203552246000001</v>
      </c>
      <c r="E1060">
        <v>50</v>
      </c>
      <c r="F1060">
        <v>49.964485168000003</v>
      </c>
      <c r="G1060">
        <v>1301.5720214999999</v>
      </c>
      <c r="H1060">
        <v>1288.9597168</v>
      </c>
      <c r="I1060">
        <v>1395.7749022999999</v>
      </c>
      <c r="J1060">
        <v>1376.0191649999999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582.87091799999996</v>
      </c>
      <c r="B1061" s="1">
        <f>DATE(2011,12,4) + TIME(20,54,7)</f>
        <v>40881.87091435185</v>
      </c>
      <c r="C1061">
        <v>80</v>
      </c>
      <c r="D1061">
        <v>75.058410644999995</v>
      </c>
      <c r="E1061">
        <v>50</v>
      </c>
      <c r="F1061">
        <v>49.964534759999999</v>
      </c>
      <c r="G1061">
        <v>1301.4960937999999</v>
      </c>
      <c r="H1061">
        <v>1288.8693848</v>
      </c>
      <c r="I1061">
        <v>1395.723999</v>
      </c>
      <c r="J1061">
        <v>1375.9760742000001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584.22062900000003</v>
      </c>
      <c r="B1062" s="1">
        <f>DATE(2011,12,6) + TIME(5,17,42)</f>
        <v>40883.220625000002</v>
      </c>
      <c r="C1062">
        <v>80</v>
      </c>
      <c r="D1062">
        <v>74.910011291999993</v>
      </c>
      <c r="E1062">
        <v>50</v>
      </c>
      <c r="F1062">
        <v>49.964588165000002</v>
      </c>
      <c r="G1062">
        <v>1301.416626</v>
      </c>
      <c r="H1062">
        <v>1288.7741699000001</v>
      </c>
      <c r="I1062">
        <v>1395.6734618999999</v>
      </c>
      <c r="J1062">
        <v>1375.9332274999999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585.59074399999997</v>
      </c>
      <c r="B1063" s="1">
        <f>DATE(2011,12,7) + TIME(14,10,40)</f>
        <v>40884.590740740743</v>
      </c>
      <c r="C1063">
        <v>80</v>
      </c>
      <c r="D1063">
        <v>74.760948181000003</v>
      </c>
      <c r="E1063">
        <v>50</v>
      </c>
      <c r="F1063">
        <v>49.964637756000002</v>
      </c>
      <c r="G1063">
        <v>1301.3353271000001</v>
      </c>
      <c r="H1063">
        <v>1288.6762695</v>
      </c>
      <c r="I1063">
        <v>1395.6242675999999</v>
      </c>
      <c r="J1063">
        <v>1375.8916016000001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586.99316699999997</v>
      </c>
      <c r="B1064" s="1">
        <f>DATE(2011,12,8) + TIME(23,50,9)</f>
        <v>40885.993159722224</v>
      </c>
      <c r="C1064">
        <v>80</v>
      </c>
      <c r="D1064">
        <v>74.611320496000005</v>
      </c>
      <c r="E1064">
        <v>50</v>
      </c>
      <c r="F1064">
        <v>49.964691162000001</v>
      </c>
      <c r="G1064">
        <v>1301.2517089999999</v>
      </c>
      <c r="H1064">
        <v>1288.5748291</v>
      </c>
      <c r="I1064">
        <v>1395.5761719</v>
      </c>
      <c r="J1064">
        <v>1375.8508300999999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588.44044699999995</v>
      </c>
      <c r="B1065" s="1">
        <f>DATE(2011,12,10) + TIME(10,34,14)</f>
        <v>40887.440439814818</v>
      </c>
      <c r="C1065">
        <v>80</v>
      </c>
      <c r="D1065">
        <v>74.460350036999998</v>
      </c>
      <c r="E1065">
        <v>50</v>
      </c>
      <c r="F1065">
        <v>49.964744568</v>
      </c>
      <c r="G1065">
        <v>1301.1646728999999</v>
      </c>
      <c r="H1065">
        <v>1288.4688721</v>
      </c>
      <c r="I1065">
        <v>1395.5285644999999</v>
      </c>
      <c r="J1065">
        <v>1375.8104248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589.94651499999998</v>
      </c>
      <c r="B1066" s="1">
        <f>DATE(2011,12,11) + TIME(22,42,58)</f>
        <v>40888.946504629632</v>
      </c>
      <c r="C1066">
        <v>80</v>
      </c>
      <c r="D1066">
        <v>74.306945800999998</v>
      </c>
      <c r="E1066">
        <v>50</v>
      </c>
      <c r="F1066">
        <v>49.964805603000002</v>
      </c>
      <c r="G1066">
        <v>1301.0733643000001</v>
      </c>
      <c r="H1066">
        <v>1288.3574219</v>
      </c>
      <c r="I1066">
        <v>1395.4810791</v>
      </c>
      <c r="J1066">
        <v>1375.7701416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591.52561300000002</v>
      </c>
      <c r="B1067" s="1">
        <f>DATE(2011,12,13) + TIME(12,36,52)</f>
        <v>40890.525601851848</v>
      </c>
      <c r="C1067">
        <v>80</v>
      </c>
      <c r="D1067">
        <v>74.149917603000006</v>
      </c>
      <c r="E1067">
        <v>50</v>
      </c>
      <c r="F1067">
        <v>49.964862822999997</v>
      </c>
      <c r="G1067">
        <v>1300.9768065999999</v>
      </c>
      <c r="H1067">
        <v>1288.2390137</v>
      </c>
      <c r="I1067">
        <v>1395.4332274999999</v>
      </c>
      <c r="J1067">
        <v>1375.7294922000001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593.13584400000002</v>
      </c>
      <c r="B1068" s="1">
        <f>DATE(2011,12,15) + TIME(3,15,36)</f>
        <v>40892.135833333334</v>
      </c>
      <c r="C1068">
        <v>80</v>
      </c>
      <c r="D1068">
        <v>73.989753723000007</v>
      </c>
      <c r="E1068">
        <v>50</v>
      </c>
      <c r="F1068">
        <v>49.964927672999998</v>
      </c>
      <c r="G1068">
        <v>1300.8736572</v>
      </c>
      <c r="H1068">
        <v>1288.1123047000001</v>
      </c>
      <c r="I1068">
        <v>1395.3846435999999</v>
      </c>
      <c r="J1068">
        <v>1375.6882324000001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594.77348400000005</v>
      </c>
      <c r="B1069" s="1">
        <f>DATE(2011,12,16) + TIME(18,33,48)</f>
        <v>40893.773472222223</v>
      </c>
      <c r="C1069">
        <v>80</v>
      </c>
      <c r="D1069">
        <v>73.828407287999994</v>
      </c>
      <c r="E1069">
        <v>50</v>
      </c>
      <c r="F1069">
        <v>49.964988708</v>
      </c>
      <c r="G1069">
        <v>1300.7663574000001</v>
      </c>
      <c r="H1069">
        <v>1287.9798584</v>
      </c>
      <c r="I1069">
        <v>1395.3367920000001</v>
      </c>
      <c r="J1069">
        <v>1375.6474608999999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596.424486</v>
      </c>
      <c r="B1070" s="1">
        <f>DATE(2011,12,18) + TIME(10,11,15)</f>
        <v>40895.424479166664</v>
      </c>
      <c r="C1070">
        <v>80</v>
      </c>
      <c r="D1070">
        <v>73.667083739999995</v>
      </c>
      <c r="E1070">
        <v>50</v>
      </c>
      <c r="F1070">
        <v>49.965049743999998</v>
      </c>
      <c r="G1070">
        <v>1300.6550293</v>
      </c>
      <c r="H1070">
        <v>1287.8417969</v>
      </c>
      <c r="I1070">
        <v>1395.2895507999999</v>
      </c>
      <c r="J1070">
        <v>1375.6072998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598.10272199999997</v>
      </c>
      <c r="B1071" s="1">
        <f>DATE(2011,12,20) + TIME(2,27,55)</f>
        <v>40897.102719907409</v>
      </c>
      <c r="C1071">
        <v>80</v>
      </c>
      <c r="D1071">
        <v>73.506271362000007</v>
      </c>
      <c r="E1071">
        <v>50</v>
      </c>
      <c r="F1071">
        <v>49.965114593999999</v>
      </c>
      <c r="G1071">
        <v>1300.5405272999999</v>
      </c>
      <c r="H1071">
        <v>1287.6990966999999</v>
      </c>
      <c r="I1071">
        <v>1395.2435303</v>
      </c>
      <c r="J1071">
        <v>1375.5681152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599.82226500000002</v>
      </c>
      <c r="B1072" s="1">
        <f>DATE(2011,12,21) + TIME(19,44,3)</f>
        <v>40898.822256944448</v>
      </c>
      <c r="C1072">
        <v>80</v>
      </c>
      <c r="D1072">
        <v>73.345184325999995</v>
      </c>
      <c r="E1072">
        <v>50</v>
      </c>
      <c r="F1072">
        <v>49.965179442999997</v>
      </c>
      <c r="G1072">
        <v>1300.421875</v>
      </c>
      <c r="H1072">
        <v>1287.5504149999999</v>
      </c>
      <c r="I1072">
        <v>1395.1981201000001</v>
      </c>
      <c r="J1072">
        <v>1375.5294189000001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601.59817599999997</v>
      </c>
      <c r="B1073" s="1">
        <f>DATE(2011,12,23) + TIME(14,21,22)</f>
        <v>40900.598171296297</v>
      </c>
      <c r="C1073">
        <v>80</v>
      </c>
      <c r="D1073">
        <v>73.182685852000006</v>
      </c>
      <c r="E1073">
        <v>50</v>
      </c>
      <c r="F1073">
        <v>49.965248107999997</v>
      </c>
      <c r="G1073">
        <v>1300.2977295000001</v>
      </c>
      <c r="H1073">
        <v>1287.3944091999999</v>
      </c>
      <c r="I1073">
        <v>1395.1529541</v>
      </c>
      <c r="J1073">
        <v>1375.4908447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603.44735900000001</v>
      </c>
      <c r="B1074" s="1">
        <f>DATE(2011,12,25) + TIME(10,44,11)</f>
        <v>40902.44734953704</v>
      </c>
      <c r="C1074">
        <v>80</v>
      </c>
      <c r="D1074">
        <v>73.017494201999995</v>
      </c>
      <c r="E1074">
        <v>50</v>
      </c>
      <c r="F1074">
        <v>49.965320587000001</v>
      </c>
      <c r="G1074">
        <v>1300.1669922000001</v>
      </c>
      <c r="H1074">
        <v>1287.2292480000001</v>
      </c>
      <c r="I1074">
        <v>1395.1077881000001</v>
      </c>
      <c r="J1074">
        <v>1375.4522704999999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605.32416999999998</v>
      </c>
      <c r="B1075" s="1">
        <f>DATE(2011,12,27) + TIME(7,46,48)</f>
        <v>40904.324166666665</v>
      </c>
      <c r="C1075">
        <v>80</v>
      </c>
      <c r="D1075">
        <v>72.849754333000007</v>
      </c>
      <c r="E1075">
        <v>50</v>
      </c>
      <c r="F1075">
        <v>49.965393065999997</v>
      </c>
      <c r="G1075">
        <v>1300.0279541</v>
      </c>
      <c r="H1075">
        <v>1287.0532227000001</v>
      </c>
      <c r="I1075">
        <v>1395.0620117000001</v>
      </c>
      <c r="J1075">
        <v>1375.4132079999999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607.237167</v>
      </c>
      <c r="B1076" s="1">
        <f>DATE(2011,12,29) + TIME(5,41,31)</f>
        <v>40906.237164351849</v>
      </c>
      <c r="C1076">
        <v>80</v>
      </c>
      <c r="D1076">
        <v>72.681182860999996</v>
      </c>
      <c r="E1076">
        <v>50</v>
      </c>
      <c r="F1076">
        <v>49.965465545999997</v>
      </c>
      <c r="G1076">
        <v>1299.8835449000001</v>
      </c>
      <c r="H1076">
        <v>1286.8695068</v>
      </c>
      <c r="I1076">
        <v>1395.0169678</v>
      </c>
      <c r="J1076">
        <v>1375.3746338000001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609.19426099999998</v>
      </c>
      <c r="B1077" s="1">
        <f>DATE(2011,12,31) + TIME(4,39,44)</f>
        <v>40908.19425925926</v>
      </c>
      <c r="C1077">
        <v>80</v>
      </c>
      <c r="D1077">
        <v>72.511695861999996</v>
      </c>
      <c r="E1077">
        <v>50</v>
      </c>
      <c r="F1077">
        <v>49.965538025000001</v>
      </c>
      <c r="G1077">
        <v>1299.7331543</v>
      </c>
      <c r="H1077">
        <v>1286.677124</v>
      </c>
      <c r="I1077">
        <v>1394.9724120999999</v>
      </c>
      <c r="J1077">
        <v>1375.3364257999999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610</v>
      </c>
      <c r="B1078" s="1">
        <f>DATE(2012,1,1) + TIME(0,0,0)</f>
        <v>40909</v>
      </c>
      <c r="C1078">
        <v>80</v>
      </c>
      <c r="D1078">
        <v>72.388854980000005</v>
      </c>
      <c r="E1078">
        <v>50</v>
      </c>
      <c r="F1078">
        <v>49.965564727999997</v>
      </c>
      <c r="G1078">
        <v>1299.5777588000001</v>
      </c>
      <c r="H1078">
        <v>1286.4857178</v>
      </c>
      <c r="I1078">
        <v>1394.927124</v>
      </c>
      <c r="J1078">
        <v>1375.2974853999999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611.98377000000005</v>
      </c>
      <c r="B1079" s="1">
        <f>DATE(2012,1,2) + TIME(23,36,37)</f>
        <v>40910.983761574076</v>
      </c>
      <c r="C1079">
        <v>80</v>
      </c>
      <c r="D1079">
        <v>72.257949828999998</v>
      </c>
      <c r="E1079">
        <v>50</v>
      </c>
      <c r="F1079">
        <v>49.965644836000003</v>
      </c>
      <c r="G1079">
        <v>1299.5047606999999</v>
      </c>
      <c r="H1079">
        <v>1286.3800048999999</v>
      </c>
      <c r="I1079">
        <v>1394.9101562000001</v>
      </c>
      <c r="J1079">
        <v>1375.2830810999999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614.03446399999996</v>
      </c>
      <c r="B1080" s="1">
        <f>DATE(2012,1,5) + TIME(0,49,37)</f>
        <v>40913.034456018519</v>
      </c>
      <c r="C1080">
        <v>80</v>
      </c>
      <c r="D1080">
        <v>72.097633361999996</v>
      </c>
      <c r="E1080">
        <v>50</v>
      </c>
      <c r="F1080">
        <v>49.965721129999999</v>
      </c>
      <c r="G1080">
        <v>1299.3435059000001</v>
      </c>
      <c r="H1080">
        <v>1286.1743164</v>
      </c>
      <c r="I1080">
        <v>1394.8670654</v>
      </c>
      <c r="J1080">
        <v>1375.2459716999999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616.11093100000005</v>
      </c>
      <c r="B1081" s="1">
        <f>DATE(2012,1,7) + TIME(2,39,44)</f>
        <v>40915.110925925925</v>
      </c>
      <c r="C1081">
        <v>80</v>
      </c>
      <c r="D1081">
        <v>71.927803040000001</v>
      </c>
      <c r="E1081">
        <v>50</v>
      </c>
      <c r="F1081">
        <v>49.965801239000001</v>
      </c>
      <c r="G1081">
        <v>1299.1702881000001</v>
      </c>
      <c r="H1081">
        <v>1285.9506836</v>
      </c>
      <c r="I1081">
        <v>1394.8234863</v>
      </c>
      <c r="J1081">
        <v>1375.2086182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618.21098900000004</v>
      </c>
      <c r="B1082" s="1">
        <f>DATE(2012,1,9) + TIME(5,3,49)</f>
        <v>40917.2109837963</v>
      </c>
      <c r="C1082">
        <v>80</v>
      </c>
      <c r="D1082">
        <v>71.755485535000005</v>
      </c>
      <c r="E1082">
        <v>50</v>
      </c>
      <c r="F1082">
        <v>49.965881348000003</v>
      </c>
      <c r="G1082">
        <v>1298.9901123</v>
      </c>
      <c r="H1082">
        <v>1285.7163086</v>
      </c>
      <c r="I1082">
        <v>1394.7806396000001</v>
      </c>
      <c r="J1082">
        <v>1375.1717529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620.338842</v>
      </c>
      <c r="B1083" s="1">
        <f>DATE(2012,1,11) + TIME(8,7,55)</f>
        <v>40919.338831018518</v>
      </c>
      <c r="C1083">
        <v>80</v>
      </c>
      <c r="D1083">
        <v>71.582397460999999</v>
      </c>
      <c r="E1083">
        <v>50</v>
      </c>
      <c r="F1083">
        <v>49.965961456000002</v>
      </c>
      <c r="G1083">
        <v>1298.8033447</v>
      </c>
      <c r="H1083">
        <v>1285.4722899999999</v>
      </c>
      <c r="I1083">
        <v>1394.7385254000001</v>
      </c>
      <c r="J1083">
        <v>1375.135376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622.49856</v>
      </c>
      <c r="B1084" s="1">
        <f>DATE(2012,1,13) + TIME(11,57,55)</f>
        <v>40921.498553240737</v>
      </c>
      <c r="C1084">
        <v>80</v>
      </c>
      <c r="D1084">
        <v>71.408592224000003</v>
      </c>
      <c r="E1084">
        <v>50</v>
      </c>
      <c r="F1084">
        <v>49.966041564999998</v>
      </c>
      <c r="G1084">
        <v>1298.6098632999999</v>
      </c>
      <c r="H1084">
        <v>1285.2183838000001</v>
      </c>
      <c r="I1084">
        <v>1394.6968993999999</v>
      </c>
      <c r="J1084">
        <v>1375.0994873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624.68636400000003</v>
      </c>
      <c r="B1085" s="1">
        <f>DATE(2012,1,15) + TIME(16,28,21)</f>
        <v>40923.686354166668</v>
      </c>
      <c r="C1085">
        <v>80</v>
      </c>
      <c r="D1085">
        <v>71.233848571999999</v>
      </c>
      <c r="E1085">
        <v>50</v>
      </c>
      <c r="F1085">
        <v>49.966121674</v>
      </c>
      <c r="G1085">
        <v>1298.4089355000001</v>
      </c>
      <c r="H1085">
        <v>1284.9538574000001</v>
      </c>
      <c r="I1085">
        <v>1394.6556396000001</v>
      </c>
      <c r="J1085">
        <v>1375.0638428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626.89207299999998</v>
      </c>
      <c r="B1086" s="1">
        <f>DATE(2012,1,17) + TIME(21,24,35)</f>
        <v>40925.892071759263</v>
      </c>
      <c r="C1086">
        <v>80</v>
      </c>
      <c r="D1086">
        <v>71.058311462000006</v>
      </c>
      <c r="E1086">
        <v>50</v>
      </c>
      <c r="F1086">
        <v>49.966205596999998</v>
      </c>
      <c r="G1086">
        <v>1298.2009277</v>
      </c>
      <c r="H1086">
        <v>1284.6787108999999</v>
      </c>
      <c r="I1086">
        <v>1394.6148682</v>
      </c>
      <c r="J1086">
        <v>1375.0286865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629.120317</v>
      </c>
      <c r="B1087" s="1">
        <f>DATE(2012,1,20) + TIME(2,53,15)</f>
        <v>40928.120312500003</v>
      </c>
      <c r="C1087">
        <v>80</v>
      </c>
      <c r="D1087">
        <v>70.882141113000003</v>
      </c>
      <c r="E1087">
        <v>50</v>
      </c>
      <c r="F1087">
        <v>49.966285706000001</v>
      </c>
      <c r="G1087">
        <v>1297.9863281</v>
      </c>
      <c r="H1087">
        <v>1284.394043</v>
      </c>
      <c r="I1087">
        <v>1394.5748291</v>
      </c>
      <c r="J1087">
        <v>1374.9938964999999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631.37331400000005</v>
      </c>
      <c r="B1088" s="1">
        <f>DATE(2012,1,22) + TIME(8,57,34)</f>
        <v>40930.373310185183</v>
      </c>
      <c r="C1088">
        <v>80</v>
      </c>
      <c r="D1088">
        <v>70.704925536999994</v>
      </c>
      <c r="E1088">
        <v>50</v>
      </c>
      <c r="F1088">
        <v>49.966369628999999</v>
      </c>
      <c r="G1088">
        <v>1297.7648925999999</v>
      </c>
      <c r="H1088">
        <v>1284.0991211</v>
      </c>
      <c r="I1088">
        <v>1394.5351562000001</v>
      </c>
      <c r="J1088">
        <v>1374.9595947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633.64713900000004</v>
      </c>
      <c r="B1089" s="1">
        <f>DATE(2012,1,24) + TIME(15,31,52)</f>
        <v>40932.647129629629</v>
      </c>
      <c r="C1089">
        <v>80</v>
      </c>
      <c r="D1089">
        <v>70.526313782000003</v>
      </c>
      <c r="E1089">
        <v>50</v>
      </c>
      <c r="F1089">
        <v>49.966453551999997</v>
      </c>
      <c r="G1089">
        <v>1297.5361327999999</v>
      </c>
      <c r="H1089">
        <v>1283.7933350000001</v>
      </c>
      <c r="I1089">
        <v>1394.4959716999999</v>
      </c>
      <c r="J1089">
        <v>1374.9256591999999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635.94637499999999</v>
      </c>
      <c r="B1090" s="1">
        <f>DATE(2012,1,26) + TIME(22,42,46)</f>
        <v>40934.94636574074</v>
      </c>
      <c r="C1090">
        <v>80</v>
      </c>
      <c r="D1090">
        <v>70.346046447999996</v>
      </c>
      <c r="E1090">
        <v>50</v>
      </c>
      <c r="F1090">
        <v>49.966533661</v>
      </c>
      <c r="G1090">
        <v>1297.300293</v>
      </c>
      <c r="H1090">
        <v>1283.4769286999999</v>
      </c>
      <c r="I1090">
        <v>1394.4573975000001</v>
      </c>
      <c r="J1090">
        <v>1374.8920897999999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638.27536099999998</v>
      </c>
      <c r="B1091" s="1">
        <f>DATE(2012,1,29) + TIME(6,36,31)</f>
        <v>40937.275358796294</v>
      </c>
      <c r="C1091">
        <v>80</v>
      </c>
      <c r="D1091">
        <v>70.163513183999996</v>
      </c>
      <c r="E1091">
        <v>50</v>
      </c>
      <c r="F1091">
        <v>49.966621398999997</v>
      </c>
      <c r="G1091">
        <v>1297.0568848</v>
      </c>
      <c r="H1091">
        <v>1283.1492920000001</v>
      </c>
      <c r="I1091">
        <v>1394.4190673999999</v>
      </c>
      <c r="J1091">
        <v>1374.8587646000001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640.63845900000001</v>
      </c>
      <c r="B1092" s="1">
        <f>DATE(2012,1,31) + TIME(15,19,22)</f>
        <v>40939.638449074075</v>
      </c>
      <c r="C1092">
        <v>80</v>
      </c>
      <c r="D1092">
        <v>69.978080750000004</v>
      </c>
      <c r="E1092">
        <v>50</v>
      </c>
      <c r="F1092">
        <v>49.966705322000003</v>
      </c>
      <c r="G1092">
        <v>1296.8052978999999</v>
      </c>
      <c r="H1092">
        <v>1282.8094481999999</v>
      </c>
      <c r="I1092">
        <v>1394.3811035000001</v>
      </c>
      <c r="J1092">
        <v>1374.8256836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641</v>
      </c>
      <c r="B1093" s="1">
        <f>DATE(2012,2,1) + TIME(0,0,0)</f>
        <v>40940</v>
      </c>
      <c r="C1093">
        <v>80</v>
      </c>
      <c r="D1093">
        <v>69.894081115999995</v>
      </c>
      <c r="E1093">
        <v>50</v>
      </c>
      <c r="F1093">
        <v>49.966712952000002</v>
      </c>
      <c r="G1093">
        <v>1296.5628661999999</v>
      </c>
      <c r="H1093">
        <v>1282.5053711</v>
      </c>
      <c r="I1093">
        <v>1394.3421631000001</v>
      </c>
      <c r="J1093">
        <v>1374.7915039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643.38896699999998</v>
      </c>
      <c r="B1094" s="1">
        <f>DATE(2012,2,3) + TIME(9,20,6)</f>
        <v>40942.388958333337</v>
      </c>
      <c r="C1094">
        <v>80</v>
      </c>
      <c r="D1094">
        <v>69.747314453000001</v>
      </c>
      <c r="E1094">
        <v>50</v>
      </c>
      <c r="F1094">
        <v>49.966804504000002</v>
      </c>
      <c r="G1094">
        <v>1296.4942627</v>
      </c>
      <c r="H1094">
        <v>1282.3823242000001</v>
      </c>
      <c r="I1094">
        <v>1394.3376464999999</v>
      </c>
      <c r="J1094">
        <v>1374.7877197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645.80524000000003</v>
      </c>
      <c r="B1095" s="1">
        <f>DATE(2012,2,5) + TIME(19,19,32)</f>
        <v>40944.805231481485</v>
      </c>
      <c r="C1095">
        <v>80</v>
      </c>
      <c r="D1095">
        <v>69.563613892000006</v>
      </c>
      <c r="E1095">
        <v>50</v>
      </c>
      <c r="F1095">
        <v>49.966888427999997</v>
      </c>
      <c r="G1095">
        <v>1296.2329102000001</v>
      </c>
      <c r="H1095">
        <v>1282.0307617000001</v>
      </c>
      <c r="I1095">
        <v>1394.300293</v>
      </c>
      <c r="J1095">
        <v>1374.7551269999999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648.24256200000002</v>
      </c>
      <c r="B1096" s="1">
        <f>DATE(2012,2,8) + TIME(5,49,17)</f>
        <v>40947.24255787037</v>
      </c>
      <c r="C1096">
        <v>80</v>
      </c>
      <c r="D1096">
        <v>69.368164062000005</v>
      </c>
      <c r="E1096">
        <v>50</v>
      </c>
      <c r="F1096">
        <v>49.966976166000002</v>
      </c>
      <c r="G1096">
        <v>1295.9569091999999</v>
      </c>
      <c r="H1096">
        <v>1281.6549072</v>
      </c>
      <c r="I1096">
        <v>1394.2631836</v>
      </c>
      <c r="J1096">
        <v>1374.7226562000001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650.70601199999999</v>
      </c>
      <c r="B1097" s="1">
        <f>DATE(2012,2,10) + TIME(16,56,39)</f>
        <v>40949.706006944441</v>
      </c>
      <c r="C1097">
        <v>80</v>
      </c>
      <c r="D1097">
        <v>69.166389464999995</v>
      </c>
      <c r="E1097">
        <v>50</v>
      </c>
      <c r="F1097">
        <v>49.967060089</v>
      </c>
      <c r="G1097">
        <v>1295.6719971</v>
      </c>
      <c r="H1097">
        <v>1281.2645264</v>
      </c>
      <c r="I1097">
        <v>1394.2263184000001</v>
      </c>
      <c r="J1097">
        <v>1374.6904297000001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653.20040500000005</v>
      </c>
      <c r="B1098" s="1">
        <f>DATE(2012,2,13) + TIME(4,48,34)</f>
        <v>40952.20039351852</v>
      </c>
      <c r="C1098">
        <v>80</v>
      </c>
      <c r="D1098">
        <v>68.958686829000001</v>
      </c>
      <c r="E1098">
        <v>50</v>
      </c>
      <c r="F1098">
        <v>49.967147826999998</v>
      </c>
      <c r="G1098">
        <v>1295.378418</v>
      </c>
      <c r="H1098">
        <v>1280.8609618999999</v>
      </c>
      <c r="I1098">
        <v>1394.1896973</v>
      </c>
      <c r="J1098">
        <v>1374.6584473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655.73052299999995</v>
      </c>
      <c r="B1099" s="1">
        <f>DATE(2012,2,15) + TIME(17,31,57)</f>
        <v>40954.730520833335</v>
      </c>
      <c r="C1099">
        <v>80</v>
      </c>
      <c r="D1099">
        <v>68.744285583000007</v>
      </c>
      <c r="E1099">
        <v>50</v>
      </c>
      <c r="F1099">
        <v>49.967235565000003</v>
      </c>
      <c r="G1099">
        <v>1295.0759277</v>
      </c>
      <c r="H1099">
        <v>1280.4436035000001</v>
      </c>
      <c r="I1099">
        <v>1394.1533202999999</v>
      </c>
      <c r="J1099">
        <v>1374.6263428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658.29519400000004</v>
      </c>
      <c r="B1100" s="1">
        <f>DATE(2012,2,18) + TIME(7,5,4)</f>
        <v>40957.295185185183</v>
      </c>
      <c r="C1100">
        <v>80</v>
      </c>
      <c r="D1100">
        <v>68.522178650000001</v>
      </c>
      <c r="E1100">
        <v>50</v>
      </c>
      <c r="F1100">
        <v>49.967323303000001</v>
      </c>
      <c r="G1100">
        <v>1294.7637939000001</v>
      </c>
      <c r="H1100">
        <v>1280.0117187999999</v>
      </c>
      <c r="I1100">
        <v>1394.1168213000001</v>
      </c>
      <c r="J1100">
        <v>1374.5943603999999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660.88484400000004</v>
      </c>
      <c r="B1101" s="1">
        <f>DATE(2012,2,20) + TIME(21,14,10)</f>
        <v>40959.884837962964</v>
      </c>
      <c r="C1101">
        <v>80</v>
      </c>
      <c r="D1101">
        <v>68.291725158999995</v>
      </c>
      <c r="E1101">
        <v>50</v>
      </c>
      <c r="F1101">
        <v>49.967414855999998</v>
      </c>
      <c r="G1101">
        <v>1294.4423827999999</v>
      </c>
      <c r="H1101">
        <v>1279.5651855000001</v>
      </c>
      <c r="I1101">
        <v>1394.0804443</v>
      </c>
      <c r="J1101">
        <v>1374.5622559000001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663.50483199999996</v>
      </c>
      <c r="B1102" s="1">
        <f>DATE(2012,2,23) + TIME(12,6,57)</f>
        <v>40962.504826388889</v>
      </c>
      <c r="C1102">
        <v>80</v>
      </c>
      <c r="D1102">
        <v>68.052536011000001</v>
      </c>
      <c r="E1102">
        <v>50</v>
      </c>
      <c r="F1102">
        <v>49.967502594000003</v>
      </c>
      <c r="G1102">
        <v>1294.1125488</v>
      </c>
      <c r="H1102">
        <v>1279.1053466999999</v>
      </c>
      <c r="I1102">
        <v>1394.0440673999999</v>
      </c>
      <c r="J1102">
        <v>1374.5302733999999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666.15748299999996</v>
      </c>
      <c r="B1103" s="1">
        <f>DATE(2012,2,26) + TIME(3,46,46)</f>
        <v>40965.157476851855</v>
      </c>
      <c r="C1103">
        <v>80</v>
      </c>
      <c r="D1103">
        <v>67.803504943999997</v>
      </c>
      <c r="E1103">
        <v>50</v>
      </c>
      <c r="F1103">
        <v>49.967594147</v>
      </c>
      <c r="G1103">
        <v>1293.7739257999999</v>
      </c>
      <c r="H1103">
        <v>1278.6315918</v>
      </c>
      <c r="I1103">
        <v>1394.0076904</v>
      </c>
      <c r="J1103">
        <v>1374.4981689000001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668.84588299999996</v>
      </c>
      <c r="B1104" s="1">
        <f>DATE(2012,2,28) + TIME(20,18,4)</f>
        <v>40967.845879629633</v>
      </c>
      <c r="C1104">
        <v>80</v>
      </c>
      <c r="D1104">
        <v>67.543479919000006</v>
      </c>
      <c r="E1104">
        <v>50</v>
      </c>
      <c r="F1104">
        <v>49.967681884999998</v>
      </c>
      <c r="G1104">
        <v>1293.4261475000001</v>
      </c>
      <c r="H1104">
        <v>1278.1434326000001</v>
      </c>
      <c r="I1104">
        <v>1393.9713135</v>
      </c>
      <c r="J1104">
        <v>1374.4660644999999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670</v>
      </c>
      <c r="B1105" s="1">
        <f>DATE(2012,3,1) + TIME(0,0,0)</f>
        <v>40969</v>
      </c>
      <c r="C1105">
        <v>80</v>
      </c>
      <c r="D1105">
        <v>67.327842712000006</v>
      </c>
      <c r="E1105">
        <v>50</v>
      </c>
      <c r="F1105">
        <v>49.967716217000003</v>
      </c>
      <c r="G1105">
        <v>1293.0791016000001</v>
      </c>
      <c r="H1105">
        <v>1277.6700439000001</v>
      </c>
      <c r="I1105">
        <v>1393.9339600000001</v>
      </c>
      <c r="J1105">
        <v>1374.4328613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672.71640500000001</v>
      </c>
      <c r="B1106" s="1">
        <f>DATE(2012,3,3) + TIME(17,11,37)</f>
        <v>40971.716400462959</v>
      </c>
      <c r="C1106">
        <v>80</v>
      </c>
      <c r="D1106">
        <v>67.131233214999995</v>
      </c>
      <c r="E1106">
        <v>50</v>
      </c>
      <c r="F1106">
        <v>49.967811584000003</v>
      </c>
      <c r="G1106">
        <v>1292.8962402</v>
      </c>
      <c r="H1106">
        <v>1277.3867187999999</v>
      </c>
      <c r="I1106">
        <v>1393.9193115</v>
      </c>
      <c r="J1106">
        <v>1374.4199219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675.47356400000001</v>
      </c>
      <c r="B1107" s="1">
        <f>DATE(2012,3,6) + TIME(11,21,55)</f>
        <v>40974.473553240743</v>
      </c>
      <c r="C1107">
        <v>80</v>
      </c>
      <c r="D1107">
        <v>66.857673645000006</v>
      </c>
      <c r="E1107">
        <v>50</v>
      </c>
      <c r="F1107">
        <v>49.967903137</v>
      </c>
      <c r="G1107">
        <v>1292.5435791</v>
      </c>
      <c r="H1107">
        <v>1276.8942870999999</v>
      </c>
      <c r="I1107">
        <v>1393.8828125</v>
      </c>
      <c r="J1107">
        <v>1374.3875731999999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678.26642100000004</v>
      </c>
      <c r="B1108" s="1">
        <f>DATE(2012,3,9) + TIME(6,23,38)</f>
        <v>40977.266412037039</v>
      </c>
      <c r="C1108">
        <v>80</v>
      </c>
      <c r="D1108">
        <v>66.556663513000004</v>
      </c>
      <c r="E1108">
        <v>50</v>
      </c>
      <c r="F1108">
        <v>49.967994689999998</v>
      </c>
      <c r="G1108">
        <v>1292.1699219</v>
      </c>
      <c r="H1108">
        <v>1276.3643798999999</v>
      </c>
      <c r="I1108">
        <v>1393.8460693</v>
      </c>
      <c r="J1108">
        <v>1374.3548584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681.10142099999996</v>
      </c>
      <c r="B1109" s="1">
        <f>DATE(2012,3,12) + TIME(2,26,2)</f>
        <v>40980.101412037038</v>
      </c>
      <c r="C1109">
        <v>80</v>
      </c>
      <c r="D1109">
        <v>66.237800598000007</v>
      </c>
      <c r="E1109">
        <v>50</v>
      </c>
      <c r="F1109">
        <v>49.968086243000002</v>
      </c>
      <c r="G1109">
        <v>1291.7852783000001</v>
      </c>
      <c r="H1109">
        <v>1275.8155518000001</v>
      </c>
      <c r="I1109">
        <v>1393.809082</v>
      </c>
      <c r="J1109">
        <v>1374.3218993999999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683.97908700000005</v>
      </c>
      <c r="B1110" s="1">
        <f>DATE(2012,3,14) + TIME(23,29,53)</f>
        <v>40982.979085648149</v>
      </c>
      <c r="C1110">
        <v>80</v>
      </c>
      <c r="D1110">
        <v>65.901588439999998</v>
      </c>
      <c r="E1110">
        <v>50</v>
      </c>
      <c r="F1110">
        <v>49.968177795000003</v>
      </c>
      <c r="G1110">
        <v>1291.3911132999999</v>
      </c>
      <c r="H1110">
        <v>1275.2508545000001</v>
      </c>
      <c r="I1110">
        <v>1393.7717285000001</v>
      </c>
      <c r="J1110">
        <v>1374.2886963000001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686.898866</v>
      </c>
      <c r="B1111" s="1">
        <f>DATE(2012,3,17) + TIME(21,34,22)</f>
        <v>40985.898865740739</v>
      </c>
      <c r="C1111">
        <v>80</v>
      </c>
      <c r="D1111">
        <v>65.547431946000003</v>
      </c>
      <c r="E1111">
        <v>50</v>
      </c>
      <c r="F1111">
        <v>49.968273162999999</v>
      </c>
      <c r="G1111">
        <v>1290.9879149999999</v>
      </c>
      <c r="H1111">
        <v>1274.6708983999999</v>
      </c>
      <c r="I1111">
        <v>1393.7340088000001</v>
      </c>
      <c r="J1111">
        <v>1374.2548827999999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689.86320599999999</v>
      </c>
      <c r="B1112" s="1">
        <f>DATE(2012,3,20) + TIME(20,43,1)</f>
        <v>40988.863206018519</v>
      </c>
      <c r="C1112">
        <v>80</v>
      </c>
      <c r="D1112">
        <v>65.174476623999993</v>
      </c>
      <c r="E1112">
        <v>50</v>
      </c>
      <c r="F1112">
        <v>49.968364716000004</v>
      </c>
      <c r="G1112">
        <v>1290.5761719</v>
      </c>
      <c r="H1112">
        <v>1274.0761719</v>
      </c>
      <c r="I1112">
        <v>1393.6958007999999</v>
      </c>
      <c r="J1112">
        <v>1374.2207031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692.86387500000001</v>
      </c>
      <c r="B1113" s="1">
        <f>DATE(2012,3,23) + TIME(20,43,58)</f>
        <v>40991.863865740743</v>
      </c>
      <c r="C1113">
        <v>80</v>
      </c>
      <c r="D1113">
        <v>64.782173157000003</v>
      </c>
      <c r="E1113">
        <v>50</v>
      </c>
      <c r="F1113">
        <v>49.968460082999997</v>
      </c>
      <c r="G1113">
        <v>1290.1561279</v>
      </c>
      <c r="H1113">
        <v>1273.4672852000001</v>
      </c>
      <c r="I1113">
        <v>1393.6571045000001</v>
      </c>
      <c r="J1113">
        <v>1374.1859131000001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695.90782000000002</v>
      </c>
      <c r="B1114" s="1">
        <f>DATE(2012,3,26) + TIME(21,47,15)</f>
        <v>40994.907812500001</v>
      </c>
      <c r="C1114">
        <v>80</v>
      </c>
      <c r="D1114">
        <v>64.370697020999998</v>
      </c>
      <c r="E1114">
        <v>50</v>
      </c>
      <c r="F1114">
        <v>49.968555449999997</v>
      </c>
      <c r="G1114">
        <v>1289.7292480000001</v>
      </c>
      <c r="H1114">
        <v>1272.8457031</v>
      </c>
      <c r="I1114">
        <v>1393.6180420000001</v>
      </c>
      <c r="J1114">
        <v>1374.1507568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699.00208599999996</v>
      </c>
      <c r="B1115" s="1">
        <f>DATE(2012,3,30) + TIME(0,3,0)</f>
        <v>40998.002083333333</v>
      </c>
      <c r="C1115">
        <v>80</v>
      </c>
      <c r="D1115">
        <v>63.938766479000002</v>
      </c>
      <c r="E1115">
        <v>50</v>
      </c>
      <c r="F1115">
        <v>49.968650818</v>
      </c>
      <c r="G1115">
        <v>1289.2952881000001</v>
      </c>
      <c r="H1115">
        <v>1272.2114257999999</v>
      </c>
      <c r="I1115">
        <v>1393.5782471</v>
      </c>
      <c r="J1115">
        <v>1374.1149902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701</v>
      </c>
      <c r="B1116" s="1">
        <f>DATE(2012,4,1) + TIME(0,0,0)</f>
        <v>41000</v>
      </c>
      <c r="C1116">
        <v>80</v>
      </c>
      <c r="D1116">
        <v>63.524345398000001</v>
      </c>
      <c r="E1116">
        <v>50</v>
      </c>
      <c r="F1116">
        <v>49.968708038000003</v>
      </c>
      <c r="G1116">
        <v>1288.8586425999999</v>
      </c>
      <c r="H1116">
        <v>1271.5820312000001</v>
      </c>
      <c r="I1116">
        <v>1393.5373535000001</v>
      </c>
      <c r="J1116">
        <v>1374.0780029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704.15201300000001</v>
      </c>
      <c r="B1117" s="1">
        <f>DATE(2012,4,4) + TIME(3,38,53)</f>
        <v>41003.152002314811</v>
      </c>
      <c r="C1117">
        <v>80</v>
      </c>
      <c r="D1117">
        <v>63.163185120000001</v>
      </c>
      <c r="E1117">
        <v>50</v>
      </c>
      <c r="F1117">
        <v>49.968807220000002</v>
      </c>
      <c r="G1117">
        <v>1288.5543213000001</v>
      </c>
      <c r="H1117">
        <v>1271.1131591999999</v>
      </c>
      <c r="I1117">
        <v>1393.5117187999999</v>
      </c>
      <c r="J1117">
        <v>1374.0546875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707.38186599999995</v>
      </c>
      <c r="B1118" s="1">
        <f>DATE(2012,4,7) + TIME(9,9,53)</f>
        <v>41006.381863425922</v>
      </c>
      <c r="C1118">
        <v>80</v>
      </c>
      <c r="D1118">
        <v>62.694747925000001</v>
      </c>
      <c r="E1118">
        <v>50</v>
      </c>
      <c r="F1118">
        <v>49.968906402999998</v>
      </c>
      <c r="G1118">
        <v>1288.1186522999999</v>
      </c>
      <c r="H1118">
        <v>1270.4763184000001</v>
      </c>
      <c r="I1118">
        <v>1393.4703368999999</v>
      </c>
      <c r="J1118">
        <v>1374.0172118999999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710.66708000000006</v>
      </c>
      <c r="B1119" s="1">
        <f>DATE(2012,4,10) + TIME(16,0,35)</f>
        <v>41009.667071759257</v>
      </c>
      <c r="C1119">
        <v>80</v>
      </c>
      <c r="D1119">
        <v>62.187065124999997</v>
      </c>
      <c r="E1119">
        <v>50</v>
      </c>
      <c r="F1119">
        <v>49.969001769999998</v>
      </c>
      <c r="G1119">
        <v>1287.6634521000001</v>
      </c>
      <c r="H1119">
        <v>1269.802124</v>
      </c>
      <c r="I1119">
        <v>1393.4278564000001</v>
      </c>
      <c r="J1119">
        <v>1373.9786377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714.016437</v>
      </c>
      <c r="B1120" s="1">
        <f>DATE(2012,4,14) + TIME(0,23,40)</f>
        <v>41013.016435185185</v>
      </c>
      <c r="C1120">
        <v>80</v>
      </c>
      <c r="D1120">
        <v>61.65530777</v>
      </c>
      <c r="E1120">
        <v>50</v>
      </c>
      <c r="F1120">
        <v>49.969100951999998</v>
      </c>
      <c r="G1120">
        <v>1287.2009277</v>
      </c>
      <c r="H1120">
        <v>1269.1130370999999</v>
      </c>
      <c r="I1120">
        <v>1393.3845214999999</v>
      </c>
      <c r="J1120">
        <v>1373.9392089999999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717.43388800000002</v>
      </c>
      <c r="B1121" s="1">
        <f>DATE(2012,4,17) + TIME(10,24,47)</f>
        <v>41016.433877314812</v>
      </c>
      <c r="C1121">
        <v>80</v>
      </c>
      <c r="D1121">
        <v>61.100379943999997</v>
      </c>
      <c r="E1121">
        <v>50</v>
      </c>
      <c r="F1121">
        <v>49.969203948999997</v>
      </c>
      <c r="G1121">
        <v>1286.7325439000001</v>
      </c>
      <c r="H1121">
        <v>1268.4119873</v>
      </c>
      <c r="I1121">
        <v>1393.3402100000001</v>
      </c>
      <c r="J1121">
        <v>1373.8986815999999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720.90578100000005</v>
      </c>
      <c r="B1122" s="1">
        <f>DATE(2012,4,20) + TIME(21,44,19)</f>
        <v>41019.905775462961</v>
      </c>
      <c r="C1122">
        <v>80</v>
      </c>
      <c r="D1122">
        <v>60.524284363</v>
      </c>
      <c r="E1122">
        <v>50</v>
      </c>
      <c r="F1122">
        <v>49.969303130999997</v>
      </c>
      <c r="G1122">
        <v>1286.2591553</v>
      </c>
      <c r="H1122">
        <v>1267.7004394999999</v>
      </c>
      <c r="I1122">
        <v>1393.2947998</v>
      </c>
      <c r="J1122">
        <v>1373.8570557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724.44386799999995</v>
      </c>
      <c r="B1123" s="1">
        <f>DATE(2012,4,24) + TIME(10,39,10)</f>
        <v>41023.443865740737</v>
      </c>
      <c r="C1123">
        <v>80</v>
      </c>
      <c r="D1123">
        <v>59.927661895999996</v>
      </c>
      <c r="E1123">
        <v>50</v>
      </c>
      <c r="F1123">
        <v>49.969406128000003</v>
      </c>
      <c r="G1123">
        <v>1285.7833252</v>
      </c>
      <c r="H1123">
        <v>1266.9819336</v>
      </c>
      <c r="I1123">
        <v>1393.2482910000001</v>
      </c>
      <c r="J1123">
        <v>1373.8144531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728.05533600000001</v>
      </c>
      <c r="B1124" s="1">
        <f>DATE(2012,4,28) + TIME(1,19,41)</f>
        <v>41027.055335648147</v>
      </c>
      <c r="C1124">
        <v>80</v>
      </c>
      <c r="D1124">
        <v>59.310913085999999</v>
      </c>
      <c r="E1124">
        <v>50</v>
      </c>
      <c r="F1124">
        <v>49.969509125000002</v>
      </c>
      <c r="G1124">
        <v>1285.3052978999999</v>
      </c>
      <c r="H1124">
        <v>1266.2568358999999</v>
      </c>
      <c r="I1124">
        <v>1393.2008057</v>
      </c>
      <c r="J1124">
        <v>1373.7706298999999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731</v>
      </c>
      <c r="B1125" s="1">
        <f>DATE(2012,5,1) + TIME(0,0,0)</f>
        <v>41030</v>
      </c>
      <c r="C1125">
        <v>80</v>
      </c>
      <c r="D1125">
        <v>58.69562912</v>
      </c>
      <c r="E1125">
        <v>50</v>
      </c>
      <c r="F1125">
        <v>49.969593048</v>
      </c>
      <c r="G1125">
        <v>1284.8262939000001</v>
      </c>
      <c r="H1125">
        <v>1265.5343018000001</v>
      </c>
      <c r="I1125">
        <v>1393.1518555</v>
      </c>
      <c r="J1125">
        <v>1373.7254639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731.000001</v>
      </c>
      <c r="B1126" s="1">
        <f>DATE(2012,5,1) + TIME(0,0,0)</f>
        <v>41030</v>
      </c>
      <c r="C1126">
        <v>80</v>
      </c>
      <c r="D1126">
        <v>58.695827483999999</v>
      </c>
      <c r="E1126">
        <v>50</v>
      </c>
      <c r="F1126">
        <v>49.969455719000003</v>
      </c>
      <c r="G1126">
        <v>1305.6778564000001</v>
      </c>
      <c r="H1126">
        <v>1285.848999</v>
      </c>
      <c r="I1126">
        <v>1372.8492432</v>
      </c>
      <c r="J1126">
        <v>1353.9339600000001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731.00000399999999</v>
      </c>
      <c r="B1127" s="1">
        <f>DATE(2012,5,1) + TIME(0,0,0)</f>
        <v>41030</v>
      </c>
      <c r="C1127">
        <v>80</v>
      </c>
      <c r="D1127">
        <v>58.696361541999998</v>
      </c>
      <c r="E1127">
        <v>50</v>
      </c>
      <c r="F1127">
        <v>49.969100951999998</v>
      </c>
      <c r="G1127">
        <v>1308.0715332</v>
      </c>
      <c r="H1127">
        <v>1288.5179443</v>
      </c>
      <c r="I1127">
        <v>1370.5123291</v>
      </c>
      <c r="J1127">
        <v>1351.5961914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731.00001299999997</v>
      </c>
      <c r="B1128" s="1">
        <f>DATE(2012,5,1) + TIME(0,0,1)</f>
        <v>41030.000011574077</v>
      </c>
      <c r="C1128">
        <v>80</v>
      </c>
      <c r="D1128">
        <v>58.697597504000001</v>
      </c>
      <c r="E1128">
        <v>50</v>
      </c>
      <c r="F1128">
        <v>49.968296051000003</v>
      </c>
      <c r="G1128">
        <v>1313.4268798999999</v>
      </c>
      <c r="H1128">
        <v>1294.2620850000001</v>
      </c>
      <c r="I1128">
        <v>1365.2727050999999</v>
      </c>
      <c r="J1128">
        <v>1346.3553466999999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731.00004000000001</v>
      </c>
      <c r="B1129" s="1">
        <f>DATE(2012,5,1) + TIME(0,0,3)</f>
        <v>41030.000034722223</v>
      </c>
      <c r="C1129">
        <v>80</v>
      </c>
      <c r="D1129">
        <v>58.700027466000002</v>
      </c>
      <c r="E1129">
        <v>50</v>
      </c>
      <c r="F1129">
        <v>49.966953277999998</v>
      </c>
      <c r="G1129">
        <v>1322.4052733999999</v>
      </c>
      <c r="H1129">
        <v>1303.4193115</v>
      </c>
      <c r="I1129">
        <v>1356.5236815999999</v>
      </c>
      <c r="J1129">
        <v>1337.6060791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731.00012100000004</v>
      </c>
      <c r="B1130" s="1">
        <f>DATE(2012,5,1) + TIME(0,0,10)</f>
        <v>41030.000115740739</v>
      </c>
      <c r="C1130">
        <v>80</v>
      </c>
      <c r="D1130">
        <v>58.704662323000001</v>
      </c>
      <c r="E1130">
        <v>50</v>
      </c>
      <c r="F1130">
        <v>49.965305327999999</v>
      </c>
      <c r="G1130">
        <v>1333.3963623</v>
      </c>
      <c r="H1130">
        <v>1314.3085937999999</v>
      </c>
      <c r="I1130">
        <v>1345.8453368999999</v>
      </c>
      <c r="J1130">
        <v>1326.9342041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731.00036399999999</v>
      </c>
      <c r="B1131" s="1">
        <f>DATE(2012,5,1) + TIME(0,0,31)</f>
        <v>41030.000358796293</v>
      </c>
      <c r="C1131">
        <v>80</v>
      </c>
      <c r="D1131">
        <v>58.715229033999996</v>
      </c>
      <c r="E1131">
        <v>50</v>
      </c>
      <c r="F1131">
        <v>49.963581085000001</v>
      </c>
      <c r="G1131">
        <v>1344.8798827999999</v>
      </c>
      <c r="H1131">
        <v>1325.630249</v>
      </c>
      <c r="I1131">
        <v>1334.8540039</v>
      </c>
      <c r="J1131">
        <v>1315.9537353999999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731.00109299999997</v>
      </c>
      <c r="B1132" s="1">
        <f>DATE(2012,5,1) + TIME(0,1,34)</f>
        <v>41030.001087962963</v>
      </c>
      <c r="C1132">
        <v>80</v>
      </c>
      <c r="D1132">
        <v>58.743560791</v>
      </c>
      <c r="E1132">
        <v>50</v>
      </c>
      <c r="F1132">
        <v>49.961776733000001</v>
      </c>
      <c r="G1132">
        <v>1356.6491699000001</v>
      </c>
      <c r="H1132">
        <v>1337.2299805</v>
      </c>
      <c r="I1132">
        <v>1323.8663329999999</v>
      </c>
      <c r="J1132">
        <v>1304.9807129000001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731.00328000000002</v>
      </c>
      <c r="B1133" s="1">
        <f>DATE(2012,5,1) + TIME(0,4,43)</f>
        <v>41030.003275462965</v>
      </c>
      <c r="C1133">
        <v>80</v>
      </c>
      <c r="D1133">
        <v>58.825477599999999</v>
      </c>
      <c r="E1133">
        <v>50</v>
      </c>
      <c r="F1133">
        <v>49.959720611999998</v>
      </c>
      <c r="G1133">
        <v>1369</v>
      </c>
      <c r="H1133">
        <v>1349.3978271000001</v>
      </c>
      <c r="I1133">
        <v>1312.8071289</v>
      </c>
      <c r="J1133">
        <v>1293.9127197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731.00984100000005</v>
      </c>
      <c r="B1134" s="1">
        <f>DATE(2012,5,1) + TIME(0,14,10)</f>
        <v>41030.009837962964</v>
      </c>
      <c r="C1134">
        <v>80</v>
      </c>
      <c r="D1134">
        <v>59.066932678000001</v>
      </c>
      <c r="E1134">
        <v>50</v>
      </c>
      <c r="F1134">
        <v>49.956970214999998</v>
      </c>
      <c r="G1134">
        <v>1381.2961425999999</v>
      </c>
      <c r="H1134">
        <v>1361.5742187999999</v>
      </c>
      <c r="I1134">
        <v>1301.9771728999999</v>
      </c>
      <c r="J1134">
        <v>1283.0314940999999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731.02952400000004</v>
      </c>
      <c r="B1135" s="1">
        <f>DATE(2012,5,1) + TIME(0,42,30)</f>
        <v>41030.029513888891</v>
      </c>
      <c r="C1135">
        <v>80</v>
      </c>
      <c r="D1135">
        <v>59.766796112000002</v>
      </c>
      <c r="E1135">
        <v>50</v>
      </c>
      <c r="F1135">
        <v>49.952430724999999</v>
      </c>
      <c r="G1135">
        <v>1390.9573975000001</v>
      </c>
      <c r="H1135">
        <v>1371.3367920000001</v>
      </c>
      <c r="I1135">
        <v>1293.3597411999999</v>
      </c>
      <c r="J1135">
        <v>1274.3666992000001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731.05011999999999</v>
      </c>
      <c r="B1136" s="1">
        <f>DATE(2012,5,1) + TIME(1,12,10)</f>
        <v>41030.050115740742</v>
      </c>
      <c r="C1136">
        <v>80</v>
      </c>
      <c r="D1136">
        <v>60.473781586000001</v>
      </c>
      <c r="E1136">
        <v>50</v>
      </c>
      <c r="F1136">
        <v>49.948612212999997</v>
      </c>
      <c r="G1136">
        <v>1394.4224853999999</v>
      </c>
      <c r="H1136">
        <v>1374.9691161999999</v>
      </c>
      <c r="I1136">
        <v>1290.3668213000001</v>
      </c>
      <c r="J1136">
        <v>1271.3588867000001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731.07116900000005</v>
      </c>
      <c r="B1137" s="1">
        <f>DATE(2012,5,1) + TIME(1,42,29)</f>
        <v>41030.071168981478</v>
      </c>
      <c r="C1137">
        <v>80</v>
      </c>
      <c r="D1137">
        <v>61.170925140000001</v>
      </c>
      <c r="E1137">
        <v>50</v>
      </c>
      <c r="F1137">
        <v>49.945037841999998</v>
      </c>
      <c r="G1137">
        <v>1395.7517089999999</v>
      </c>
      <c r="H1137">
        <v>1376.4798584</v>
      </c>
      <c r="I1137">
        <v>1289.2979736</v>
      </c>
      <c r="J1137">
        <v>1270.284668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731.09263799999997</v>
      </c>
      <c r="B1138" s="1">
        <f>DATE(2012,5,1) + TIME(2,13,23)</f>
        <v>41030.092627314814</v>
      </c>
      <c r="C1138">
        <v>80</v>
      </c>
      <c r="D1138">
        <v>61.856613158999998</v>
      </c>
      <c r="E1138">
        <v>50</v>
      </c>
      <c r="F1138">
        <v>49.941528320000003</v>
      </c>
      <c r="G1138">
        <v>1396.2280272999999</v>
      </c>
      <c r="H1138">
        <v>1377.137207</v>
      </c>
      <c r="I1138">
        <v>1288.9410399999999</v>
      </c>
      <c r="J1138">
        <v>1269.9255370999999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731.11452999999995</v>
      </c>
      <c r="B1139" s="1">
        <f>DATE(2012,5,1) + TIME(2,44,55)</f>
        <v>41030.114525462966</v>
      </c>
      <c r="C1139">
        <v>80</v>
      </c>
      <c r="D1139">
        <v>62.530372620000001</v>
      </c>
      <c r="E1139">
        <v>50</v>
      </c>
      <c r="F1139">
        <v>49.938026428000001</v>
      </c>
      <c r="G1139">
        <v>1396.3292236</v>
      </c>
      <c r="H1139">
        <v>1377.4145507999999</v>
      </c>
      <c r="I1139">
        <v>1288.8485106999999</v>
      </c>
      <c r="J1139">
        <v>1269.8320312000001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731.13686099999995</v>
      </c>
      <c r="B1140" s="1">
        <f>DATE(2012,5,1) + TIME(3,17,4)</f>
        <v>41030.13685185185</v>
      </c>
      <c r="C1140">
        <v>80</v>
      </c>
      <c r="D1140">
        <v>63.192100525000001</v>
      </c>
      <c r="E1140">
        <v>50</v>
      </c>
      <c r="F1140">
        <v>49.934497833000002</v>
      </c>
      <c r="G1140">
        <v>1396.2559814000001</v>
      </c>
      <c r="H1140">
        <v>1377.5119629000001</v>
      </c>
      <c r="I1140">
        <v>1288.847168</v>
      </c>
      <c r="J1140">
        <v>1269.8300781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731.15964899999994</v>
      </c>
      <c r="B1141" s="1">
        <f>DATE(2012,5,1) + TIME(3,49,53)</f>
        <v>41030.159641203703</v>
      </c>
      <c r="C1141">
        <v>80</v>
      </c>
      <c r="D1141">
        <v>63.841804504000002</v>
      </c>
      <c r="E1141">
        <v>50</v>
      </c>
      <c r="F1141">
        <v>49.930934905999997</v>
      </c>
      <c r="G1141">
        <v>1396.0996094</v>
      </c>
      <c r="H1141">
        <v>1377.5203856999999</v>
      </c>
      <c r="I1141">
        <v>1288.8708495999999</v>
      </c>
      <c r="J1141">
        <v>1269.8532714999999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731.18291899999997</v>
      </c>
      <c r="B1142" s="1">
        <f>DATE(2012,5,1) + TIME(4,23,24)</f>
        <v>41030.182916666665</v>
      </c>
      <c r="C1142">
        <v>80</v>
      </c>
      <c r="D1142">
        <v>64.479530334000003</v>
      </c>
      <c r="E1142">
        <v>50</v>
      </c>
      <c r="F1142">
        <v>49.927333832000002</v>
      </c>
      <c r="G1142">
        <v>1395.9038086</v>
      </c>
      <c r="H1142">
        <v>1377.4832764</v>
      </c>
      <c r="I1142">
        <v>1288.8961182</v>
      </c>
      <c r="J1142">
        <v>1269.8782959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731.20669399999997</v>
      </c>
      <c r="B1143" s="1">
        <f>DATE(2012,5,1) + TIME(4,57,38)</f>
        <v>41030.206689814811</v>
      </c>
      <c r="C1143">
        <v>80</v>
      </c>
      <c r="D1143">
        <v>65.105361938000001</v>
      </c>
      <c r="E1143">
        <v>50</v>
      </c>
      <c r="F1143">
        <v>49.923683167</v>
      </c>
      <c r="G1143">
        <v>1395.6901855000001</v>
      </c>
      <c r="H1143">
        <v>1377.4227295000001</v>
      </c>
      <c r="I1143">
        <v>1288.9163818</v>
      </c>
      <c r="J1143">
        <v>1269.8981934000001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731.230998</v>
      </c>
      <c r="B1144" s="1">
        <f>DATE(2012,5,1) + TIME(5,32,38)</f>
        <v>41030.230995370373</v>
      </c>
      <c r="C1144">
        <v>80</v>
      </c>
      <c r="D1144">
        <v>65.719337463000002</v>
      </c>
      <c r="E1144">
        <v>50</v>
      </c>
      <c r="F1144">
        <v>49.919986725000001</v>
      </c>
      <c r="G1144">
        <v>1395.4698486</v>
      </c>
      <c r="H1144">
        <v>1377.3500977000001</v>
      </c>
      <c r="I1144">
        <v>1288.9309082</v>
      </c>
      <c r="J1144">
        <v>1269.9123535000001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731.25586399999997</v>
      </c>
      <c r="B1145" s="1">
        <f>DATE(2012,5,1) + TIME(6,8,26)</f>
        <v>41030.255856481483</v>
      </c>
      <c r="C1145">
        <v>80</v>
      </c>
      <c r="D1145">
        <v>66.321502686000002</v>
      </c>
      <c r="E1145">
        <v>50</v>
      </c>
      <c r="F1145">
        <v>49.916240692000002</v>
      </c>
      <c r="G1145">
        <v>1395.2489014</v>
      </c>
      <c r="H1145">
        <v>1377.2713623</v>
      </c>
      <c r="I1145">
        <v>1288.9406738</v>
      </c>
      <c r="J1145">
        <v>1269.9217529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731.28132500000004</v>
      </c>
      <c r="B1146" s="1">
        <f>DATE(2012,5,1) + TIME(6,45,6)</f>
        <v>41030.281319444446</v>
      </c>
      <c r="C1146">
        <v>80</v>
      </c>
      <c r="D1146">
        <v>66.911903381000002</v>
      </c>
      <c r="E1146">
        <v>50</v>
      </c>
      <c r="F1146">
        <v>49.912441254000001</v>
      </c>
      <c r="G1146">
        <v>1395.0303954999999</v>
      </c>
      <c r="H1146">
        <v>1377.1899414</v>
      </c>
      <c r="I1146">
        <v>1288.9470214999999</v>
      </c>
      <c r="J1146">
        <v>1269.9277344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731.30741599999999</v>
      </c>
      <c r="B1147" s="1">
        <f>DATE(2012,5,1) + TIME(7,22,40)</f>
        <v>41030.30740740741</v>
      </c>
      <c r="C1147">
        <v>80</v>
      </c>
      <c r="D1147">
        <v>67.490577697999996</v>
      </c>
      <c r="E1147">
        <v>50</v>
      </c>
      <c r="F1147">
        <v>49.908580780000001</v>
      </c>
      <c r="G1147">
        <v>1394.8161620999999</v>
      </c>
      <c r="H1147">
        <v>1377.1079102000001</v>
      </c>
      <c r="I1147">
        <v>1288.9509277</v>
      </c>
      <c r="J1147">
        <v>1269.9313964999999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731.33417299999996</v>
      </c>
      <c r="B1148" s="1">
        <f>DATE(2012,5,1) + TIME(8,1,12)</f>
        <v>41030.334166666667</v>
      </c>
      <c r="C1148">
        <v>80</v>
      </c>
      <c r="D1148">
        <v>68.057540893999999</v>
      </c>
      <c r="E1148">
        <v>50</v>
      </c>
      <c r="F1148">
        <v>49.904659271</v>
      </c>
      <c r="G1148">
        <v>1394.6069336</v>
      </c>
      <c r="H1148">
        <v>1377.0262451000001</v>
      </c>
      <c r="I1148">
        <v>1288.9533690999999</v>
      </c>
      <c r="J1148">
        <v>1269.9335937999999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731.36163699999997</v>
      </c>
      <c r="B1149" s="1">
        <f>DATE(2012,5,1) + TIME(8,40,45)</f>
        <v>41030.361631944441</v>
      </c>
      <c r="C1149">
        <v>80</v>
      </c>
      <c r="D1149">
        <v>68.612808228000006</v>
      </c>
      <c r="E1149">
        <v>50</v>
      </c>
      <c r="F1149">
        <v>49.900672913000001</v>
      </c>
      <c r="G1149">
        <v>1394.4031981999999</v>
      </c>
      <c r="H1149">
        <v>1376.9454346</v>
      </c>
      <c r="I1149">
        <v>1288.9549560999999</v>
      </c>
      <c r="J1149">
        <v>1269.9346923999999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731.38985100000002</v>
      </c>
      <c r="B1150" s="1">
        <f>DATE(2012,5,1) + TIME(9,21,23)</f>
        <v>41030.389849537038</v>
      </c>
      <c r="C1150">
        <v>80</v>
      </c>
      <c r="D1150">
        <v>69.156372070000003</v>
      </c>
      <c r="E1150">
        <v>50</v>
      </c>
      <c r="F1150">
        <v>49.896614075000002</v>
      </c>
      <c r="G1150">
        <v>1394.2049560999999</v>
      </c>
      <c r="H1150">
        <v>1376.8658447</v>
      </c>
      <c r="I1150">
        <v>1288.9556885</v>
      </c>
      <c r="J1150">
        <v>1269.9351807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731.41886199999999</v>
      </c>
      <c r="B1151" s="1">
        <f>DATE(2012,5,1) + TIME(10,3,9)</f>
        <v>41030.418854166666</v>
      </c>
      <c r="C1151">
        <v>80</v>
      </c>
      <c r="D1151">
        <v>69.688224792</v>
      </c>
      <c r="E1151">
        <v>50</v>
      </c>
      <c r="F1151">
        <v>49.892482758</v>
      </c>
      <c r="G1151">
        <v>1394.0123291</v>
      </c>
      <c r="H1151">
        <v>1376.7877197</v>
      </c>
      <c r="I1151">
        <v>1288.9561768000001</v>
      </c>
      <c r="J1151">
        <v>1269.9351807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731.44872199999998</v>
      </c>
      <c r="B1152" s="1">
        <f>DATE(2012,5,1) + TIME(10,46,9)</f>
        <v>41030.44871527778</v>
      </c>
      <c r="C1152">
        <v>80</v>
      </c>
      <c r="D1152">
        <v>70.208160399999997</v>
      </c>
      <c r="E1152">
        <v>50</v>
      </c>
      <c r="F1152">
        <v>49.888267517000003</v>
      </c>
      <c r="G1152">
        <v>1393.8251952999999</v>
      </c>
      <c r="H1152">
        <v>1376.7109375</v>
      </c>
      <c r="I1152">
        <v>1288.9562988</v>
      </c>
      <c r="J1152">
        <v>1269.9349365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731.47948699999995</v>
      </c>
      <c r="B1153" s="1">
        <f>DATE(2012,5,1) + TIME(11,30,27)</f>
        <v>41030.479479166665</v>
      </c>
      <c r="C1153">
        <v>80</v>
      </c>
      <c r="D1153">
        <v>70.716056824000006</v>
      </c>
      <c r="E1153">
        <v>50</v>
      </c>
      <c r="F1153">
        <v>49.883968353</v>
      </c>
      <c r="G1153">
        <v>1393.6431885</v>
      </c>
      <c r="H1153">
        <v>1376.635376</v>
      </c>
      <c r="I1153">
        <v>1288.9562988</v>
      </c>
      <c r="J1153">
        <v>1269.9345702999999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731.51123500000006</v>
      </c>
      <c r="B1154" s="1">
        <f>DATE(2012,5,1) + TIME(12,16,10)</f>
        <v>41030.51122685185</v>
      </c>
      <c r="C1154">
        <v>80</v>
      </c>
      <c r="D1154">
        <v>71.212364196999999</v>
      </c>
      <c r="E1154">
        <v>50</v>
      </c>
      <c r="F1154">
        <v>49.879573821999998</v>
      </c>
      <c r="G1154">
        <v>1393.4661865</v>
      </c>
      <c r="H1154">
        <v>1376.5611572</v>
      </c>
      <c r="I1154">
        <v>1288.9561768000001</v>
      </c>
      <c r="J1154">
        <v>1269.934082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731.54402100000004</v>
      </c>
      <c r="B1155" s="1">
        <f>DATE(2012,5,1) + TIME(13,3,23)</f>
        <v>41030.544016203705</v>
      </c>
      <c r="C1155">
        <v>80</v>
      </c>
      <c r="D1155">
        <v>71.696846007999994</v>
      </c>
      <c r="E1155">
        <v>50</v>
      </c>
      <c r="F1155">
        <v>49.875080109000002</v>
      </c>
      <c r="G1155">
        <v>1393.2939452999999</v>
      </c>
      <c r="H1155">
        <v>1376.4880370999999</v>
      </c>
      <c r="I1155">
        <v>1288.9559326000001</v>
      </c>
      <c r="J1155">
        <v>1269.9334716999999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731.57791799999995</v>
      </c>
      <c r="B1156" s="1">
        <f>DATE(2012,5,1) + TIME(13,52,12)</f>
        <v>41030.577916666669</v>
      </c>
      <c r="C1156">
        <v>80</v>
      </c>
      <c r="D1156">
        <v>72.169387817</v>
      </c>
      <c r="E1156">
        <v>50</v>
      </c>
      <c r="F1156">
        <v>49.870479584000002</v>
      </c>
      <c r="G1156">
        <v>1393.1262207</v>
      </c>
      <c r="H1156">
        <v>1376.4158935999999</v>
      </c>
      <c r="I1156">
        <v>1288.9556885</v>
      </c>
      <c r="J1156">
        <v>1269.9327393000001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731.61300900000003</v>
      </c>
      <c r="B1157" s="1">
        <f>DATE(2012,5,1) + TIME(14,42,43)</f>
        <v>41030.612997685188</v>
      </c>
      <c r="C1157">
        <v>80</v>
      </c>
      <c r="D1157">
        <v>72.629920959000003</v>
      </c>
      <c r="E1157">
        <v>50</v>
      </c>
      <c r="F1157">
        <v>49.865760803000001</v>
      </c>
      <c r="G1157">
        <v>1392.9627685999999</v>
      </c>
      <c r="H1157">
        <v>1376.3448486</v>
      </c>
      <c r="I1157">
        <v>1288.9553223</v>
      </c>
      <c r="J1157">
        <v>1269.9318848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731.64938500000005</v>
      </c>
      <c r="B1158" s="1">
        <f>DATE(2012,5,1) + TIME(15,35,6)</f>
        <v>41030.649375000001</v>
      </c>
      <c r="C1158">
        <v>80</v>
      </c>
      <c r="D1158">
        <v>73.078353882000002</v>
      </c>
      <c r="E1158">
        <v>50</v>
      </c>
      <c r="F1158">
        <v>49.860919952000003</v>
      </c>
      <c r="G1158">
        <v>1392.8034668</v>
      </c>
      <c r="H1158">
        <v>1376.2744141000001</v>
      </c>
      <c r="I1158">
        <v>1288.9548339999999</v>
      </c>
      <c r="J1158">
        <v>1269.9310303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731.68714799999998</v>
      </c>
      <c r="B1159" s="1">
        <f>DATE(2012,5,1) + TIME(16,29,29)</f>
        <v>41030.687141203707</v>
      </c>
      <c r="C1159">
        <v>80</v>
      </c>
      <c r="D1159">
        <v>73.514587402000004</v>
      </c>
      <c r="E1159">
        <v>50</v>
      </c>
      <c r="F1159">
        <v>49.855945587000001</v>
      </c>
      <c r="G1159">
        <v>1392.6479492000001</v>
      </c>
      <c r="H1159">
        <v>1376.2047118999999</v>
      </c>
      <c r="I1159">
        <v>1288.9543457</v>
      </c>
      <c r="J1159">
        <v>1269.9301757999999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731.72641199999998</v>
      </c>
      <c r="B1160" s="1">
        <f>DATE(2012,5,1) + TIME(17,26,2)</f>
        <v>41030.726412037038</v>
      </c>
      <c r="C1160">
        <v>80</v>
      </c>
      <c r="D1160">
        <v>73.938522339000002</v>
      </c>
      <c r="E1160">
        <v>50</v>
      </c>
      <c r="F1160">
        <v>49.850826263000002</v>
      </c>
      <c r="G1160">
        <v>1392.4960937999999</v>
      </c>
      <c r="H1160">
        <v>1376.1356201000001</v>
      </c>
      <c r="I1160">
        <v>1288.9538574000001</v>
      </c>
      <c r="J1160">
        <v>1269.9290771000001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731.76730599999996</v>
      </c>
      <c r="B1161" s="1">
        <f>DATE(2012,5,1) + TIME(18,24,55)</f>
        <v>41030.76730324074</v>
      </c>
      <c r="C1161">
        <v>80</v>
      </c>
      <c r="D1161">
        <v>74.350036621000001</v>
      </c>
      <c r="E1161">
        <v>50</v>
      </c>
      <c r="F1161">
        <v>49.845542907999999</v>
      </c>
      <c r="G1161">
        <v>1392.3475341999999</v>
      </c>
      <c r="H1161">
        <v>1376.0668945</v>
      </c>
      <c r="I1161">
        <v>1288.9532471</v>
      </c>
      <c r="J1161">
        <v>1269.9281006000001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731.80997500000001</v>
      </c>
      <c r="B1162" s="1">
        <f>DATE(2012,5,1) + TIME(19,26,21)</f>
        <v>41030.809965277775</v>
      </c>
      <c r="C1162">
        <v>80</v>
      </c>
      <c r="D1162">
        <v>74.749000549000002</v>
      </c>
      <c r="E1162">
        <v>50</v>
      </c>
      <c r="F1162">
        <v>49.840091704999999</v>
      </c>
      <c r="G1162">
        <v>1392.2021483999999</v>
      </c>
      <c r="H1162">
        <v>1375.9984131000001</v>
      </c>
      <c r="I1162">
        <v>1288.9526367000001</v>
      </c>
      <c r="J1162">
        <v>1269.9270019999999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731.85458100000005</v>
      </c>
      <c r="B1163" s="1">
        <f>DATE(2012,5,1) + TIME(20,30,35)</f>
        <v>41030.854571759257</v>
      </c>
      <c r="C1163">
        <v>80</v>
      </c>
      <c r="D1163">
        <v>75.135139464999995</v>
      </c>
      <c r="E1163">
        <v>50</v>
      </c>
      <c r="F1163">
        <v>49.834449767999999</v>
      </c>
      <c r="G1163">
        <v>1392.0596923999999</v>
      </c>
      <c r="H1163">
        <v>1375.9300536999999</v>
      </c>
      <c r="I1163">
        <v>1288.9519043</v>
      </c>
      <c r="J1163">
        <v>1269.9257812000001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731.90133000000003</v>
      </c>
      <c r="B1164" s="1">
        <f>DATE(2012,5,1) + TIME(21,37,54)</f>
        <v>41030.901319444441</v>
      </c>
      <c r="C1164">
        <v>80</v>
      </c>
      <c r="D1164">
        <v>75.508338928000001</v>
      </c>
      <c r="E1164">
        <v>50</v>
      </c>
      <c r="F1164">
        <v>49.828598022000001</v>
      </c>
      <c r="G1164">
        <v>1391.9197998</v>
      </c>
      <c r="H1164">
        <v>1375.8616943</v>
      </c>
      <c r="I1164">
        <v>1288.9511719</v>
      </c>
      <c r="J1164">
        <v>1269.9245605000001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731.95044600000006</v>
      </c>
      <c r="B1165" s="1">
        <f>DATE(2012,5,1) + TIME(22,48,38)</f>
        <v>41030.950439814813</v>
      </c>
      <c r="C1165">
        <v>80</v>
      </c>
      <c r="D1165">
        <v>75.868682860999996</v>
      </c>
      <c r="E1165">
        <v>50</v>
      </c>
      <c r="F1165">
        <v>49.822517394999998</v>
      </c>
      <c r="G1165">
        <v>1391.7822266000001</v>
      </c>
      <c r="H1165">
        <v>1375.7929687999999</v>
      </c>
      <c r="I1165">
        <v>1288.9504394999999</v>
      </c>
      <c r="J1165">
        <v>1269.9232178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732.00215500000002</v>
      </c>
      <c r="B1166" s="1">
        <f>DATE(2012,5,2) + TIME(0,3,6)</f>
        <v>41031.002152777779</v>
      </c>
      <c r="C1166">
        <v>80</v>
      </c>
      <c r="D1166">
        <v>76.215805054</v>
      </c>
      <c r="E1166">
        <v>50</v>
      </c>
      <c r="F1166">
        <v>49.816184997999997</v>
      </c>
      <c r="G1166">
        <v>1391.6469727000001</v>
      </c>
      <c r="H1166">
        <v>1375.723999</v>
      </c>
      <c r="I1166">
        <v>1288.9495850000001</v>
      </c>
      <c r="J1166">
        <v>1269.921875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732.05674599999998</v>
      </c>
      <c r="B1167" s="1">
        <f>DATE(2012,5,2) + TIME(1,21,42)</f>
        <v>41031.05673611111</v>
      </c>
      <c r="C1167">
        <v>80</v>
      </c>
      <c r="D1167">
        <v>76.549522400000001</v>
      </c>
      <c r="E1167">
        <v>50</v>
      </c>
      <c r="F1167">
        <v>49.809574126999998</v>
      </c>
      <c r="G1167">
        <v>1391.5135498</v>
      </c>
      <c r="H1167">
        <v>1375.6544189000001</v>
      </c>
      <c r="I1167">
        <v>1288.9487305</v>
      </c>
      <c r="J1167">
        <v>1269.9204102000001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732.11455899999999</v>
      </c>
      <c r="B1168" s="1">
        <f>DATE(2012,5,2) + TIME(2,44,57)</f>
        <v>41031.114548611113</v>
      </c>
      <c r="C1168">
        <v>80</v>
      </c>
      <c r="D1168">
        <v>76.869621276999993</v>
      </c>
      <c r="E1168">
        <v>50</v>
      </c>
      <c r="F1168">
        <v>49.802650452000002</v>
      </c>
      <c r="G1168">
        <v>1391.3818358999999</v>
      </c>
      <c r="H1168">
        <v>1375.5842285000001</v>
      </c>
      <c r="I1168">
        <v>1288.9477539</v>
      </c>
      <c r="J1168">
        <v>1269.9188231999999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732.17598899999996</v>
      </c>
      <c r="B1169" s="1">
        <f>DATE(2012,5,2) + TIME(4,13,25)</f>
        <v>41031.175983796296</v>
      </c>
      <c r="C1169">
        <v>80</v>
      </c>
      <c r="D1169">
        <v>77.175865173000005</v>
      </c>
      <c r="E1169">
        <v>50</v>
      </c>
      <c r="F1169">
        <v>49.795375823999997</v>
      </c>
      <c r="G1169">
        <v>1391.2515868999999</v>
      </c>
      <c r="H1169">
        <v>1375.5129394999999</v>
      </c>
      <c r="I1169">
        <v>1288.9466553</v>
      </c>
      <c r="J1169">
        <v>1269.9172363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732.24149899999998</v>
      </c>
      <c r="B1170" s="1">
        <f>DATE(2012,5,2) + TIME(5,47,45)</f>
        <v>41031.241493055553</v>
      </c>
      <c r="C1170">
        <v>80</v>
      </c>
      <c r="D1170">
        <v>77.467956543</v>
      </c>
      <c r="E1170">
        <v>50</v>
      </c>
      <c r="F1170">
        <v>49.787712096999996</v>
      </c>
      <c r="G1170">
        <v>1391.1223144999999</v>
      </c>
      <c r="H1170">
        <v>1375.4405518000001</v>
      </c>
      <c r="I1170">
        <v>1288.9456786999999</v>
      </c>
      <c r="J1170">
        <v>1269.9154053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732.31167900000003</v>
      </c>
      <c r="B1171" s="1">
        <f>DATE(2012,5,2) + TIME(7,28,49)</f>
        <v>41031.311678240738</v>
      </c>
      <c r="C1171">
        <v>80</v>
      </c>
      <c r="D1171">
        <v>77.745704650999997</v>
      </c>
      <c r="E1171">
        <v>50</v>
      </c>
      <c r="F1171">
        <v>49.779602050999998</v>
      </c>
      <c r="G1171">
        <v>1390.9938964999999</v>
      </c>
      <c r="H1171">
        <v>1375.3666992000001</v>
      </c>
      <c r="I1171">
        <v>1288.9444579999999</v>
      </c>
      <c r="J1171">
        <v>1269.9135742000001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732.38722700000005</v>
      </c>
      <c r="B1172" s="1">
        <f>DATE(2012,5,2) + TIME(9,17,36)</f>
        <v>41031.38722222222</v>
      </c>
      <c r="C1172">
        <v>80</v>
      </c>
      <c r="D1172">
        <v>78.008842467999997</v>
      </c>
      <c r="E1172">
        <v>50</v>
      </c>
      <c r="F1172">
        <v>49.770984650000003</v>
      </c>
      <c r="G1172">
        <v>1390.8657227000001</v>
      </c>
      <c r="H1172">
        <v>1375.2911377</v>
      </c>
      <c r="I1172">
        <v>1288.9432373</v>
      </c>
      <c r="J1172">
        <v>1269.9116211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732.46900900000003</v>
      </c>
      <c r="B1173" s="1">
        <f>DATE(2012,5,2) + TIME(11,15,22)</f>
        <v>41031.469004629631</v>
      </c>
      <c r="C1173">
        <v>80</v>
      </c>
      <c r="D1173">
        <v>78.257049561000002</v>
      </c>
      <c r="E1173">
        <v>50</v>
      </c>
      <c r="F1173">
        <v>49.761775970000002</v>
      </c>
      <c r="G1173">
        <v>1390.7375488</v>
      </c>
      <c r="H1173">
        <v>1375.213501</v>
      </c>
      <c r="I1173">
        <v>1288.9418945</v>
      </c>
      <c r="J1173">
        <v>1269.9095459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732.55578000000003</v>
      </c>
      <c r="B1174" s="1">
        <f>DATE(2012,5,2) + TIME(13,20,19)</f>
        <v>41031.555775462963</v>
      </c>
      <c r="C1174">
        <v>80</v>
      </c>
      <c r="D1174">
        <v>78.484748839999995</v>
      </c>
      <c r="E1174">
        <v>50</v>
      </c>
      <c r="F1174">
        <v>49.752113342000001</v>
      </c>
      <c r="G1174">
        <v>1390.6114502</v>
      </c>
      <c r="H1174">
        <v>1375.1346435999999</v>
      </c>
      <c r="I1174">
        <v>1288.9404297000001</v>
      </c>
      <c r="J1174">
        <v>1269.9072266000001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732.64279299999998</v>
      </c>
      <c r="B1175" s="1">
        <f>DATE(2012,5,2) + TIME(15,25,37)</f>
        <v>41031.642789351848</v>
      </c>
      <c r="C1175">
        <v>80</v>
      </c>
      <c r="D1175">
        <v>78.682106017999999</v>
      </c>
      <c r="E1175">
        <v>50</v>
      </c>
      <c r="F1175">
        <v>49.742465973000002</v>
      </c>
      <c r="G1175">
        <v>1390.4925536999999</v>
      </c>
      <c r="H1175">
        <v>1375.0573730000001</v>
      </c>
      <c r="I1175">
        <v>1288.9387207</v>
      </c>
      <c r="J1175">
        <v>1269.9049072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732.73047499999996</v>
      </c>
      <c r="B1176" s="1">
        <f>DATE(2012,5,2) + TIME(17,31,53)</f>
        <v>41031.730474537035</v>
      </c>
      <c r="C1176">
        <v>80</v>
      </c>
      <c r="D1176">
        <v>78.853820800999998</v>
      </c>
      <c r="E1176">
        <v>50</v>
      </c>
      <c r="F1176">
        <v>49.732791900999999</v>
      </c>
      <c r="G1176">
        <v>1390.3804932</v>
      </c>
      <c r="H1176">
        <v>1374.9829102000001</v>
      </c>
      <c r="I1176">
        <v>1288.9370117000001</v>
      </c>
      <c r="J1176">
        <v>1269.9024658000001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732.81904499999996</v>
      </c>
      <c r="B1177" s="1">
        <f>DATE(2012,5,2) + TIME(19,39,25)</f>
        <v>41031.819039351853</v>
      </c>
      <c r="C1177">
        <v>80</v>
      </c>
      <c r="D1177">
        <v>79.003395080999994</v>
      </c>
      <c r="E1177">
        <v>50</v>
      </c>
      <c r="F1177">
        <v>49.723068237</v>
      </c>
      <c r="G1177">
        <v>1390.2744141000001</v>
      </c>
      <c r="H1177">
        <v>1374.9107666</v>
      </c>
      <c r="I1177">
        <v>1288.9354248</v>
      </c>
      <c r="J1177">
        <v>1269.9000243999999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732.90871900000002</v>
      </c>
      <c r="B1178" s="1">
        <f>DATE(2012,5,2) + TIME(21,48,33)</f>
        <v>41031.908715277779</v>
      </c>
      <c r="C1178">
        <v>80</v>
      </c>
      <c r="D1178">
        <v>79.133766174000002</v>
      </c>
      <c r="E1178">
        <v>50</v>
      </c>
      <c r="F1178">
        <v>49.713272095000001</v>
      </c>
      <c r="G1178">
        <v>1390.1733397999999</v>
      </c>
      <c r="H1178">
        <v>1374.8406981999999</v>
      </c>
      <c r="I1178">
        <v>1288.9337158000001</v>
      </c>
      <c r="J1178">
        <v>1269.8975829999999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732.99967800000002</v>
      </c>
      <c r="B1179" s="1">
        <f>DATE(2012,5,2) + TIME(23,59,32)</f>
        <v>41031.999675925923</v>
      </c>
      <c r="C1179">
        <v>80</v>
      </c>
      <c r="D1179">
        <v>79.247398376000007</v>
      </c>
      <c r="E1179">
        <v>50</v>
      </c>
      <c r="F1179">
        <v>49.703388214</v>
      </c>
      <c r="G1179">
        <v>1390.0766602000001</v>
      </c>
      <c r="H1179">
        <v>1374.7723389</v>
      </c>
      <c r="I1179">
        <v>1288.9320068</v>
      </c>
      <c r="J1179">
        <v>1269.8951416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733.09183499999995</v>
      </c>
      <c r="B1180" s="1">
        <f>DATE(2012,5,3) + TIME(2,12,14)</f>
        <v>41032.091828703706</v>
      </c>
      <c r="C1180">
        <v>80</v>
      </c>
      <c r="D1180">
        <v>79.346160889000004</v>
      </c>
      <c r="E1180">
        <v>50</v>
      </c>
      <c r="F1180">
        <v>49.693424225000001</v>
      </c>
      <c r="G1180">
        <v>1389.9841309000001</v>
      </c>
      <c r="H1180">
        <v>1374.7056885</v>
      </c>
      <c r="I1180">
        <v>1288.9301757999999</v>
      </c>
      <c r="J1180">
        <v>1269.8925781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733.18539699999997</v>
      </c>
      <c r="B1181" s="1">
        <f>DATE(2012,5,3) + TIME(4,26,58)</f>
        <v>41032.185393518521</v>
      </c>
      <c r="C1181">
        <v>80</v>
      </c>
      <c r="D1181">
        <v>79.431999207000004</v>
      </c>
      <c r="E1181">
        <v>50</v>
      </c>
      <c r="F1181">
        <v>49.683357239000003</v>
      </c>
      <c r="G1181">
        <v>1389.8950195</v>
      </c>
      <c r="H1181">
        <v>1374.6405029</v>
      </c>
      <c r="I1181">
        <v>1288.9284668</v>
      </c>
      <c r="J1181">
        <v>1269.8900146000001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733.28056600000002</v>
      </c>
      <c r="B1182" s="1">
        <f>DATE(2012,5,3) + TIME(6,44,0)</f>
        <v>41032.280555555553</v>
      </c>
      <c r="C1182">
        <v>80</v>
      </c>
      <c r="D1182">
        <v>79.506584167</v>
      </c>
      <c r="E1182">
        <v>50</v>
      </c>
      <c r="F1182">
        <v>49.673171996999997</v>
      </c>
      <c r="G1182">
        <v>1389.809082</v>
      </c>
      <c r="H1182">
        <v>1374.5766602000001</v>
      </c>
      <c r="I1182">
        <v>1288.9266356999999</v>
      </c>
      <c r="J1182">
        <v>1269.8874512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733.37760000000003</v>
      </c>
      <c r="B1183" s="1">
        <f>DATE(2012,5,3) + TIME(9,3,44)</f>
        <v>41032.377592592595</v>
      </c>
      <c r="C1183">
        <v>80</v>
      </c>
      <c r="D1183">
        <v>79.571365356000001</v>
      </c>
      <c r="E1183">
        <v>50</v>
      </c>
      <c r="F1183">
        <v>49.662841796999999</v>
      </c>
      <c r="G1183">
        <v>1389.7259521000001</v>
      </c>
      <c r="H1183">
        <v>1374.5140381000001</v>
      </c>
      <c r="I1183">
        <v>1288.9246826000001</v>
      </c>
      <c r="J1183">
        <v>1269.8847656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733.47666500000003</v>
      </c>
      <c r="B1184" s="1">
        <f>DATE(2012,5,3) + TIME(11,26,23)</f>
        <v>41032.476655092592</v>
      </c>
      <c r="C1184">
        <v>80</v>
      </c>
      <c r="D1184">
        <v>79.627555846999996</v>
      </c>
      <c r="E1184">
        <v>50</v>
      </c>
      <c r="F1184">
        <v>49.652351379000002</v>
      </c>
      <c r="G1184">
        <v>1389.6450195</v>
      </c>
      <c r="H1184">
        <v>1374.4523925999999</v>
      </c>
      <c r="I1184">
        <v>1288.9228516000001</v>
      </c>
      <c r="J1184">
        <v>1269.8820800999999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733.57799299999999</v>
      </c>
      <c r="B1185" s="1">
        <f>DATE(2012,5,3) + TIME(13,52,18)</f>
        <v>41032.577986111108</v>
      </c>
      <c r="C1185">
        <v>80</v>
      </c>
      <c r="D1185">
        <v>79.676109314000001</v>
      </c>
      <c r="E1185">
        <v>50</v>
      </c>
      <c r="F1185">
        <v>49.641685486</v>
      </c>
      <c r="G1185">
        <v>1389.5650635</v>
      </c>
      <c r="H1185">
        <v>1374.390625</v>
      </c>
      <c r="I1185">
        <v>1288.9206543</v>
      </c>
      <c r="J1185">
        <v>1269.8791504000001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733.68185200000005</v>
      </c>
      <c r="B1186" s="1">
        <f>DATE(2012,5,3) + TIME(16,21,52)</f>
        <v>41032.681851851848</v>
      </c>
      <c r="C1186">
        <v>80</v>
      </c>
      <c r="D1186">
        <v>79.718116760000001</v>
      </c>
      <c r="E1186">
        <v>50</v>
      </c>
      <c r="F1186">
        <v>49.630805969000001</v>
      </c>
      <c r="G1186">
        <v>1389.4888916</v>
      </c>
      <c r="H1186">
        <v>1374.3314209</v>
      </c>
      <c r="I1186">
        <v>1288.9188231999999</v>
      </c>
      <c r="J1186">
        <v>1269.8764647999999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733.78840400000001</v>
      </c>
      <c r="B1187" s="1">
        <f>DATE(2012,5,3) + TIME(18,55,18)</f>
        <v>41032.788402777776</v>
      </c>
      <c r="C1187">
        <v>80</v>
      </c>
      <c r="D1187">
        <v>79.754356384000005</v>
      </c>
      <c r="E1187">
        <v>50</v>
      </c>
      <c r="F1187">
        <v>49.619709014999998</v>
      </c>
      <c r="G1187">
        <v>1389.4133300999999</v>
      </c>
      <c r="H1187">
        <v>1374.2719727000001</v>
      </c>
      <c r="I1187">
        <v>1288.9167480000001</v>
      </c>
      <c r="J1187">
        <v>1269.8735352000001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733.89801599999998</v>
      </c>
      <c r="B1188" s="1">
        <f>DATE(2012,5,3) + TIME(21,33,8)</f>
        <v>41032.898009259261</v>
      </c>
      <c r="C1188">
        <v>80</v>
      </c>
      <c r="D1188">
        <v>79.785575867000006</v>
      </c>
      <c r="E1188">
        <v>50</v>
      </c>
      <c r="F1188">
        <v>49.608360290999997</v>
      </c>
      <c r="G1188">
        <v>1389.3388672000001</v>
      </c>
      <c r="H1188">
        <v>1374.2130127</v>
      </c>
      <c r="I1188">
        <v>1288.9146728999999</v>
      </c>
      <c r="J1188">
        <v>1269.8706055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734.01099999999997</v>
      </c>
      <c r="B1189" s="1">
        <f>DATE(2012,5,4) + TIME(0,15,50)</f>
        <v>41033.010995370372</v>
      </c>
      <c r="C1189">
        <v>80</v>
      </c>
      <c r="D1189">
        <v>79.812522888000004</v>
      </c>
      <c r="E1189">
        <v>50</v>
      </c>
      <c r="F1189">
        <v>49.596721649000003</v>
      </c>
      <c r="G1189">
        <v>1389.2663574000001</v>
      </c>
      <c r="H1189">
        <v>1374.1552733999999</v>
      </c>
      <c r="I1189">
        <v>1288.9127197</v>
      </c>
      <c r="J1189">
        <v>1269.8677978999999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734.12769300000002</v>
      </c>
      <c r="B1190" s="1">
        <f>DATE(2012,5,4) + TIME(3,3,52)</f>
        <v>41033.127685185187</v>
      </c>
      <c r="C1190">
        <v>80</v>
      </c>
      <c r="D1190">
        <v>79.835502625000004</v>
      </c>
      <c r="E1190">
        <v>50</v>
      </c>
      <c r="F1190">
        <v>49.584777832</v>
      </c>
      <c r="G1190">
        <v>1389.1915283000001</v>
      </c>
      <c r="H1190">
        <v>1374.0948486</v>
      </c>
      <c r="I1190">
        <v>1288.9100341999999</v>
      </c>
      <c r="J1190">
        <v>1269.8641356999999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734.24859400000003</v>
      </c>
      <c r="B1191" s="1">
        <f>DATE(2012,5,4) + TIME(5,57,58)</f>
        <v>41033.24858796296</v>
      </c>
      <c r="C1191">
        <v>80</v>
      </c>
      <c r="D1191">
        <v>79.855262756000002</v>
      </c>
      <c r="E1191">
        <v>50</v>
      </c>
      <c r="F1191">
        <v>49.572475433000001</v>
      </c>
      <c r="G1191">
        <v>1389.1213379000001</v>
      </c>
      <c r="H1191">
        <v>1374.0382079999999</v>
      </c>
      <c r="I1191">
        <v>1288.9080810999999</v>
      </c>
      <c r="J1191">
        <v>1269.8612060999999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734.37393499999996</v>
      </c>
      <c r="B1192" s="1">
        <f>DATE(2012,5,4) + TIME(8,58,27)</f>
        <v>41033.373923611114</v>
      </c>
      <c r="C1192">
        <v>80</v>
      </c>
      <c r="D1192">
        <v>79.872070312000005</v>
      </c>
      <c r="E1192">
        <v>50</v>
      </c>
      <c r="F1192">
        <v>49.559803008999999</v>
      </c>
      <c r="G1192">
        <v>1389.0483397999999</v>
      </c>
      <c r="H1192">
        <v>1373.9788818</v>
      </c>
      <c r="I1192">
        <v>1288.9055175999999</v>
      </c>
      <c r="J1192">
        <v>1269.8576660000001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734.50448700000004</v>
      </c>
      <c r="B1193" s="1">
        <f>DATE(2012,5,4) + TIME(12,6,27)</f>
        <v>41033.504479166666</v>
      </c>
      <c r="C1193">
        <v>80</v>
      </c>
      <c r="D1193">
        <v>79.886238098000007</v>
      </c>
      <c r="E1193">
        <v>50</v>
      </c>
      <c r="F1193">
        <v>49.546691895000002</v>
      </c>
      <c r="G1193">
        <v>1388.9753418</v>
      </c>
      <c r="H1193">
        <v>1373.9191894999999</v>
      </c>
      <c r="I1193">
        <v>1288.9027100000001</v>
      </c>
      <c r="J1193">
        <v>1269.8537598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734.64067299999999</v>
      </c>
      <c r="B1194" s="1">
        <f>DATE(2012,5,4) + TIME(15,22,34)</f>
        <v>41033.6406712963</v>
      </c>
      <c r="C1194">
        <v>80</v>
      </c>
      <c r="D1194">
        <v>79.898208617999998</v>
      </c>
      <c r="E1194">
        <v>50</v>
      </c>
      <c r="F1194">
        <v>49.533107758</v>
      </c>
      <c r="G1194">
        <v>1388.9041748</v>
      </c>
      <c r="H1194">
        <v>1373.8609618999999</v>
      </c>
      <c r="I1194">
        <v>1288.9002685999999</v>
      </c>
      <c r="J1194">
        <v>1269.8502197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734.78277200000002</v>
      </c>
      <c r="B1195" s="1">
        <f>DATE(2012,5,4) + TIME(18,47,11)</f>
        <v>41033.782766203702</v>
      </c>
      <c r="C1195">
        <v>80</v>
      </c>
      <c r="D1195">
        <v>79.908370972</v>
      </c>
      <c r="E1195">
        <v>50</v>
      </c>
      <c r="F1195">
        <v>49.519016266000001</v>
      </c>
      <c r="G1195">
        <v>1388.8330077999999</v>
      </c>
      <c r="H1195">
        <v>1373.8026123</v>
      </c>
      <c r="I1195">
        <v>1288.8978271000001</v>
      </c>
      <c r="J1195">
        <v>1269.8468018000001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734.92973800000004</v>
      </c>
      <c r="B1196" s="1">
        <f>DATE(2012,5,4) + TIME(22,18,49)</f>
        <v>41033.9297337963</v>
      </c>
      <c r="C1196">
        <v>80</v>
      </c>
      <c r="D1196">
        <v>79.916770935000002</v>
      </c>
      <c r="E1196">
        <v>50</v>
      </c>
      <c r="F1196">
        <v>49.504516602000002</v>
      </c>
      <c r="G1196">
        <v>1388.7591553</v>
      </c>
      <c r="H1196">
        <v>1373.7416992000001</v>
      </c>
      <c r="I1196">
        <v>1288.8946533000001</v>
      </c>
      <c r="J1196">
        <v>1269.8425293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735.08223499999997</v>
      </c>
      <c r="B1197" s="1">
        <f>DATE(2012,5,5) + TIME(1,58,25)</f>
        <v>41034.082233796296</v>
      </c>
      <c r="C1197">
        <v>80</v>
      </c>
      <c r="D1197">
        <v>79.923706054999997</v>
      </c>
      <c r="E1197">
        <v>50</v>
      </c>
      <c r="F1197">
        <v>49.489547729000002</v>
      </c>
      <c r="G1197">
        <v>1388.6864014</v>
      </c>
      <c r="H1197">
        <v>1373.6815185999999</v>
      </c>
      <c r="I1197">
        <v>1288.8916016000001</v>
      </c>
      <c r="J1197">
        <v>1269.8382568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735.24070300000005</v>
      </c>
      <c r="B1198" s="1">
        <f>DATE(2012,5,5) + TIME(5,46,36)</f>
        <v>41034.240694444445</v>
      </c>
      <c r="C1198">
        <v>80</v>
      </c>
      <c r="D1198">
        <v>79.929412842000005</v>
      </c>
      <c r="E1198">
        <v>50</v>
      </c>
      <c r="F1198">
        <v>49.474079132</v>
      </c>
      <c r="G1198">
        <v>1388.6135254000001</v>
      </c>
      <c r="H1198">
        <v>1373.6213379000001</v>
      </c>
      <c r="I1198">
        <v>1288.8884277</v>
      </c>
      <c r="J1198">
        <v>1269.8339844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735.40587700000003</v>
      </c>
      <c r="B1199" s="1">
        <f>DATE(2012,5,5) + TIME(9,44,27)</f>
        <v>41034.405868055554</v>
      </c>
      <c r="C1199">
        <v>80</v>
      </c>
      <c r="D1199">
        <v>79.934082031000003</v>
      </c>
      <c r="E1199">
        <v>50</v>
      </c>
      <c r="F1199">
        <v>49.458053589000002</v>
      </c>
      <c r="G1199">
        <v>1388.5405272999999</v>
      </c>
      <c r="H1199">
        <v>1373.5609131000001</v>
      </c>
      <c r="I1199">
        <v>1288.8851318</v>
      </c>
      <c r="J1199">
        <v>1269.8294678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735.57839000000001</v>
      </c>
      <c r="B1200" s="1">
        <f>DATE(2012,5,5) + TIME(13,52,52)</f>
        <v>41034.578379629631</v>
      </c>
      <c r="C1200">
        <v>80</v>
      </c>
      <c r="D1200">
        <v>79.937896729000002</v>
      </c>
      <c r="E1200">
        <v>50</v>
      </c>
      <c r="F1200">
        <v>49.441417694000002</v>
      </c>
      <c r="G1200">
        <v>1388.4669189000001</v>
      </c>
      <c r="H1200">
        <v>1373.5</v>
      </c>
      <c r="I1200">
        <v>1288.8817139</v>
      </c>
      <c r="J1200">
        <v>1269.824707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735.75806399999999</v>
      </c>
      <c r="B1201" s="1">
        <f>DATE(2012,5,5) + TIME(18,11,36)</f>
        <v>41034.758055555554</v>
      </c>
      <c r="C1201">
        <v>80</v>
      </c>
      <c r="D1201">
        <v>79.940979003999999</v>
      </c>
      <c r="E1201">
        <v>50</v>
      </c>
      <c r="F1201">
        <v>49.424186706999997</v>
      </c>
      <c r="G1201">
        <v>1388.3927002</v>
      </c>
      <c r="H1201">
        <v>1373.4384766000001</v>
      </c>
      <c r="I1201">
        <v>1288.8781738</v>
      </c>
      <c r="J1201">
        <v>1269.8198242000001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735.93918099999996</v>
      </c>
      <c r="B1202" s="1">
        <f>DATE(2012,5,5) + TIME(22,32,25)</f>
        <v>41034.93917824074</v>
      </c>
      <c r="C1202">
        <v>80</v>
      </c>
      <c r="D1202">
        <v>79.943397521999998</v>
      </c>
      <c r="E1202">
        <v>50</v>
      </c>
      <c r="F1202">
        <v>49.406791687000002</v>
      </c>
      <c r="G1202">
        <v>1388.3179932</v>
      </c>
      <c r="H1202">
        <v>1373.3765868999999</v>
      </c>
      <c r="I1202">
        <v>1288.8743896000001</v>
      </c>
      <c r="J1202">
        <v>1269.8146973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736.12204499999996</v>
      </c>
      <c r="B1203" s="1">
        <f>DATE(2012,5,6) + TIME(2,55,44)</f>
        <v>41035.122037037036</v>
      </c>
      <c r="C1203">
        <v>80</v>
      </c>
      <c r="D1203">
        <v>79.9453125</v>
      </c>
      <c r="E1203">
        <v>50</v>
      </c>
      <c r="F1203">
        <v>49.389232634999999</v>
      </c>
      <c r="G1203">
        <v>1388.2451172000001</v>
      </c>
      <c r="H1203">
        <v>1373.3162841999999</v>
      </c>
      <c r="I1203">
        <v>1288.8706055</v>
      </c>
      <c r="J1203">
        <v>1269.8095702999999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736.30644700000005</v>
      </c>
      <c r="B1204" s="1">
        <f>DATE(2012,5,6) + TIME(7,21,17)</f>
        <v>41035.306446759256</v>
      </c>
      <c r="C1204">
        <v>80</v>
      </c>
      <c r="D1204">
        <v>79.946815490999995</v>
      </c>
      <c r="E1204">
        <v>50</v>
      </c>
      <c r="F1204">
        <v>49.371536255000002</v>
      </c>
      <c r="G1204">
        <v>1388.1739502</v>
      </c>
      <c r="H1204">
        <v>1373.2573242000001</v>
      </c>
      <c r="I1204">
        <v>1288.8666992000001</v>
      </c>
      <c r="J1204">
        <v>1269.8043213000001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736.49283800000001</v>
      </c>
      <c r="B1205" s="1">
        <f>DATE(2012,5,6) + TIME(11,49,41)</f>
        <v>41035.492835648147</v>
      </c>
      <c r="C1205">
        <v>80</v>
      </c>
      <c r="D1205">
        <v>79.948013306000007</v>
      </c>
      <c r="E1205">
        <v>50</v>
      </c>
      <c r="F1205">
        <v>49.353683472</v>
      </c>
      <c r="G1205">
        <v>1388.1042480000001</v>
      </c>
      <c r="H1205">
        <v>1373.199707</v>
      </c>
      <c r="I1205">
        <v>1288.862793</v>
      </c>
      <c r="J1205">
        <v>1269.7990723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736.68163800000002</v>
      </c>
      <c r="B1206" s="1">
        <f>DATE(2012,5,6) + TIME(16,21,33)</f>
        <v>41035.681631944448</v>
      </c>
      <c r="C1206">
        <v>80</v>
      </c>
      <c r="D1206">
        <v>79.948966979999994</v>
      </c>
      <c r="E1206">
        <v>50</v>
      </c>
      <c r="F1206">
        <v>49.335651398000003</v>
      </c>
      <c r="G1206">
        <v>1388.0358887</v>
      </c>
      <c r="H1206">
        <v>1373.1433105000001</v>
      </c>
      <c r="I1206">
        <v>1288.8588867000001</v>
      </c>
      <c r="J1206">
        <v>1269.7937012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736.87331200000006</v>
      </c>
      <c r="B1207" s="1">
        <f>DATE(2012,5,6) + TIME(20,57,34)</f>
        <v>41035.873310185183</v>
      </c>
      <c r="C1207">
        <v>80</v>
      </c>
      <c r="D1207">
        <v>79.949729919000006</v>
      </c>
      <c r="E1207">
        <v>50</v>
      </c>
      <c r="F1207">
        <v>49.317409515000001</v>
      </c>
      <c r="G1207">
        <v>1387.9686279</v>
      </c>
      <c r="H1207">
        <v>1373.0877685999999</v>
      </c>
      <c r="I1207">
        <v>1288.8548584</v>
      </c>
      <c r="J1207">
        <v>1269.7883300999999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737.06834200000003</v>
      </c>
      <c r="B1208" s="1">
        <f>DATE(2012,5,7) + TIME(1,38,24)</f>
        <v>41036.068333333336</v>
      </c>
      <c r="C1208">
        <v>80</v>
      </c>
      <c r="D1208">
        <v>79.950347899999997</v>
      </c>
      <c r="E1208">
        <v>50</v>
      </c>
      <c r="F1208">
        <v>49.298927307</v>
      </c>
      <c r="G1208">
        <v>1387.9023437999999</v>
      </c>
      <c r="H1208">
        <v>1373.0330810999999</v>
      </c>
      <c r="I1208">
        <v>1288.8508300999999</v>
      </c>
      <c r="J1208">
        <v>1269.7828368999999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737.26722800000005</v>
      </c>
      <c r="B1209" s="1">
        <f>DATE(2012,5,7) + TIME(6,24,48)</f>
        <v>41036.267222222225</v>
      </c>
      <c r="C1209">
        <v>80</v>
      </c>
      <c r="D1209">
        <v>79.950843810999999</v>
      </c>
      <c r="E1209">
        <v>50</v>
      </c>
      <c r="F1209">
        <v>49.280170441000003</v>
      </c>
      <c r="G1209">
        <v>1387.8366699000001</v>
      </c>
      <c r="H1209">
        <v>1372.9788818</v>
      </c>
      <c r="I1209">
        <v>1288.8466797000001</v>
      </c>
      <c r="J1209">
        <v>1269.7772216999999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737.47050400000001</v>
      </c>
      <c r="B1210" s="1">
        <f>DATE(2012,5,7) + TIME(11,17,31)</f>
        <v>41036.470497685186</v>
      </c>
      <c r="C1210">
        <v>80</v>
      </c>
      <c r="D1210">
        <v>79.951248168999996</v>
      </c>
      <c r="E1210">
        <v>50</v>
      </c>
      <c r="F1210">
        <v>49.261096954000003</v>
      </c>
      <c r="G1210">
        <v>1387.7714844</v>
      </c>
      <c r="H1210">
        <v>1372.925293</v>
      </c>
      <c r="I1210">
        <v>1288.8425293</v>
      </c>
      <c r="J1210">
        <v>1269.7714844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737.67874400000005</v>
      </c>
      <c r="B1211" s="1">
        <f>DATE(2012,5,7) + TIME(16,17,23)</f>
        <v>41036.678738425922</v>
      </c>
      <c r="C1211">
        <v>80</v>
      </c>
      <c r="D1211">
        <v>79.951583862000007</v>
      </c>
      <c r="E1211">
        <v>50</v>
      </c>
      <c r="F1211">
        <v>49.241664886000002</v>
      </c>
      <c r="G1211">
        <v>1387.7066649999999</v>
      </c>
      <c r="H1211">
        <v>1372.8719481999999</v>
      </c>
      <c r="I1211">
        <v>1288.8381348</v>
      </c>
      <c r="J1211">
        <v>1269.765625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737.89257099999998</v>
      </c>
      <c r="B1212" s="1">
        <f>DATE(2012,5,7) + TIME(21,25,18)</f>
        <v>41036.892569444448</v>
      </c>
      <c r="C1212">
        <v>80</v>
      </c>
      <c r="D1212">
        <v>79.951858521000005</v>
      </c>
      <c r="E1212">
        <v>50</v>
      </c>
      <c r="F1212">
        <v>49.221828461000001</v>
      </c>
      <c r="G1212">
        <v>1387.6419678</v>
      </c>
      <c r="H1212">
        <v>1372.8188477000001</v>
      </c>
      <c r="I1212">
        <v>1288.8337402</v>
      </c>
      <c r="J1212">
        <v>1269.7596435999999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738.11267399999997</v>
      </c>
      <c r="B1213" s="1">
        <f>DATE(2012,5,8) + TIME(2,42,15)</f>
        <v>41037.112673611111</v>
      </c>
      <c r="C1213">
        <v>80</v>
      </c>
      <c r="D1213">
        <v>79.952079772999994</v>
      </c>
      <c r="E1213">
        <v>50</v>
      </c>
      <c r="F1213">
        <v>49.201534271</v>
      </c>
      <c r="G1213">
        <v>1387.5772704999999</v>
      </c>
      <c r="H1213">
        <v>1372.7658690999999</v>
      </c>
      <c r="I1213">
        <v>1288.8292236</v>
      </c>
      <c r="J1213">
        <v>1269.7535399999999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738.33988999999997</v>
      </c>
      <c r="B1214" s="1">
        <f>DATE(2012,5,8) + TIME(8,9,26)</f>
        <v>41037.339884259258</v>
      </c>
      <c r="C1214">
        <v>80</v>
      </c>
      <c r="D1214">
        <v>79.952270507999998</v>
      </c>
      <c r="E1214">
        <v>50</v>
      </c>
      <c r="F1214">
        <v>49.180717467999997</v>
      </c>
      <c r="G1214">
        <v>1387.5124512</v>
      </c>
      <c r="H1214">
        <v>1372.7126464999999</v>
      </c>
      <c r="I1214">
        <v>1288.8245850000001</v>
      </c>
      <c r="J1214">
        <v>1269.7471923999999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738.57481199999995</v>
      </c>
      <c r="B1215" s="1">
        <f>DATE(2012,5,8) + TIME(13,47,43)</f>
        <v>41037.574803240743</v>
      </c>
      <c r="C1215">
        <v>80</v>
      </c>
      <c r="D1215">
        <v>79.952423096000004</v>
      </c>
      <c r="E1215">
        <v>50</v>
      </c>
      <c r="F1215">
        <v>49.159332274999997</v>
      </c>
      <c r="G1215">
        <v>1387.4471435999999</v>
      </c>
      <c r="H1215">
        <v>1372.6593018000001</v>
      </c>
      <c r="I1215">
        <v>1288.8198242000001</v>
      </c>
      <c r="J1215">
        <v>1269.7407227000001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738.81459099999995</v>
      </c>
      <c r="B1216" s="1">
        <f>DATE(2012,5,8) + TIME(19,33,0)</f>
        <v>41037.814583333333</v>
      </c>
      <c r="C1216">
        <v>80</v>
      </c>
      <c r="D1216">
        <v>79.952552795000003</v>
      </c>
      <c r="E1216">
        <v>50</v>
      </c>
      <c r="F1216">
        <v>49.137565613</v>
      </c>
      <c r="G1216">
        <v>1387.3814697</v>
      </c>
      <c r="H1216">
        <v>1372.6055908000001</v>
      </c>
      <c r="I1216">
        <v>1288.8146973</v>
      </c>
      <c r="J1216">
        <v>1269.7338867000001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739.05986700000005</v>
      </c>
      <c r="B1217" s="1">
        <f>DATE(2012,5,9) + TIME(1,26,12)</f>
        <v>41038.059861111113</v>
      </c>
      <c r="C1217">
        <v>80</v>
      </c>
      <c r="D1217">
        <v>79.952651978000006</v>
      </c>
      <c r="E1217">
        <v>50</v>
      </c>
      <c r="F1217">
        <v>49.115383147999999</v>
      </c>
      <c r="G1217">
        <v>1387.3161620999999</v>
      </c>
      <c r="H1217">
        <v>1372.552124</v>
      </c>
      <c r="I1217">
        <v>1288.8095702999999</v>
      </c>
      <c r="J1217">
        <v>1269.7270507999999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739.31126200000006</v>
      </c>
      <c r="B1218" s="1">
        <f>DATE(2012,5,9) + TIME(7,28,13)</f>
        <v>41038.311261574076</v>
      </c>
      <c r="C1218">
        <v>80</v>
      </c>
      <c r="D1218">
        <v>79.952735900999997</v>
      </c>
      <c r="E1218">
        <v>50</v>
      </c>
      <c r="F1218">
        <v>49.092750549000002</v>
      </c>
      <c r="G1218">
        <v>1387.2509766000001</v>
      </c>
      <c r="H1218">
        <v>1372.4990233999999</v>
      </c>
      <c r="I1218">
        <v>1288.8043213000001</v>
      </c>
      <c r="J1218">
        <v>1269.7199707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739.56945800000005</v>
      </c>
      <c r="B1219" s="1">
        <f>DATE(2012,5,9) + TIME(13,40,1)</f>
        <v>41038.569456018522</v>
      </c>
      <c r="C1219">
        <v>80</v>
      </c>
      <c r="D1219">
        <v>79.952804564999994</v>
      </c>
      <c r="E1219">
        <v>50</v>
      </c>
      <c r="F1219">
        <v>49.069618224999999</v>
      </c>
      <c r="G1219">
        <v>1387.1859131000001</v>
      </c>
      <c r="H1219">
        <v>1372.4459228999999</v>
      </c>
      <c r="I1219">
        <v>1288.7989502</v>
      </c>
      <c r="J1219">
        <v>1269.7127685999999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739.83520899999996</v>
      </c>
      <c r="B1220" s="1">
        <f>DATE(2012,5,9) + TIME(20,2,42)</f>
        <v>41038.83520833333</v>
      </c>
      <c r="C1220">
        <v>80</v>
      </c>
      <c r="D1220">
        <v>79.952857971</v>
      </c>
      <c r="E1220">
        <v>50</v>
      </c>
      <c r="F1220">
        <v>49.045944214000002</v>
      </c>
      <c r="G1220">
        <v>1387.1207274999999</v>
      </c>
      <c r="H1220">
        <v>1372.3928223</v>
      </c>
      <c r="I1220">
        <v>1288.793457</v>
      </c>
      <c r="J1220">
        <v>1269.7053223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740.10935600000005</v>
      </c>
      <c r="B1221" s="1">
        <f>DATE(2012,5,10) + TIME(2,37,28)</f>
        <v>41039.109351851854</v>
      </c>
      <c r="C1221">
        <v>80</v>
      </c>
      <c r="D1221">
        <v>79.952903747999997</v>
      </c>
      <c r="E1221">
        <v>50</v>
      </c>
      <c r="F1221">
        <v>49.021667479999998</v>
      </c>
      <c r="G1221">
        <v>1387.0552978999999</v>
      </c>
      <c r="H1221">
        <v>1372.3395995999999</v>
      </c>
      <c r="I1221">
        <v>1288.7877197</v>
      </c>
      <c r="J1221">
        <v>1269.6976318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740.39163299999996</v>
      </c>
      <c r="B1222" s="1">
        <f>DATE(2012,5,10) + TIME(9,23,57)</f>
        <v>41039.391631944447</v>
      </c>
      <c r="C1222">
        <v>80</v>
      </c>
      <c r="D1222">
        <v>79.952941894999995</v>
      </c>
      <c r="E1222">
        <v>50</v>
      </c>
      <c r="F1222">
        <v>48.996799469000003</v>
      </c>
      <c r="G1222">
        <v>1386.9893798999999</v>
      </c>
      <c r="H1222">
        <v>1372.2861327999999</v>
      </c>
      <c r="I1222">
        <v>1288.7818603999999</v>
      </c>
      <c r="J1222">
        <v>1269.6896973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740.67643499999997</v>
      </c>
      <c r="B1223" s="1">
        <f>DATE(2012,5,10) + TIME(16,14,3)</f>
        <v>41039.676423611112</v>
      </c>
      <c r="C1223">
        <v>80</v>
      </c>
      <c r="D1223">
        <v>79.952964782999999</v>
      </c>
      <c r="E1223">
        <v>50</v>
      </c>
      <c r="F1223">
        <v>48.971687316999997</v>
      </c>
      <c r="G1223">
        <v>1386.9233397999999</v>
      </c>
      <c r="H1223">
        <v>1372.2325439000001</v>
      </c>
      <c r="I1223">
        <v>1288.7757568</v>
      </c>
      <c r="J1223">
        <v>1269.6815185999999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740.96455600000002</v>
      </c>
      <c r="B1224" s="1">
        <f>DATE(2012,5,10) + TIME(23,8,57)</f>
        <v>41039.964548611111</v>
      </c>
      <c r="C1224">
        <v>80</v>
      </c>
      <c r="D1224">
        <v>79.952980041999993</v>
      </c>
      <c r="E1224">
        <v>50</v>
      </c>
      <c r="F1224">
        <v>48.946319580000001</v>
      </c>
      <c r="G1224">
        <v>1386.8582764</v>
      </c>
      <c r="H1224">
        <v>1372.1796875</v>
      </c>
      <c r="I1224">
        <v>1288.7696533000001</v>
      </c>
      <c r="J1224">
        <v>1269.6733397999999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741.25675999999999</v>
      </c>
      <c r="B1225" s="1">
        <f>DATE(2012,5,11) + TIME(6,9,44)</f>
        <v>41040.25675925926</v>
      </c>
      <c r="C1225">
        <v>80</v>
      </c>
      <c r="D1225">
        <v>79.952995299999998</v>
      </c>
      <c r="E1225">
        <v>50</v>
      </c>
      <c r="F1225">
        <v>48.920677185000002</v>
      </c>
      <c r="G1225">
        <v>1386.7940673999999</v>
      </c>
      <c r="H1225">
        <v>1372.1276855000001</v>
      </c>
      <c r="I1225">
        <v>1288.7634277</v>
      </c>
      <c r="J1225">
        <v>1269.6650391000001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741.55382699999996</v>
      </c>
      <c r="B1226" s="1">
        <f>DATE(2012,5,11) + TIME(13,17,30)</f>
        <v>41040.553819444445</v>
      </c>
      <c r="C1226">
        <v>80</v>
      </c>
      <c r="D1226">
        <v>79.952995299999998</v>
      </c>
      <c r="E1226">
        <v>50</v>
      </c>
      <c r="F1226">
        <v>48.894718169999997</v>
      </c>
      <c r="G1226">
        <v>1386.7304687999999</v>
      </c>
      <c r="H1226">
        <v>1372.0761719</v>
      </c>
      <c r="I1226">
        <v>1288.7570800999999</v>
      </c>
      <c r="J1226">
        <v>1269.6566161999999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741.85521200000005</v>
      </c>
      <c r="B1227" s="1">
        <f>DATE(2012,5,11) + TIME(20,31,30)</f>
        <v>41040.855208333334</v>
      </c>
      <c r="C1227">
        <v>80</v>
      </c>
      <c r="D1227">
        <v>79.953002929999997</v>
      </c>
      <c r="E1227">
        <v>50</v>
      </c>
      <c r="F1227">
        <v>48.868480681999998</v>
      </c>
      <c r="G1227">
        <v>1386.6673584</v>
      </c>
      <c r="H1227">
        <v>1372.0250243999999</v>
      </c>
      <c r="I1227">
        <v>1288.7506103999999</v>
      </c>
      <c r="J1227">
        <v>1269.6479492000001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742.16098599999998</v>
      </c>
      <c r="B1228" s="1">
        <f>DATE(2012,5,12) + TIME(3,51,49)</f>
        <v>41041.160983796297</v>
      </c>
      <c r="C1228">
        <v>80</v>
      </c>
      <c r="D1228">
        <v>79.952995299999998</v>
      </c>
      <c r="E1228">
        <v>50</v>
      </c>
      <c r="F1228">
        <v>48.841968536000003</v>
      </c>
      <c r="G1228">
        <v>1386.6047363</v>
      </c>
      <c r="H1228">
        <v>1371.9743652</v>
      </c>
      <c r="I1228">
        <v>1288.7441406</v>
      </c>
      <c r="J1228">
        <v>1269.6392822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742.47192199999995</v>
      </c>
      <c r="B1229" s="1">
        <f>DATE(2012,5,12) + TIME(11,19,34)</f>
        <v>41041.471921296295</v>
      </c>
      <c r="C1229">
        <v>80</v>
      </c>
      <c r="D1229">
        <v>79.952995299999998</v>
      </c>
      <c r="E1229">
        <v>50</v>
      </c>
      <c r="F1229">
        <v>48.815143585000001</v>
      </c>
      <c r="G1229">
        <v>1386.5427245999999</v>
      </c>
      <c r="H1229">
        <v>1371.9243164</v>
      </c>
      <c r="I1229">
        <v>1288.7374268000001</v>
      </c>
      <c r="J1229">
        <v>1269.6303711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742.78882399999998</v>
      </c>
      <c r="B1230" s="1">
        <f>DATE(2012,5,12) + TIME(18,55,54)</f>
        <v>41041.788819444446</v>
      </c>
      <c r="C1230">
        <v>80</v>
      </c>
      <c r="D1230">
        <v>79.952987671000002</v>
      </c>
      <c r="E1230">
        <v>50</v>
      </c>
      <c r="F1230">
        <v>48.787960052000003</v>
      </c>
      <c r="G1230">
        <v>1386.4810791</v>
      </c>
      <c r="H1230">
        <v>1371.8743896000001</v>
      </c>
      <c r="I1230">
        <v>1288.7307129000001</v>
      </c>
      <c r="J1230">
        <v>1269.6213379000001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743.11255100000005</v>
      </c>
      <c r="B1231" s="1">
        <f>DATE(2012,5,13) + TIME(2,42,4)</f>
        <v>41042.112546296295</v>
      </c>
      <c r="C1231">
        <v>80</v>
      </c>
      <c r="D1231">
        <v>79.952980041999993</v>
      </c>
      <c r="E1231">
        <v>50</v>
      </c>
      <c r="F1231">
        <v>48.760356903000002</v>
      </c>
      <c r="G1231">
        <v>1386.4195557</v>
      </c>
      <c r="H1231">
        <v>1371.8248291</v>
      </c>
      <c r="I1231">
        <v>1288.7237548999999</v>
      </c>
      <c r="J1231">
        <v>1269.6120605000001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743.44402100000002</v>
      </c>
      <c r="B1232" s="1">
        <f>DATE(2012,5,13) + TIME(10,39,23)</f>
        <v>41042.444016203706</v>
      </c>
      <c r="C1232">
        <v>80</v>
      </c>
      <c r="D1232">
        <v>79.952964782999999</v>
      </c>
      <c r="E1232">
        <v>50</v>
      </c>
      <c r="F1232">
        <v>48.732273102000001</v>
      </c>
      <c r="G1232">
        <v>1386.3581543</v>
      </c>
      <c r="H1232">
        <v>1371.7752685999999</v>
      </c>
      <c r="I1232">
        <v>1288.7167969</v>
      </c>
      <c r="J1232">
        <v>1269.6026611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743.78423999999995</v>
      </c>
      <c r="B1233" s="1">
        <f>DATE(2012,5,13) + TIME(18,49,18)</f>
        <v>41042.784236111111</v>
      </c>
      <c r="C1233">
        <v>80</v>
      </c>
      <c r="D1233">
        <v>79.952957153</v>
      </c>
      <c r="E1233">
        <v>50</v>
      </c>
      <c r="F1233">
        <v>48.703643798999998</v>
      </c>
      <c r="G1233">
        <v>1386.2966309000001</v>
      </c>
      <c r="H1233">
        <v>1371.7255858999999</v>
      </c>
      <c r="I1233">
        <v>1288.7094727000001</v>
      </c>
      <c r="J1233">
        <v>1269.5930175999999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744.13432399999999</v>
      </c>
      <c r="B1234" s="1">
        <f>DATE(2012,5,14) + TIME(3,13,25)</f>
        <v>41043.134317129632</v>
      </c>
      <c r="C1234">
        <v>80</v>
      </c>
      <c r="D1234">
        <v>79.952941894999995</v>
      </c>
      <c r="E1234">
        <v>50</v>
      </c>
      <c r="F1234">
        <v>48.674396514999998</v>
      </c>
      <c r="G1234">
        <v>1386.2347411999999</v>
      </c>
      <c r="H1234">
        <v>1371.6757812000001</v>
      </c>
      <c r="I1234">
        <v>1288.7021483999999</v>
      </c>
      <c r="J1234">
        <v>1269.5830077999999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744.49211100000002</v>
      </c>
      <c r="B1235" s="1">
        <f>DATE(2012,5,14) + TIME(11,48,38)</f>
        <v>41043.492106481484</v>
      </c>
      <c r="C1235">
        <v>80</v>
      </c>
      <c r="D1235">
        <v>79.952926636000001</v>
      </c>
      <c r="E1235">
        <v>50</v>
      </c>
      <c r="F1235">
        <v>48.644622802999997</v>
      </c>
      <c r="G1235">
        <v>1386.1726074000001</v>
      </c>
      <c r="H1235">
        <v>1371.6256103999999</v>
      </c>
      <c r="I1235">
        <v>1288.6944579999999</v>
      </c>
      <c r="J1235">
        <v>1269.572876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744.85683800000004</v>
      </c>
      <c r="B1236" s="1">
        <f>DATE(2012,5,14) + TIME(20,33,50)</f>
        <v>41043.856828703705</v>
      </c>
      <c r="C1236">
        <v>80</v>
      </c>
      <c r="D1236">
        <v>79.952911377000007</v>
      </c>
      <c r="E1236">
        <v>50</v>
      </c>
      <c r="F1236">
        <v>48.614383697999997</v>
      </c>
      <c r="G1236">
        <v>1386.1103516000001</v>
      </c>
      <c r="H1236">
        <v>1371.5755615</v>
      </c>
      <c r="I1236">
        <v>1288.6865233999999</v>
      </c>
      <c r="J1236">
        <v>1269.5623779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745.22947299999998</v>
      </c>
      <c r="B1237" s="1">
        <f>DATE(2012,5,15) + TIME(5,30,26)</f>
        <v>41044.229467592595</v>
      </c>
      <c r="C1237">
        <v>80</v>
      </c>
      <c r="D1237">
        <v>79.952896117999998</v>
      </c>
      <c r="E1237">
        <v>50</v>
      </c>
      <c r="F1237">
        <v>48.583641051999997</v>
      </c>
      <c r="G1237">
        <v>1386.0483397999999</v>
      </c>
      <c r="H1237">
        <v>1371.5256348</v>
      </c>
      <c r="I1237">
        <v>1288.6785889</v>
      </c>
      <c r="J1237">
        <v>1269.5517577999999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745.60934799999995</v>
      </c>
      <c r="B1238" s="1">
        <f>DATE(2012,5,15) + TIME(14,37,27)</f>
        <v>41044.609340277777</v>
      </c>
      <c r="C1238">
        <v>80</v>
      </c>
      <c r="D1238">
        <v>79.952880859000004</v>
      </c>
      <c r="E1238">
        <v>50</v>
      </c>
      <c r="F1238">
        <v>48.552429199000002</v>
      </c>
      <c r="G1238">
        <v>1385.9863281</v>
      </c>
      <c r="H1238">
        <v>1371.4757079999999</v>
      </c>
      <c r="I1238">
        <v>1288.6702881000001</v>
      </c>
      <c r="J1238">
        <v>1269.5407714999999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745.99270000000001</v>
      </c>
      <c r="B1239" s="1">
        <f>DATE(2012,5,15) + TIME(23,49,29)</f>
        <v>41044.992696759262</v>
      </c>
      <c r="C1239">
        <v>80</v>
      </c>
      <c r="D1239">
        <v>79.952857971</v>
      </c>
      <c r="E1239">
        <v>50</v>
      </c>
      <c r="F1239">
        <v>48.520965576000002</v>
      </c>
      <c r="G1239">
        <v>1385.9243164</v>
      </c>
      <c r="H1239">
        <v>1371.4259033000001</v>
      </c>
      <c r="I1239">
        <v>1288.6618652</v>
      </c>
      <c r="J1239">
        <v>1269.5296631000001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746.38061200000004</v>
      </c>
      <c r="B1240" s="1">
        <f>DATE(2012,5,16) + TIME(9,8,4)</f>
        <v>41045.380601851852</v>
      </c>
      <c r="C1240">
        <v>80</v>
      </c>
      <c r="D1240">
        <v>79.952842712000006</v>
      </c>
      <c r="E1240">
        <v>50</v>
      </c>
      <c r="F1240">
        <v>48.489234924000002</v>
      </c>
      <c r="G1240">
        <v>1385.8631591999999</v>
      </c>
      <c r="H1240">
        <v>1371.3767089999999</v>
      </c>
      <c r="I1240">
        <v>1288.6534423999999</v>
      </c>
      <c r="J1240">
        <v>1269.5184326000001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746.77415099999996</v>
      </c>
      <c r="B1241" s="1">
        <f>DATE(2012,5,16) + TIME(18,34,46)</f>
        <v>41045.774143518516</v>
      </c>
      <c r="C1241">
        <v>80</v>
      </c>
      <c r="D1241">
        <v>79.952827454000001</v>
      </c>
      <c r="E1241">
        <v>50</v>
      </c>
      <c r="F1241">
        <v>48.457199097</v>
      </c>
      <c r="G1241">
        <v>1385.8026123</v>
      </c>
      <c r="H1241">
        <v>1371.3280029</v>
      </c>
      <c r="I1241">
        <v>1288.6448975000001</v>
      </c>
      <c r="J1241">
        <v>1269.5069579999999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747.17443600000001</v>
      </c>
      <c r="B1242" s="1">
        <f>DATE(2012,5,17) + TIME(4,11,11)</f>
        <v>41046.174432870372</v>
      </c>
      <c r="C1242">
        <v>80</v>
      </c>
      <c r="D1242">
        <v>79.952812195000007</v>
      </c>
      <c r="E1242">
        <v>50</v>
      </c>
      <c r="F1242">
        <v>48.424808501999998</v>
      </c>
      <c r="G1242">
        <v>1385.7423096</v>
      </c>
      <c r="H1242">
        <v>1371.2795410000001</v>
      </c>
      <c r="I1242">
        <v>1288.6361084</v>
      </c>
      <c r="J1242">
        <v>1269.4953613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747.58208400000001</v>
      </c>
      <c r="B1243" s="1">
        <f>DATE(2012,5,17) + TIME(13,58,12)</f>
        <v>41046.582083333335</v>
      </c>
      <c r="C1243">
        <v>80</v>
      </c>
      <c r="D1243">
        <v>79.952796935999999</v>
      </c>
      <c r="E1243">
        <v>50</v>
      </c>
      <c r="F1243">
        <v>48.392028809000003</v>
      </c>
      <c r="G1243">
        <v>1385.682251</v>
      </c>
      <c r="H1243">
        <v>1371.2312012</v>
      </c>
      <c r="I1243">
        <v>1288.6271973</v>
      </c>
      <c r="J1243">
        <v>1269.4835204999999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747.99517600000001</v>
      </c>
      <c r="B1244" s="1">
        <f>DATE(2012,5,17) + TIME(23,53,3)</f>
        <v>41046.995173611111</v>
      </c>
      <c r="C1244">
        <v>80</v>
      </c>
      <c r="D1244">
        <v>79.952774047999995</v>
      </c>
      <c r="E1244">
        <v>50</v>
      </c>
      <c r="F1244">
        <v>48.358940124999997</v>
      </c>
      <c r="G1244">
        <v>1385.6223144999999</v>
      </c>
      <c r="H1244">
        <v>1371.1831055</v>
      </c>
      <c r="I1244">
        <v>1288.6181641000001</v>
      </c>
      <c r="J1244">
        <v>1269.4714355000001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748.41481999999996</v>
      </c>
      <c r="B1245" s="1">
        <f>DATE(2012,5,18) + TIME(9,57,20)</f>
        <v>41047.414814814816</v>
      </c>
      <c r="C1245">
        <v>80</v>
      </c>
      <c r="D1245">
        <v>79.952758789000001</v>
      </c>
      <c r="E1245">
        <v>50</v>
      </c>
      <c r="F1245">
        <v>48.325508118000002</v>
      </c>
      <c r="G1245">
        <v>1385.5628661999999</v>
      </c>
      <c r="H1245">
        <v>1371.1352539</v>
      </c>
      <c r="I1245">
        <v>1288.6090088000001</v>
      </c>
      <c r="J1245">
        <v>1269.4592285000001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748.84215600000005</v>
      </c>
      <c r="B1246" s="1">
        <f>DATE(2012,5,18) + TIME(20,12,42)</f>
        <v>41047.842152777775</v>
      </c>
      <c r="C1246">
        <v>80</v>
      </c>
      <c r="D1246">
        <v>79.952743530000006</v>
      </c>
      <c r="E1246">
        <v>50</v>
      </c>
      <c r="F1246">
        <v>48.291679381999998</v>
      </c>
      <c r="G1246">
        <v>1385.5035399999999</v>
      </c>
      <c r="H1246">
        <v>1371.0876464999999</v>
      </c>
      <c r="I1246">
        <v>1288.5996094</v>
      </c>
      <c r="J1246">
        <v>1269.4467772999999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749.27840500000002</v>
      </c>
      <c r="B1247" s="1">
        <f>DATE(2012,5,19) + TIME(6,40,54)</f>
        <v>41048.278402777774</v>
      </c>
      <c r="C1247">
        <v>80</v>
      </c>
      <c r="D1247">
        <v>79.952728270999998</v>
      </c>
      <c r="E1247">
        <v>50</v>
      </c>
      <c r="F1247">
        <v>48.257377624999997</v>
      </c>
      <c r="G1247">
        <v>1385.4443358999999</v>
      </c>
      <c r="H1247">
        <v>1371.0400391000001</v>
      </c>
      <c r="I1247">
        <v>1288.5900879000001</v>
      </c>
      <c r="J1247">
        <v>1269.434082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749.72488999999996</v>
      </c>
      <c r="B1248" s="1">
        <f>DATE(2012,5,19) + TIME(17,23,50)</f>
        <v>41048.72488425926</v>
      </c>
      <c r="C1248">
        <v>80</v>
      </c>
      <c r="D1248">
        <v>79.952713012999993</v>
      </c>
      <c r="E1248">
        <v>50</v>
      </c>
      <c r="F1248">
        <v>48.222534179999997</v>
      </c>
      <c r="G1248">
        <v>1385.3850098</v>
      </c>
      <c r="H1248">
        <v>1370.9924315999999</v>
      </c>
      <c r="I1248">
        <v>1288.5803223</v>
      </c>
      <c r="J1248">
        <v>1269.4210204999999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750.18306600000005</v>
      </c>
      <c r="B1249" s="1">
        <f>DATE(2012,5,20) + TIME(4,23,36)</f>
        <v>41049.183055555557</v>
      </c>
      <c r="C1249">
        <v>80</v>
      </c>
      <c r="D1249">
        <v>79.952697753999999</v>
      </c>
      <c r="E1249">
        <v>50</v>
      </c>
      <c r="F1249">
        <v>48.187046051000003</v>
      </c>
      <c r="G1249">
        <v>1385.3255615</v>
      </c>
      <c r="H1249">
        <v>1370.9445800999999</v>
      </c>
      <c r="I1249">
        <v>1288.5701904</v>
      </c>
      <c r="J1249">
        <v>1269.4077147999999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750.65468899999996</v>
      </c>
      <c r="B1250" s="1">
        <f>DATE(2012,5,20) + TIME(15,42,45)</f>
        <v>41049.654687499999</v>
      </c>
      <c r="C1250">
        <v>80</v>
      </c>
      <c r="D1250">
        <v>79.952682495000005</v>
      </c>
      <c r="E1250">
        <v>50</v>
      </c>
      <c r="F1250">
        <v>48.150817871000001</v>
      </c>
      <c r="G1250">
        <v>1385.265625</v>
      </c>
      <c r="H1250">
        <v>1370.8964844</v>
      </c>
      <c r="I1250">
        <v>1288.5599365</v>
      </c>
      <c r="J1250">
        <v>1269.3939209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751.13885200000004</v>
      </c>
      <c r="B1251" s="1">
        <f>DATE(2012,5,21) + TIME(3,19,56)</f>
        <v>41050.138842592591</v>
      </c>
      <c r="C1251">
        <v>80</v>
      </c>
      <c r="D1251">
        <v>79.952667235999996</v>
      </c>
      <c r="E1251">
        <v>50</v>
      </c>
      <c r="F1251">
        <v>48.113853454999997</v>
      </c>
      <c r="G1251">
        <v>1385.2052002</v>
      </c>
      <c r="H1251">
        <v>1370.8479004000001</v>
      </c>
      <c r="I1251">
        <v>1288.5493164</v>
      </c>
      <c r="J1251">
        <v>1269.3797606999999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751.62885500000004</v>
      </c>
      <c r="B1252" s="1">
        <f>DATE(2012,5,21) + TIME(15,5,33)</f>
        <v>41050.628854166665</v>
      </c>
      <c r="C1252">
        <v>80</v>
      </c>
      <c r="D1252">
        <v>79.952651978000006</v>
      </c>
      <c r="E1252">
        <v>50</v>
      </c>
      <c r="F1252">
        <v>48.076450348000002</v>
      </c>
      <c r="G1252">
        <v>1385.1442870999999</v>
      </c>
      <c r="H1252">
        <v>1370.7989502</v>
      </c>
      <c r="I1252">
        <v>1288.5383300999999</v>
      </c>
      <c r="J1252">
        <v>1269.3652344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752.12318600000003</v>
      </c>
      <c r="B1253" s="1">
        <f>DATE(2012,5,22) + TIME(2,57,23)</f>
        <v>41051.123182870368</v>
      </c>
      <c r="C1253">
        <v>80</v>
      </c>
      <c r="D1253">
        <v>79.952644348000007</v>
      </c>
      <c r="E1253">
        <v>50</v>
      </c>
      <c r="F1253">
        <v>48.038757324000002</v>
      </c>
      <c r="G1253">
        <v>1385.0837402</v>
      </c>
      <c r="H1253">
        <v>1370.7503661999999</v>
      </c>
      <c r="I1253">
        <v>1288.5270995999999</v>
      </c>
      <c r="J1253">
        <v>1269.3504639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752.62290900000005</v>
      </c>
      <c r="B1254" s="1">
        <f>DATE(2012,5,22) + TIME(14,56,59)</f>
        <v>41051.62290509259</v>
      </c>
      <c r="C1254">
        <v>80</v>
      </c>
      <c r="D1254">
        <v>79.952629088999998</v>
      </c>
      <c r="E1254">
        <v>50</v>
      </c>
      <c r="F1254">
        <v>48.000797272</v>
      </c>
      <c r="G1254">
        <v>1385.0239257999999</v>
      </c>
      <c r="H1254">
        <v>1370.7022704999999</v>
      </c>
      <c r="I1254">
        <v>1288.5158690999999</v>
      </c>
      <c r="J1254">
        <v>1269.3355713000001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753.12948300000005</v>
      </c>
      <c r="B1255" s="1">
        <f>DATE(2012,5,23) + TIME(3,6,27)</f>
        <v>41052.129479166666</v>
      </c>
      <c r="C1255">
        <v>80</v>
      </c>
      <c r="D1255">
        <v>79.952613830999994</v>
      </c>
      <c r="E1255">
        <v>50</v>
      </c>
      <c r="F1255">
        <v>47.962543488000001</v>
      </c>
      <c r="G1255">
        <v>1384.9645995999999</v>
      </c>
      <c r="H1255">
        <v>1370.6545410000001</v>
      </c>
      <c r="I1255">
        <v>1288.5045166</v>
      </c>
      <c r="J1255">
        <v>1269.3204346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753.64202599999999</v>
      </c>
      <c r="B1256" s="1">
        <f>DATE(2012,5,23) + TIME(15,24,31)</f>
        <v>41052.642025462963</v>
      </c>
      <c r="C1256">
        <v>80</v>
      </c>
      <c r="D1256">
        <v>79.952606200999995</v>
      </c>
      <c r="E1256">
        <v>50</v>
      </c>
      <c r="F1256">
        <v>47.924026488999999</v>
      </c>
      <c r="G1256">
        <v>1384.9055175999999</v>
      </c>
      <c r="H1256">
        <v>1370.6070557</v>
      </c>
      <c r="I1256">
        <v>1288.4929199000001</v>
      </c>
      <c r="J1256">
        <v>1269.3049315999999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754.16101700000002</v>
      </c>
      <c r="B1257" s="1">
        <f>DATE(2012,5,24) + TIME(3,51,51)</f>
        <v>41053.161006944443</v>
      </c>
      <c r="C1257">
        <v>80</v>
      </c>
      <c r="D1257">
        <v>79.952590942</v>
      </c>
      <c r="E1257">
        <v>50</v>
      </c>
      <c r="F1257">
        <v>47.885246277</v>
      </c>
      <c r="G1257">
        <v>1384.8468018000001</v>
      </c>
      <c r="H1257">
        <v>1370.5598144999999</v>
      </c>
      <c r="I1257">
        <v>1288.4810791</v>
      </c>
      <c r="J1257">
        <v>1269.2893065999999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754.68784600000004</v>
      </c>
      <c r="B1258" s="1">
        <f>DATE(2012,5,24) + TIME(16,30,29)</f>
        <v>41053.687835648147</v>
      </c>
      <c r="C1258">
        <v>80</v>
      </c>
      <c r="D1258">
        <v>79.952583313000005</v>
      </c>
      <c r="E1258">
        <v>50</v>
      </c>
      <c r="F1258">
        <v>47.846145630000002</v>
      </c>
      <c r="G1258">
        <v>1384.7884521000001</v>
      </c>
      <c r="H1258">
        <v>1370.5128173999999</v>
      </c>
      <c r="I1258">
        <v>1288.4691161999999</v>
      </c>
      <c r="J1258">
        <v>1269.2733154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755.22397000000001</v>
      </c>
      <c r="B1259" s="1">
        <f>DATE(2012,5,25) + TIME(5,22,31)</f>
        <v>41054.223969907405</v>
      </c>
      <c r="C1259">
        <v>80</v>
      </c>
      <c r="D1259">
        <v>79.952568053999997</v>
      </c>
      <c r="E1259">
        <v>50</v>
      </c>
      <c r="F1259">
        <v>47.806652069000002</v>
      </c>
      <c r="G1259">
        <v>1384.7302245999999</v>
      </c>
      <c r="H1259">
        <v>1370.4660644999999</v>
      </c>
      <c r="I1259">
        <v>1288.4569091999999</v>
      </c>
      <c r="J1259">
        <v>1269.2570800999999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755.77093600000001</v>
      </c>
      <c r="B1260" s="1">
        <f>DATE(2012,5,25) + TIME(18,30,8)</f>
        <v>41054.770925925928</v>
      </c>
      <c r="C1260">
        <v>80</v>
      </c>
      <c r="D1260">
        <v>79.952560425000001</v>
      </c>
      <c r="E1260">
        <v>50</v>
      </c>
      <c r="F1260">
        <v>47.766670226999999</v>
      </c>
      <c r="G1260">
        <v>1384.6721190999999</v>
      </c>
      <c r="H1260">
        <v>1370.4191894999999</v>
      </c>
      <c r="I1260">
        <v>1288.4444579999999</v>
      </c>
      <c r="J1260">
        <v>1269.2406006000001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756.33041300000002</v>
      </c>
      <c r="B1261" s="1">
        <f>DATE(2012,5,26) + TIME(7,55,47)</f>
        <v>41055.330405092594</v>
      </c>
      <c r="C1261">
        <v>80</v>
      </c>
      <c r="D1261">
        <v>79.952552795000003</v>
      </c>
      <c r="E1261">
        <v>50</v>
      </c>
      <c r="F1261">
        <v>47.726112366000002</v>
      </c>
      <c r="G1261">
        <v>1384.6137695</v>
      </c>
      <c r="H1261">
        <v>1370.3721923999999</v>
      </c>
      <c r="I1261">
        <v>1288.4317627</v>
      </c>
      <c r="J1261">
        <v>1269.2235106999999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756.90422799999999</v>
      </c>
      <c r="B1262" s="1">
        <f>DATE(2012,5,26) + TIME(21,42,5)</f>
        <v>41055.904224537036</v>
      </c>
      <c r="C1262">
        <v>80</v>
      </c>
      <c r="D1262">
        <v>79.952537536999998</v>
      </c>
      <c r="E1262">
        <v>50</v>
      </c>
      <c r="F1262">
        <v>47.684864044000001</v>
      </c>
      <c r="G1262">
        <v>1384.5551757999999</v>
      </c>
      <c r="H1262">
        <v>1370.3249512</v>
      </c>
      <c r="I1262">
        <v>1288.4187012</v>
      </c>
      <c r="J1262">
        <v>1269.2060547000001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757.489958</v>
      </c>
      <c r="B1263" s="1">
        <f>DATE(2012,5,27) + TIME(11,45,32)</f>
        <v>41056.489953703705</v>
      </c>
      <c r="C1263">
        <v>80</v>
      </c>
      <c r="D1263">
        <v>79.952529906999999</v>
      </c>
      <c r="E1263">
        <v>50</v>
      </c>
      <c r="F1263">
        <v>47.642982482999997</v>
      </c>
      <c r="G1263">
        <v>1384.4960937999999</v>
      </c>
      <c r="H1263">
        <v>1370.2774658000001</v>
      </c>
      <c r="I1263">
        <v>1288.4051514</v>
      </c>
      <c r="J1263">
        <v>1269.1881103999999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758.08715500000005</v>
      </c>
      <c r="B1264" s="1">
        <f>DATE(2012,5,28) + TIME(2,5,30)</f>
        <v>41057.087152777778</v>
      </c>
      <c r="C1264">
        <v>80</v>
      </c>
      <c r="D1264">
        <v>79.952522278000004</v>
      </c>
      <c r="E1264">
        <v>50</v>
      </c>
      <c r="F1264">
        <v>47.600498199</v>
      </c>
      <c r="G1264">
        <v>1384.4368896000001</v>
      </c>
      <c r="H1264">
        <v>1370.2296143000001</v>
      </c>
      <c r="I1264">
        <v>1288.3913574000001</v>
      </c>
      <c r="J1264">
        <v>1269.1696777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758.69048799999996</v>
      </c>
      <c r="B1265" s="1">
        <f>DATE(2012,5,28) + TIME(16,34,18)</f>
        <v>41057.690486111111</v>
      </c>
      <c r="C1265">
        <v>80</v>
      </c>
      <c r="D1265">
        <v>79.952514648000005</v>
      </c>
      <c r="E1265">
        <v>50</v>
      </c>
      <c r="F1265">
        <v>47.557636260999999</v>
      </c>
      <c r="G1265">
        <v>1384.3775635</v>
      </c>
      <c r="H1265">
        <v>1370.1817627</v>
      </c>
      <c r="I1265">
        <v>1288.3771973</v>
      </c>
      <c r="J1265">
        <v>1269.1508789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759.29570699999999</v>
      </c>
      <c r="B1266" s="1">
        <f>DATE(2012,5,29) + TIME(7,5,49)</f>
        <v>41058.295706018522</v>
      </c>
      <c r="C1266">
        <v>80</v>
      </c>
      <c r="D1266">
        <v>79.952507018999995</v>
      </c>
      <c r="E1266">
        <v>50</v>
      </c>
      <c r="F1266">
        <v>47.514656066999997</v>
      </c>
      <c r="G1266">
        <v>1384.3186035000001</v>
      </c>
      <c r="H1266">
        <v>1370.1342772999999</v>
      </c>
      <c r="I1266">
        <v>1288.362793</v>
      </c>
      <c r="J1266">
        <v>1269.1315918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759.904449</v>
      </c>
      <c r="B1267" s="1">
        <f>DATE(2012,5,29) + TIME(21,42,24)</f>
        <v>41058.904444444444</v>
      </c>
      <c r="C1267">
        <v>80</v>
      </c>
      <c r="D1267">
        <v>79.95249939</v>
      </c>
      <c r="E1267">
        <v>50</v>
      </c>
      <c r="F1267">
        <v>47.471599578999999</v>
      </c>
      <c r="G1267">
        <v>1384.2604980000001</v>
      </c>
      <c r="H1267">
        <v>1370.0872803</v>
      </c>
      <c r="I1267">
        <v>1288.3482666</v>
      </c>
      <c r="J1267">
        <v>1269.1123047000001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760.51832999999999</v>
      </c>
      <c r="B1268" s="1">
        <f>DATE(2012,5,30) + TIME(12,26,23)</f>
        <v>41059.518321759257</v>
      </c>
      <c r="C1268">
        <v>80</v>
      </c>
      <c r="D1268">
        <v>79.952491760000001</v>
      </c>
      <c r="E1268">
        <v>50</v>
      </c>
      <c r="F1268">
        <v>47.428451537999997</v>
      </c>
      <c r="G1268">
        <v>1384.2030029</v>
      </c>
      <c r="H1268">
        <v>1370.0408935999999</v>
      </c>
      <c r="I1268">
        <v>1288.3334961</v>
      </c>
      <c r="J1268">
        <v>1269.0926514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761.13898500000005</v>
      </c>
      <c r="B1269" s="1">
        <f>DATE(2012,5,31) + TIME(3,20,8)</f>
        <v>41060.138981481483</v>
      </c>
      <c r="C1269">
        <v>80</v>
      </c>
      <c r="D1269">
        <v>79.952491760000001</v>
      </c>
      <c r="E1269">
        <v>50</v>
      </c>
      <c r="F1269">
        <v>47.385143280000001</v>
      </c>
      <c r="G1269">
        <v>1384.1459961</v>
      </c>
      <c r="H1269">
        <v>1369.994751</v>
      </c>
      <c r="I1269">
        <v>1288.3187256000001</v>
      </c>
      <c r="J1269">
        <v>1269.0727539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761.76809700000001</v>
      </c>
      <c r="B1270" s="1">
        <f>DATE(2012,5,31) + TIME(18,26,3)</f>
        <v>41060.768090277779</v>
      </c>
      <c r="C1270">
        <v>80</v>
      </c>
      <c r="D1270">
        <v>79.952484131000006</v>
      </c>
      <c r="E1270">
        <v>50</v>
      </c>
      <c r="F1270">
        <v>47.341587066999999</v>
      </c>
      <c r="G1270">
        <v>1384.0893555</v>
      </c>
      <c r="H1270">
        <v>1369.9489745999999</v>
      </c>
      <c r="I1270">
        <v>1288.3035889</v>
      </c>
      <c r="J1270">
        <v>1269.0524902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762</v>
      </c>
      <c r="B1271" s="1">
        <f>DATE(2012,6,1) + TIME(0,0,0)</f>
        <v>41061</v>
      </c>
      <c r="C1271">
        <v>80</v>
      </c>
      <c r="D1271">
        <v>79.952468871999997</v>
      </c>
      <c r="E1271">
        <v>50</v>
      </c>
      <c r="F1271">
        <v>47.318840027</v>
      </c>
      <c r="G1271">
        <v>1384.0327147999999</v>
      </c>
      <c r="H1271">
        <v>1369.9030762</v>
      </c>
      <c r="I1271">
        <v>1288.2857666</v>
      </c>
      <c r="J1271">
        <v>1269.0336914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762.63931400000001</v>
      </c>
      <c r="B1272" s="1">
        <f>DATE(2012,6,1) + TIME(15,20,36)</f>
        <v>41061.639305555553</v>
      </c>
      <c r="C1272">
        <v>80</v>
      </c>
      <c r="D1272">
        <v>79.952476501000007</v>
      </c>
      <c r="E1272">
        <v>50</v>
      </c>
      <c r="F1272">
        <v>47.278129577999998</v>
      </c>
      <c r="G1272">
        <v>1384.0120850000001</v>
      </c>
      <c r="H1272">
        <v>1369.8863524999999</v>
      </c>
      <c r="I1272">
        <v>1288.2827147999999</v>
      </c>
      <c r="J1272">
        <v>1269.0235596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763.29563399999995</v>
      </c>
      <c r="B1273" s="1">
        <f>DATE(2012,6,2) + TIME(7,5,42)</f>
        <v>41062.295624999999</v>
      </c>
      <c r="C1273">
        <v>80</v>
      </c>
      <c r="D1273">
        <v>79.952476501000007</v>
      </c>
      <c r="E1273">
        <v>50</v>
      </c>
      <c r="F1273">
        <v>47.235351561999998</v>
      </c>
      <c r="G1273">
        <v>1383.9560547000001</v>
      </c>
      <c r="H1273">
        <v>1369.8409423999999</v>
      </c>
      <c r="I1273">
        <v>1288.2668457</v>
      </c>
      <c r="J1273">
        <v>1269.0025635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763.96673799999996</v>
      </c>
      <c r="B1274" s="1">
        <f>DATE(2012,6,2) + TIME(23,12,6)</f>
        <v>41062.966736111113</v>
      </c>
      <c r="C1274">
        <v>80</v>
      </c>
      <c r="D1274">
        <v>79.952476501000007</v>
      </c>
      <c r="E1274">
        <v>50</v>
      </c>
      <c r="F1274">
        <v>47.191120148000003</v>
      </c>
      <c r="G1274">
        <v>1383.8992920000001</v>
      </c>
      <c r="H1274">
        <v>1369.7949219</v>
      </c>
      <c r="I1274">
        <v>1288.2503661999999</v>
      </c>
      <c r="J1274">
        <v>1268.9807129000001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764.65513099999998</v>
      </c>
      <c r="B1275" s="1">
        <f>DATE(2012,6,3) + TIME(15,43,23)</f>
        <v>41063.655127314814</v>
      </c>
      <c r="C1275">
        <v>80</v>
      </c>
      <c r="D1275">
        <v>79.952468871999997</v>
      </c>
      <c r="E1275">
        <v>50</v>
      </c>
      <c r="F1275">
        <v>47.145694732999999</v>
      </c>
      <c r="G1275">
        <v>1383.8421631000001</v>
      </c>
      <c r="H1275">
        <v>1369.7486572</v>
      </c>
      <c r="I1275">
        <v>1288.2336425999999</v>
      </c>
      <c r="J1275">
        <v>1268.9582519999999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765.36278200000004</v>
      </c>
      <c r="B1276" s="1">
        <f>DATE(2012,6,4) + TIME(8,42,24)</f>
        <v>41064.36277777778</v>
      </c>
      <c r="C1276">
        <v>80</v>
      </c>
      <c r="D1276">
        <v>79.952468871999997</v>
      </c>
      <c r="E1276">
        <v>50</v>
      </c>
      <c r="F1276">
        <v>47.099159241000002</v>
      </c>
      <c r="G1276">
        <v>1383.7844238</v>
      </c>
      <c r="H1276">
        <v>1369.7017822</v>
      </c>
      <c r="I1276">
        <v>1288.2161865</v>
      </c>
      <c r="J1276">
        <v>1268.9348144999999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766.08221400000002</v>
      </c>
      <c r="B1277" s="1">
        <f>DATE(2012,6,5) + TIME(1,58,23)</f>
        <v>41065.08221064815</v>
      </c>
      <c r="C1277">
        <v>80</v>
      </c>
      <c r="D1277">
        <v>79.952468871999997</v>
      </c>
      <c r="E1277">
        <v>50</v>
      </c>
      <c r="F1277">
        <v>47.051811217999997</v>
      </c>
      <c r="G1277">
        <v>1383.7260742000001</v>
      </c>
      <c r="H1277">
        <v>1369.6544189000001</v>
      </c>
      <c r="I1277">
        <v>1288.1982422000001</v>
      </c>
      <c r="J1277">
        <v>1268.9106445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766.80451900000003</v>
      </c>
      <c r="B1278" s="1">
        <f>DATE(2012,6,5) + TIME(19,18,30)</f>
        <v>41065.804513888892</v>
      </c>
      <c r="C1278">
        <v>80</v>
      </c>
      <c r="D1278">
        <v>79.952468871999997</v>
      </c>
      <c r="E1278">
        <v>50</v>
      </c>
      <c r="F1278">
        <v>47.004100800000003</v>
      </c>
      <c r="G1278">
        <v>1383.6677245999999</v>
      </c>
      <c r="H1278">
        <v>1369.6069336</v>
      </c>
      <c r="I1278">
        <v>1288.1796875</v>
      </c>
      <c r="J1278">
        <v>1268.8857422000001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767.52954299999999</v>
      </c>
      <c r="B1279" s="1">
        <f>DATE(2012,6,6) + TIME(12,42,32)</f>
        <v>41066.529537037037</v>
      </c>
      <c r="C1279">
        <v>80</v>
      </c>
      <c r="D1279">
        <v>79.952468871999997</v>
      </c>
      <c r="E1279">
        <v>50</v>
      </c>
      <c r="F1279">
        <v>46.956268311000002</v>
      </c>
      <c r="G1279">
        <v>1383.6099853999999</v>
      </c>
      <c r="H1279">
        <v>1369.5599365</v>
      </c>
      <c r="I1279">
        <v>1288.1610106999999</v>
      </c>
      <c r="J1279">
        <v>1268.8605957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768.25928399999998</v>
      </c>
      <c r="B1280" s="1">
        <f>DATE(2012,6,7) + TIME(6,13,22)</f>
        <v>41067.259282407409</v>
      </c>
      <c r="C1280">
        <v>80</v>
      </c>
      <c r="D1280">
        <v>79.952468871999997</v>
      </c>
      <c r="E1280">
        <v>50</v>
      </c>
      <c r="F1280">
        <v>46.908359527999998</v>
      </c>
      <c r="G1280">
        <v>1383.5529785000001</v>
      </c>
      <c r="H1280">
        <v>1369.5135498</v>
      </c>
      <c r="I1280">
        <v>1288.1422118999999</v>
      </c>
      <c r="J1280">
        <v>1268.8349608999999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768.99573599999997</v>
      </c>
      <c r="B1281" s="1">
        <f>DATE(2012,6,7) + TIME(23,53,51)</f>
        <v>41067.995729166665</v>
      </c>
      <c r="C1281">
        <v>80</v>
      </c>
      <c r="D1281">
        <v>79.952468871999997</v>
      </c>
      <c r="E1281">
        <v>50</v>
      </c>
      <c r="F1281">
        <v>46.860336304</v>
      </c>
      <c r="G1281">
        <v>1383.4963379000001</v>
      </c>
      <c r="H1281">
        <v>1369.4675293</v>
      </c>
      <c r="I1281">
        <v>1288.1229248</v>
      </c>
      <c r="J1281">
        <v>1268.8089600000001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769.74093600000003</v>
      </c>
      <c r="B1282" s="1">
        <f>DATE(2012,6,8) + TIME(17,46,56)</f>
        <v>41068.740925925929</v>
      </c>
      <c r="C1282">
        <v>80</v>
      </c>
      <c r="D1282">
        <v>79.952468871999997</v>
      </c>
      <c r="E1282">
        <v>50</v>
      </c>
      <c r="F1282">
        <v>46.812110900999997</v>
      </c>
      <c r="G1282">
        <v>1383.4401855000001</v>
      </c>
      <c r="H1282">
        <v>1369.4216309000001</v>
      </c>
      <c r="I1282">
        <v>1288.1035156</v>
      </c>
      <c r="J1282">
        <v>1268.7823486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770.496984</v>
      </c>
      <c r="B1283" s="1">
        <f>DATE(2012,6,9) + TIME(11,55,39)</f>
        <v>41069.496979166666</v>
      </c>
      <c r="C1283">
        <v>80</v>
      </c>
      <c r="D1283">
        <v>79.952476501000007</v>
      </c>
      <c r="E1283">
        <v>50</v>
      </c>
      <c r="F1283">
        <v>46.763576508</v>
      </c>
      <c r="G1283">
        <v>1383.3841553</v>
      </c>
      <c r="H1283">
        <v>1369.3759766000001</v>
      </c>
      <c r="I1283">
        <v>1288.0834961</v>
      </c>
      <c r="J1283">
        <v>1268.7551269999999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771.26608999999996</v>
      </c>
      <c r="B1284" s="1">
        <f>DATE(2012,6,10) + TIME(6,23,10)</f>
        <v>41070.266087962962</v>
      </c>
      <c r="C1284">
        <v>80</v>
      </c>
      <c r="D1284">
        <v>79.952476501000007</v>
      </c>
      <c r="E1284">
        <v>50</v>
      </c>
      <c r="F1284">
        <v>46.714611052999999</v>
      </c>
      <c r="G1284">
        <v>1383.3282471</v>
      </c>
      <c r="H1284">
        <v>1369.3302002</v>
      </c>
      <c r="I1284">
        <v>1288.0631103999999</v>
      </c>
      <c r="J1284">
        <v>1268.7272949000001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772.05060800000001</v>
      </c>
      <c r="B1285" s="1">
        <f>DATE(2012,6,11) + TIME(1,12,52)</f>
        <v>41071.05060185185</v>
      </c>
      <c r="C1285">
        <v>80</v>
      </c>
      <c r="D1285">
        <v>79.952484131000006</v>
      </c>
      <c r="E1285">
        <v>50</v>
      </c>
      <c r="F1285">
        <v>46.665084839000002</v>
      </c>
      <c r="G1285">
        <v>1383.2720947</v>
      </c>
      <c r="H1285">
        <v>1369.2843018000001</v>
      </c>
      <c r="I1285">
        <v>1288.0422363</v>
      </c>
      <c r="J1285">
        <v>1268.6986084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772.84621500000003</v>
      </c>
      <c r="B1286" s="1">
        <f>DATE(2012,6,11) + TIME(20,18,32)</f>
        <v>41071.846203703702</v>
      </c>
      <c r="C1286">
        <v>80</v>
      </c>
      <c r="D1286">
        <v>79.952484131000006</v>
      </c>
      <c r="E1286">
        <v>50</v>
      </c>
      <c r="F1286">
        <v>46.615058898999997</v>
      </c>
      <c r="G1286">
        <v>1383.2156981999999</v>
      </c>
      <c r="H1286">
        <v>1369.2381591999999</v>
      </c>
      <c r="I1286">
        <v>1288.0206298999999</v>
      </c>
      <c r="J1286">
        <v>1268.6690673999999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773.65494899999999</v>
      </c>
      <c r="B1287" s="1">
        <f>DATE(2012,6,12) + TIME(15,43,7)</f>
        <v>41072.654942129629</v>
      </c>
      <c r="C1287">
        <v>80</v>
      </c>
      <c r="D1287">
        <v>79.952491760000001</v>
      </c>
      <c r="E1287">
        <v>50</v>
      </c>
      <c r="F1287">
        <v>46.564514160000002</v>
      </c>
      <c r="G1287">
        <v>1383.1594238</v>
      </c>
      <c r="H1287">
        <v>1369.1920166</v>
      </c>
      <c r="I1287">
        <v>1287.9984131000001</v>
      </c>
      <c r="J1287">
        <v>1268.6386719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774.47910000000002</v>
      </c>
      <c r="B1288" s="1">
        <f>DATE(2012,6,13) + TIME(11,29,54)</f>
        <v>41073.479097222225</v>
      </c>
      <c r="C1288">
        <v>80</v>
      </c>
      <c r="D1288">
        <v>79.95249939</v>
      </c>
      <c r="E1288">
        <v>50</v>
      </c>
      <c r="F1288">
        <v>46.513374329000001</v>
      </c>
      <c r="G1288">
        <v>1383.1029053</v>
      </c>
      <c r="H1288">
        <v>1369.1457519999999</v>
      </c>
      <c r="I1288">
        <v>1287.9757079999999</v>
      </c>
      <c r="J1288">
        <v>1268.6074219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775.32113400000003</v>
      </c>
      <c r="B1289" s="1">
        <f>DATE(2012,6,14) + TIME(7,42,25)</f>
        <v>41074.321122685185</v>
      </c>
      <c r="C1289">
        <v>80</v>
      </c>
      <c r="D1289">
        <v>79.952507018999995</v>
      </c>
      <c r="E1289">
        <v>50</v>
      </c>
      <c r="F1289">
        <v>46.461528778000002</v>
      </c>
      <c r="G1289">
        <v>1383.0461425999999</v>
      </c>
      <c r="H1289">
        <v>1369.0992432</v>
      </c>
      <c r="I1289">
        <v>1287.9522704999999</v>
      </c>
      <c r="J1289">
        <v>1268.5750731999999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776.17827399999999</v>
      </c>
      <c r="B1290" s="1">
        <f>DATE(2012,6,15) + TIME(4,16,42)</f>
        <v>41075.178263888891</v>
      </c>
      <c r="C1290">
        <v>80</v>
      </c>
      <c r="D1290">
        <v>79.952514648000005</v>
      </c>
      <c r="E1290">
        <v>50</v>
      </c>
      <c r="F1290">
        <v>46.408992767000001</v>
      </c>
      <c r="G1290">
        <v>1382.9891356999999</v>
      </c>
      <c r="H1290">
        <v>1369.0523682</v>
      </c>
      <c r="I1290">
        <v>1287.9281006000001</v>
      </c>
      <c r="J1290">
        <v>1268.541626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777.039671</v>
      </c>
      <c r="B1291" s="1">
        <f>DATE(2012,6,16) + TIME(0,57,7)</f>
        <v>41076.039664351854</v>
      </c>
      <c r="C1291">
        <v>80</v>
      </c>
      <c r="D1291">
        <v>79.952522278000004</v>
      </c>
      <c r="E1291">
        <v>50</v>
      </c>
      <c r="F1291">
        <v>46.35609436</v>
      </c>
      <c r="G1291">
        <v>1382.9317627</v>
      </c>
      <c r="H1291">
        <v>1369.005249</v>
      </c>
      <c r="I1291">
        <v>1287.9031981999999</v>
      </c>
      <c r="J1291">
        <v>1268.5072021000001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777.90778699999998</v>
      </c>
      <c r="B1292" s="1">
        <f>DATE(2012,6,16) + TIME(21,47,12)</f>
        <v>41076.907777777778</v>
      </c>
      <c r="C1292">
        <v>80</v>
      </c>
      <c r="D1292">
        <v>79.952529906999999</v>
      </c>
      <c r="E1292">
        <v>50</v>
      </c>
      <c r="F1292">
        <v>46.302974700999997</v>
      </c>
      <c r="G1292">
        <v>1382.875</v>
      </c>
      <c r="H1292">
        <v>1368.9584961</v>
      </c>
      <c r="I1292">
        <v>1287.8778076000001</v>
      </c>
      <c r="J1292">
        <v>1268.4719238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778.78470300000004</v>
      </c>
      <c r="B1293" s="1">
        <f>DATE(2012,6,17) + TIME(18,49,58)</f>
        <v>41077.784699074073</v>
      </c>
      <c r="C1293">
        <v>80</v>
      </c>
      <c r="D1293">
        <v>79.952537536999998</v>
      </c>
      <c r="E1293">
        <v>50</v>
      </c>
      <c r="F1293">
        <v>46.249622344999999</v>
      </c>
      <c r="G1293">
        <v>1382.8186035000001</v>
      </c>
      <c r="H1293">
        <v>1368.9119873</v>
      </c>
      <c r="I1293">
        <v>1287.8519286999999</v>
      </c>
      <c r="J1293">
        <v>1268.4359131000001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779.66723999999999</v>
      </c>
      <c r="B1294" s="1">
        <f>DATE(2012,6,18) + TIME(16,0,49)</f>
        <v>41078.667233796295</v>
      </c>
      <c r="C1294">
        <v>80</v>
      </c>
      <c r="D1294">
        <v>79.952545165999993</v>
      </c>
      <c r="E1294">
        <v>50</v>
      </c>
      <c r="F1294">
        <v>46.196105957</v>
      </c>
      <c r="G1294">
        <v>1382.7624512</v>
      </c>
      <c r="H1294">
        <v>1368.8657227000001</v>
      </c>
      <c r="I1294">
        <v>1287.8255615</v>
      </c>
      <c r="J1294">
        <v>1268.3990478999999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780.55768399999999</v>
      </c>
      <c r="B1295" s="1">
        <f>DATE(2012,6,19) + TIME(13,23,3)</f>
        <v>41079.557673611111</v>
      </c>
      <c r="C1295">
        <v>80</v>
      </c>
      <c r="D1295">
        <v>79.952552795000003</v>
      </c>
      <c r="E1295">
        <v>50</v>
      </c>
      <c r="F1295">
        <v>46.142410278</v>
      </c>
      <c r="G1295">
        <v>1382.7067870999999</v>
      </c>
      <c r="H1295">
        <v>1368.8197021000001</v>
      </c>
      <c r="I1295">
        <v>1287.7985839999999</v>
      </c>
      <c r="J1295">
        <v>1268.3613281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781.45834600000001</v>
      </c>
      <c r="B1296" s="1">
        <f>DATE(2012,6,20) + TIME(11,0,1)</f>
        <v>41080.458344907405</v>
      </c>
      <c r="C1296">
        <v>80</v>
      </c>
      <c r="D1296">
        <v>79.952568053999997</v>
      </c>
      <c r="E1296">
        <v>50</v>
      </c>
      <c r="F1296">
        <v>46.088455199999999</v>
      </c>
      <c r="G1296">
        <v>1382.6512451000001</v>
      </c>
      <c r="H1296">
        <v>1368.7738036999999</v>
      </c>
      <c r="I1296">
        <v>1287.7711182</v>
      </c>
      <c r="J1296">
        <v>1268.3226318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782.37162799999999</v>
      </c>
      <c r="B1297" s="1">
        <f>DATE(2012,6,21) + TIME(8,55,8)</f>
        <v>41081.371620370373</v>
      </c>
      <c r="C1297">
        <v>80</v>
      </c>
      <c r="D1297">
        <v>79.952575683999996</v>
      </c>
      <c r="E1297">
        <v>50</v>
      </c>
      <c r="F1297">
        <v>46.034118651999997</v>
      </c>
      <c r="G1297">
        <v>1382.5959473</v>
      </c>
      <c r="H1297">
        <v>1368.7280272999999</v>
      </c>
      <c r="I1297">
        <v>1287.7429199000001</v>
      </c>
      <c r="J1297">
        <v>1268.2828368999999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783.30005500000004</v>
      </c>
      <c r="B1298" s="1">
        <f>DATE(2012,6,22) + TIME(7,12,4)</f>
        <v>41082.300046296295</v>
      </c>
      <c r="C1298">
        <v>80</v>
      </c>
      <c r="D1298">
        <v>79.952590942</v>
      </c>
      <c r="E1298">
        <v>50</v>
      </c>
      <c r="F1298">
        <v>45.979274750000002</v>
      </c>
      <c r="G1298">
        <v>1382.5405272999999</v>
      </c>
      <c r="H1298">
        <v>1368.6821289</v>
      </c>
      <c r="I1298">
        <v>1287.7139893000001</v>
      </c>
      <c r="J1298">
        <v>1268.2419434000001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784.24632899999995</v>
      </c>
      <c r="B1299" s="1">
        <f>DATE(2012,6,23) + TIME(5,54,42)</f>
        <v>41083.246319444443</v>
      </c>
      <c r="C1299">
        <v>80</v>
      </c>
      <c r="D1299">
        <v>79.952606200999995</v>
      </c>
      <c r="E1299">
        <v>50</v>
      </c>
      <c r="F1299">
        <v>45.923770904999998</v>
      </c>
      <c r="G1299">
        <v>1382.4849853999999</v>
      </c>
      <c r="H1299">
        <v>1368.6361084</v>
      </c>
      <c r="I1299">
        <v>1287.684082</v>
      </c>
      <c r="J1299">
        <v>1268.199707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785.21335799999997</v>
      </c>
      <c r="B1300" s="1">
        <f>DATE(2012,6,24) + TIME(5,7,14)</f>
        <v>41084.213356481479</v>
      </c>
      <c r="C1300">
        <v>80</v>
      </c>
      <c r="D1300">
        <v>79.952621460000003</v>
      </c>
      <c r="E1300">
        <v>50</v>
      </c>
      <c r="F1300">
        <v>45.867454529</v>
      </c>
      <c r="G1300">
        <v>1382.4291992000001</v>
      </c>
      <c r="H1300">
        <v>1368.5897216999999</v>
      </c>
      <c r="I1300">
        <v>1287.6533202999999</v>
      </c>
      <c r="J1300">
        <v>1268.1560059000001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786.20434399999999</v>
      </c>
      <c r="B1301" s="1">
        <f>DATE(2012,6,25) + TIME(4,54,15)</f>
        <v>41085.204340277778</v>
      </c>
      <c r="C1301">
        <v>80</v>
      </c>
      <c r="D1301">
        <v>79.952629088999998</v>
      </c>
      <c r="E1301">
        <v>50</v>
      </c>
      <c r="F1301">
        <v>45.810153960999997</v>
      </c>
      <c r="G1301">
        <v>1382.3728027</v>
      </c>
      <c r="H1301">
        <v>1368.5429687999999</v>
      </c>
      <c r="I1301">
        <v>1287.6214600000001</v>
      </c>
      <c r="J1301">
        <v>1268.1104736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787.20607099999995</v>
      </c>
      <c r="B1302" s="1">
        <f>DATE(2012,6,26) + TIME(4,56,44)</f>
        <v>41086.206064814818</v>
      </c>
      <c r="C1302">
        <v>80</v>
      </c>
      <c r="D1302">
        <v>79.952644348000007</v>
      </c>
      <c r="E1302">
        <v>50</v>
      </c>
      <c r="F1302">
        <v>45.752090453999998</v>
      </c>
      <c r="G1302">
        <v>1382.315918</v>
      </c>
      <c r="H1302">
        <v>1368.4956055</v>
      </c>
      <c r="I1302">
        <v>1287.5883789</v>
      </c>
      <c r="J1302">
        <v>1268.0632324000001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788.21006999999997</v>
      </c>
      <c r="B1303" s="1">
        <f>DATE(2012,6,27) + TIME(5,2,30)</f>
        <v>41087.210069444445</v>
      </c>
      <c r="C1303">
        <v>80</v>
      </c>
      <c r="D1303">
        <v>79.952659607000001</v>
      </c>
      <c r="E1303">
        <v>50</v>
      </c>
      <c r="F1303">
        <v>45.693687439000001</v>
      </c>
      <c r="G1303">
        <v>1382.2590332</v>
      </c>
      <c r="H1303">
        <v>1368.4482422000001</v>
      </c>
      <c r="I1303">
        <v>1287.5543213000001</v>
      </c>
      <c r="J1303">
        <v>1268.0145264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789.218479</v>
      </c>
      <c r="B1304" s="1">
        <f>DATE(2012,6,28) + TIME(5,14,36)</f>
        <v>41088.218472222223</v>
      </c>
      <c r="C1304">
        <v>80</v>
      </c>
      <c r="D1304">
        <v>79.952682495000005</v>
      </c>
      <c r="E1304">
        <v>50</v>
      </c>
      <c r="F1304">
        <v>45.635143280000001</v>
      </c>
      <c r="G1304">
        <v>1382.2028809000001</v>
      </c>
      <c r="H1304">
        <v>1368.4013672000001</v>
      </c>
      <c r="I1304">
        <v>1287.5197754000001</v>
      </c>
      <c r="J1304">
        <v>1267.9648437999999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790.23392200000001</v>
      </c>
      <c r="B1305" s="1">
        <f>DATE(2012,6,29) + TIME(5,36,50)</f>
        <v>41089.233912037038</v>
      </c>
      <c r="C1305">
        <v>80</v>
      </c>
      <c r="D1305">
        <v>79.952697753999999</v>
      </c>
      <c r="E1305">
        <v>50</v>
      </c>
      <c r="F1305">
        <v>45.576454163000001</v>
      </c>
      <c r="G1305">
        <v>1382.1472168</v>
      </c>
      <c r="H1305">
        <v>1368.3548584</v>
      </c>
      <c r="I1305">
        <v>1287.4844971</v>
      </c>
      <c r="J1305">
        <v>1267.9139404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791.25908800000002</v>
      </c>
      <c r="B1306" s="1">
        <f>DATE(2012,6,30) + TIME(6,13,5)</f>
        <v>41090.259085648147</v>
      </c>
      <c r="C1306">
        <v>80</v>
      </c>
      <c r="D1306">
        <v>79.952713012999993</v>
      </c>
      <c r="E1306">
        <v>50</v>
      </c>
      <c r="F1306">
        <v>45.517528534</v>
      </c>
      <c r="G1306">
        <v>1382.0917969</v>
      </c>
      <c r="H1306">
        <v>1368.3085937999999</v>
      </c>
      <c r="I1306">
        <v>1287.4486084</v>
      </c>
      <c r="J1306">
        <v>1267.8618164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792</v>
      </c>
      <c r="B1307" s="1">
        <f>DATE(2012,7,1) + TIME(0,0,0)</f>
        <v>41091</v>
      </c>
      <c r="C1307">
        <v>80</v>
      </c>
      <c r="D1307">
        <v>79.952720642000003</v>
      </c>
      <c r="E1307">
        <v>50</v>
      </c>
      <c r="F1307">
        <v>45.466648102000001</v>
      </c>
      <c r="G1307">
        <v>1382.036499</v>
      </c>
      <c r="H1307">
        <v>1368.2623291</v>
      </c>
      <c r="I1307">
        <v>1287.4113769999999</v>
      </c>
      <c r="J1307">
        <v>1267.8101807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793.03763600000002</v>
      </c>
      <c r="B1308" s="1">
        <f>DATE(2012,7,2) + TIME(0,54,11)</f>
        <v>41092.037627314814</v>
      </c>
      <c r="C1308">
        <v>80</v>
      </c>
      <c r="D1308">
        <v>79.952743530000006</v>
      </c>
      <c r="E1308">
        <v>50</v>
      </c>
      <c r="F1308">
        <v>45.412216186999999</v>
      </c>
      <c r="G1308">
        <v>1381.9970702999999</v>
      </c>
      <c r="H1308">
        <v>1368.2292480000001</v>
      </c>
      <c r="I1308">
        <v>1287.3846435999999</v>
      </c>
      <c r="J1308">
        <v>1267.7675781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794.10362399999997</v>
      </c>
      <c r="B1309" s="1">
        <f>DATE(2012,7,3) + TIME(2,29,13)</f>
        <v>41093.103622685187</v>
      </c>
      <c r="C1309">
        <v>80</v>
      </c>
      <c r="D1309">
        <v>79.952766417999996</v>
      </c>
      <c r="E1309">
        <v>50</v>
      </c>
      <c r="F1309">
        <v>45.354194640999999</v>
      </c>
      <c r="G1309">
        <v>1381.9425048999999</v>
      </c>
      <c r="H1309">
        <v>1368.1834716999999</v>
      </c>
      <c r="I1309">
        <v>1287.3465576000001</v>
      </c>
      <c r="J1309">
        <v>1267.7125243999999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795.19006300000001</v>
      </c>
      <c r="B1310" s="1">
        <f>DATE(2012,7,4) + TIME(4,33,41)</f>
        <v>41094.190057870372</v>
      </c>
      <c r="C1310">
        <v>80</v>
      </c>
      <c r="D1310">
        <v>79.952781677000004</v>
      </c>
      <c r="E1310">
        <v>50</v>
      </c>
      <c r="F1310">
        <v>45.294010161999999</v>
      </c>
      <c r="G1310">
        <v>1381.8870850000001</v>
      </c>
      <c r="H1310">
        <v>1368.1369629000001</v>
      </c>
      <c r="I1310">
        <v>1287.3068848</v>
      </c>
      <c r="J1310">
        <v>1267.6545410000001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796.30057999999997</v>
      </c>
      <c r="B1311" s="1">
        <f>DATE(2012,7,5) + TIME(7,12,50)</f>
        <v>41095.300578703704</v>
      </c>
      <c r="C1311">
        <v>80</v>
      </c>
      <c r="D1311">
        <v>79.952804564999994</v>
      </c>
      <c r="E1311">
        <v>50</v>
      </c>
      <c r="F1311">
        <v>45.232284546000002</v>
      </c>
      <c r="G1311">
        <v>1381.8312988</v>
      </c>
      <c r="H1311">
        <v>1368.0899658000001</v>
      </c>
      <c r="I1311">
        <v>1287.2657471</v>
      </c>
      <c r="J1311">
        <v>1267.5941161999999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797.43143999999995</v>
      </c>
      <c r="B1312" s="1">
        <f>DATE(2012,7,6) + TIME(10,21,16)</f>
        <v>41096.431435185186</v>
      </c>
      <c r="C1312">
        <v>80</v>
      </c>
      <c r="D1312">
        <v>79.952827454000001</v>
      </c>
      <c r="E1312">
        <v>50</v>
      </c>
      <c r="F1312">
        <v>45.169307709000002</v>
      </c>
      <c r="G1312">
        <v>1381.7749022999999</v>
      </c>
      <c r="H1312">
        <v>1368.0426024999999</v>
      </c>
      <c r="I1312">
        <v>1287.2231445</v>
      </c>
      <c r="J1312">
        <v>1267.53125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798.580825</v>
      </c>
      <c r="B1313" s="1">
        <f>DATE(2012,7,7) + TIME(13,56,23)</f>
        <v>41097.580821759257</v>
      </c>
      <c r="C1313">
        <v>80</v>
      </c>
      <c r="D1313">
        <v>79.952850342000005</v>
      </c>
      <c r="E1313">
        <v>50</v>
      </c>
      <c r="F1313">
        <v>45.105293273999997</v>
      </c>
      <c r="G1313">
        <v>1381.7181396000001</v>
      </c>
      <c r="H1313">
        <v>1367.994751</v>
      </c>
      <c r="I1313">
        <v>1287.1791992000001</v>
      </c>
      <c r="J1313">
        <v>1267.4660644999999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799.73318099999995</v>
      </c>
      <c r="B1314" s="1">
        <f>DATE(2012,7,8) + TIME(17,35,46)</f>
        <v>41098.733171296299</v>
      </c>
      <c r="C1314">
        <v>80</v>
      </c>
      <c r="D1314">
        <v>79.952873229999994</v>
      </c>
      <c r="E1314">
        <v>50</v>
      </c>
      <c r="F1314">
        <v>45.040672301999997</v>
      </c>
      <c r="G1314">
        <v>1381.6612548999999</v>
      </c>
      <c r="H1314">
        <v>1367.9467772999999</v>
      </c>
      <c r="I1314">
        <v>1287.1337891000001</v>
      </c>
      <c r="J1314">
        <v>1267.3986815999999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800.89130499999999</v>
      </c>
      <c r="B1315" s="1">
        <f>DATE(2012,7,9) + TIME(21,23,28)</f>
        <v>41099.891296296293</v>
      </c>
      <c r="C1315">
        <v>80</v>
      </c>
      <c r="D1315">
        <v>79.952896117999998</v>
      </c>
      <c r="E1315">
        <v>50</v>
      </c>
      <c r="F1315">
        <v>44.975761413999997</v>
      </c>
      <c r="G1315">
        <v>1381.6048584</v>
      </c>
      <c r="H1315">
        <v>1367.8991699000001</v>
      </c>
      <c r="I1315">
        <v>1287.0876464999999</v>
      </c>
      <c r="J1315">
        <v>1267.3297118999999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802.05830700000001</v>
      </c>
      <c r="B1316" s="1">
        <f>DATE(2012,7,11) + TIME(1,23,57)</f>
        <v>41101.058298611111</v>
      </c>
      <c r="C1316">
        <v>80</v>
      </c>
      <c r="D1316">
        <v>79.952919006000002</v>
      </c>
      <c r="E1316">
        <v>50</v>
      </c>
      <c r="F1316">
        <v>44.910572051999999</v>
      </c>
      <c r="G1316">
        <v>1381.5489502</v>
      </c>
      <c r="H1316">
        <v>1367.8518065999999</v>
      </c>
      <c r="I1316">
        <v>1287.0405272999999</v>
      </c>
      <c r="J1316">
        <v>1267.2591553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803.23735499999998</v>
      </c>
      <c r="B1317" s="1">
        <f>DATE(2012,7,12) + TIME(5,41,47)</f>
        <v>41102.237349537034</v>
      </c>
      <c r="C1317">
        <v>80</v>
      </c>
      <c r="D1317">
        <v>79.952949524000005</v>
      </c>
      <c r="E1317">
        <v>50</v>
      </c>
      <c r="F1317">
        <v>44.844997405999997</v>
      </c>
      <c r="G1317">
        <v>1381.4931641000001</v>
      </c>
      <c r="H1317">
        <v>1367.8045654</v>
      </c>
      <c r="I1317">
        <v>1286.9924315999999</v>
      </c>
      <c r="J1317">
        <v>1267.1867675999999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804.43175299999996</v>
      </c>
      <c r="B1318" s="1">
        <f>DATE(2012,7,13) + TIME(10,21,43)</f>
        <v>41103.431747685187</v>
      </c>
      <c r="C1318">
        <v>80</v>
      </c>
      <c r="D1318">
        <v>79.952972411999994</v>
      </c>
      <c r="E1318">
        <v>50</v>
      </c>
      <c r="F1318">
        <v>44.778888702000003</v>
      </c>
      <c r="G1318">
        <v>1381.4375</v>
      </c>
      <c r="H1318">
        <v>1367.7574463000001</v>
      </c>
      <c r="I1318">
        <v>1286.9432373</v>
      </c>
      <c r="J1318">
        <v>1267.1123047000001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805.644946</v>
      </c>
      <c r="B1319" s="1">
        <f>DATE(2012,7,14) + TIME(15,28,43)</f>
        <v>41104.644942129627</v>
      </c>
      <c r="C1319">
        <v>80</v>
      </c>
      <c r="D1319">
        <v>79.952995299999998</v>
      </c>
      <c r="E1319">
        <v>50</v>
      </c>
      <c r="F1319">
        <v>44.712078093999999</v>
      </c>
      <c r="G1319">
        <v>1381.3818358999999</v>
      </c>
      <c r="H1319">
        <v>1367.7100829999999</v>
      </c>
      <c r="I1319">
        <v>1286.8925781</v>
      </c>
      <c r="J1319">
        <v>1267.0356445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806.87839199999996</v>
      </c>
      <c r="B1320" s="1">
        <f>DATE(2012,7,15) + TIME(21,4,53)</f>
        <v>41105.878391203703</v>
      </c>
      <c r="C1320">
        <v>80</v>
      </c>
      <c r="D1320">
        <v>79.953025818</v>
      </c>
      <c r="E1320">
        <v>50</v>
      </c>
      <c r="F1320">
        <v>44.644424438000001</v>
      </c>
      <c r="G1320">
        <v>1381.3259277</v>
      </c>
      <c r="H1320">
        <v>1367.6624756000001</v>
      </c>
      <c r="I1320">
        <v>1286.8405762</v>
      </c>
      <c r="J1320">
        <v>1266.9564209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808.12612000000001</v>
      </c>
      <c r="B1321" s="1">
        <f>DATE(2012,7,17) + TIME(3,1,36)</f>
        <v>41107.126111111109</v>
      </c>
      <c r="C1321">
        <v>80</v>
      </c>
      <c r="D1321">
        <v>79.953056334999999</v>
      </c>
      <c r="E1321">
        <v>50</v>
      </c>
      <c r="F1321">
        <v>44.575977324999997</v>
      </c>
      <c r="G1321">
        <v>1381.2696533000001</v>
      </c>
      <c r="H1321">
        <v>1367.614624</v>
      </c>
      <c r="I1321">
        <v>1286.7871094</v>
      </c>
      <c r="J1321">
        <v>1266.8746338000001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809.39150900000004</v>
      </c>
      <c r="B1322" s="1">
        <f>DATE(2012,7,18) + TIME(9,23,46)</f>
        <v>41108.391504629632</v>
      </c>
      <c r="C1322">
        <v>80</v>
      </c>
      <c r="D1322">
        <v>79.953079224000007</v>
      </c>
      <c r="E1322">
        <v>50</v>
      </c>
      <c r="F1322">
        <v>44.506782532000003</v>
      </c>
      <c r="G1322">
        <v>1381.213501</v>
      </c>
      <c r="H1322">
        <v>1367.5667725000001</v>
      </c>
      <c r="I1322">
        <v>1286.7321777</v>
      </c>
      <c r="J1322">
        <v>1266.7905272999999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810.67809399999999</v>
      </c>
      <c r="B1323" s="1">
        <f>DATE(2012,7,19) + TIME(16,16,27)</f>
        <v>41109.678090277775</v>
      </c>
      <c r="C1323">
        <v>80</v>
      </c>
      <c r="D1323">
        <v>79.953109741000006</v>
      </c>
      <c r="E1323">
        <v>50</v>
      </c>
      <c r="F1323">
        <v>44.436740874999998</v>
      </c>
      <c r="G1323">
        <v>1381.1571045000001</v>
      </c>
      <c r="H1323">
        <v>1367.5185547000001</v>
      </c>
      <c r="I1323">
        <v>1286.6759033000001</v>
      </c>
      <c r="J1323">
        <v>1266.7037353999999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811.98965399999997</v>
      </c>
      <c r="B1324" s="1">
        <f>DATE(2012,7,20) + TIME(23,45,6)</f>
        <v>41110.989652777775</v>
      </c>
      <c r="C1324">
        <v>80</v>
      </c>
      <c r="D1324">
        <v>79.953140258999994</v>
      </c>
      <c r="E1324">
        <v>50</v>
      </c>
      <c r="F1324">
        <v>44.365699767999999</v>
      </c>
      <c r="G1324">
        <v>1381.1004639</v>
      </c>
      <c r="H1324">
        <v>1367.4702147999999</v>
      </c>
      <c r="I1324">
        <v>1286.6179199000001</v>
      </c>
      <c r="J1324">
        <v>1266.6140137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813.31324199999995</v>
      </c>
      <c r="B1325" s="1">
        <f>DATE(2012,7,22) + TIME(7,31,4)</f>
        <v>41112.313240740739</v>
      </c>
      <c r="C1325">
        <v>80</v>
      </c>
      <c r="D1325">
        <v>79.953170775999993</v>
      </c>
      <c r="E1325">
        <v>50</v>
      </c>
      <c r="F1325">
        <v>44.293811798</v>
      </c>
      <c r="G1325">
        <v>1381.0433350000001</v>
      </c>
      <c r="H1325">
        <v>1367.4212646000001</v>
      </c>
      <c r="I1325">
        <v>1286.5581055</v>
      </c>
      <c r="J1325">
        <v>1266.5213623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814.64668099999994</v>
      </c>
      <c r="B1326" s="1">
        <f>DATE(2012,7,23) + TIME(15,31,13)</f>
        <v>41113.646678240744</v>
      </c>
      <c r="C1326">
        <v>80</v>
      </c>
      <c r="D1326">
        <v>79.953201293999996</v>
      </c>
      <c r="E1326">
        <v>50</v>
      </c>
      <c r="F1326">
        <v>44.221389770999998</v>
      </c>
      <c r="G1326">
        <v>1380.9863281</v>
      </c>
      <c r="H1326">
        <v>1367.3724365</v>
      </c>
      <c r="I1326">
        <v>1286.4971923999999</v>
      </c>
      <c r="J1326">
        <v>1266.4262695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815.99372000000005</v>
      </c>
      <c r="B1327" s="1">
        <f>DATE(2012,7,24) + TIME(23,50,57)</f>
        <v>41114.993715277778</v>
      </c>
      <c r="C1327">
        <v>80</v>
      </c>
      <c r="D1327">
        <v>79.953239440999994</v>
      </c>
      <c r="E1327">
        <v>50</v>
      </c>
      <c r="F1327">
        <v>44.148521422999998</v>
      </c>
      <c r="G1327">
        <v>1380.9295654</v>
      </c>
      <c r="H1327">
        <v>1367.3236084</v>
      </c>
      <c r="I1327">
        <v>1286.4349365</v>
      </c>
      <c r="J1327">
        <v>1266.3289795000001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817.358205</v>
      </c>
      <c r="B1328" s="1">
        <f>DATE(2012,7,26) + TIME(8,35,48)</f>
        <v>41116.358194444445</v>
      </c>
      <c r="C1328">
        <v>80</v>
      </c>
      <c r="D1328">
        <v>79.953269958000007</v>
      </c>
      <c r="E1328">
        <v>50</v>
      </c>
      <c r="F1328">
        <v>44.075126648000001</v>
      </c>
      <c r="G1328">
        <v>1380.8728027</v>
      </c>
      <c r="H1328">
        <v>1367.2749022999999</v>
      </c>
      <c r="I1328">
        <v>1286.371582</v>
      </c>
      <c r="J1328">
        <v>1266.2292480000001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818.733565</v>
      </c>
      <c r="B1329" s="1">
        <f>DATE(2012,7,27) + TIME(17,36,20)</f>
        <v>41117.733564814815</v>
      </c>
      <c r="C1329">
        <v>80</v>
      </c>
      <c r="D1329">
        <v>79.953300475999995</v>
      </c>
      <c r="E1329">
        <v>50</v>
      </c>
      <c r="F1329">
        <v>44.001266479000002</v>
      </c>
      <c r="G1329">
        <v>1380.815918</v>
      </c>
      <c r="H1329">
        <v>1367.2259521000001</v>
      </c>
      <c r="I1329">
        <v>1286.3067627</v>
      </c>
      <c r="J1329">
        <v>1266.1269531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820.12183000000005</v>
      </c>
      <c r="B1330" s="1">
        <f>DATE(2012,7,29) + TIME(2,55,26)</f>
        <v>41119.121828703705</v>
      </c>
      <c r="C1330">
        <v>80</v>
      </c>
      <c r="D1330">
        <v>79.953338622999993</v>
      </c>
      <c r="E1330">
        <v>50</v>
      </c>
      <c r="F1330">
        <v>43.927055359000001</v>
      </c>
      <c r="G1330">
        <v>1380.7592772999999</v>
      </c>
      <c r="H1330">
        <v>1367.1770019999999</v>
      </c>
      <c r="I1330">
        <v>1286.2408447</v>
      </c>
      <c r="J1330">
        <v>1266.0224608999999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821.52671599999996</v>
      </c>
      <c r="B1331" s="1">
        <f>DATE(2012,7,30) + TIME(12,38,28)</f>
        <v>41120.526712962965</v>
      </c>
      <c r="C1331">
        <v>80</v>
      </c>
      <c r="D1331">
        <v>79.953369140999996</v>
      </c>
      <c r="E1331">
        <v>50</v>
      </c>
      <c r="F1331">
        <v>43.852462768999999</v>
      </c>
      <c r="G1331">
        <v>1380.7026367000001</v>
      </c>
      <c r="H1331">
        <v>1367.1280518000001</v>
      </c>
      <c r="I1331">
        <v>1286.1737060999999</v>
      </c>
      <c r="J1331">
        <v>1265.9155272999999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822.26335800000004</v>
      </c>
      <c r="B1332" s="1">
        <f>DATE(2012,7,31) + TIME(6,19,14)</f>
        <v>41121.263356481482</v>
      </c>
      <c r="C1332">
        <v>80</v>
      </c>
      <c r="D1332">
        <v>79.953376770000006</v>
      </c>
      <c r="E1332">
        <v>50</v>
      </c>
      <c r="F1332">
        <v>43.795425414999997</v>
      </c>
      <c r="G1332">
        <v>1380.6457519999999</v>
      </c>
      <c r="H1332">
        <v>1367.0789795000001</v>
      </c>
      <c r="I1332">
        <v>1286.1065673999999</v>
      </c>
      <c r="J1332">
        <v>1265.8144531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823</v>
      </c>
      <c r="B1333" s="1">
        <f>DATE(2012,8,1) + TIME(0,0,0)</f>
        <v>41122</v>
      </c>
      <c r="C1333">
        <v>80</v>
      </c>
      <c r="D1333">
        <v>79.953399657999995</v>
      </c>
      <c r="E1333">
        <v>50</v>
      </c>
      <c r="F1333">
        <v>43.747467041</v>
      </c>
      <c r="G1333">
        <v>1380.6159668</v>
      </c>
      <c r="H1333">
        <v>1367.0531006000001</v>
      </c>
      <c r="I1333">
        <v>1286.0683594</v>
      </c>
      <c r="J1333">
        <v>1265.7501221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824.45556399999998</v>
      </c>
      <c r="B1334" s="1">
        <f>DATE(2012,8,2) + TIME(10,56,0)</f>
        <v>41123.455555555556</v>
      </c>
      <c r="C1334">
        <v>80</v>
      </c>
      <c r="D1334">
        <v>79.953445435000006</v>
      </c>
      <c r="E1334">
        <v>50</v>
      </c>
      <c r="F1334">
        <v>43.689964293999999</v>
      </c>
      <c r="G1334">
        <v>1380.5869141000001</v>
      </c>
      <c r="H1334">
        <v>1367.027832</v>
      </c>
      <c r="I1334">
        <v>1286.0302733999999</v>
      </c>
      <c r="J1334">
        <v>1265.6821289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825.92978900000003</v>
      </c>
      <c r="B1335" s="1">
        <f>DATE(2012,8,3) + TIME(22,18,53)</f>
        <v>41124.929780092592</v>
      </c>
      <c r="C1335">
        <v>80</v>
      </c>
      <c r="D1335">
        <v>79.953483582000004</v>
      </c>
      <c r="E1335">
        <v>50</v>
      </c>
      <c r="F1335">
        <v>43.619628906000003</v>
      </c>
      <c r="G1335">
        <v>1380.5295410000001</v>
      </c>
      <c r="H1335">
        <v>1366.9781493999999</v>
      </c>
      <c r="I1335">
        <v>1285.9604492000001</v>
      </c>
      <c r="J1335">
        <v>1265.5715332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827.42577900000003</v>
      </c>
      <c r="B1336" s="1">
        <f>DATE(2012,8,5) + TIME(10,13,7)</f>
        <v>41126.425775462965</v>
      </c>
      <c r="C1336">
        <v>80</v>
      </c>
      <c r="D1336">
        <v>79.953521729000002</v>
      </c>
      <c r="E1336">
        <v>50</v>
      </c>
      <c r="F1336">
        <v>43.544780731000003</v>
      </c>
      <c r="G1336">
        <v>1380.4718018000001</v>
      </c>
      <c r="H1336">
        <v>1366.9281006000001</v>
      </c>
      <c r="I1336">
        <v>1285.8879394999999</v>
      </c>
      <c r="J1336">
        <v>1265.4547118999999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828.94808999999998</v>
      </c>
      <c r="B1337" s="1">
        <f>DATE(2012,8,6) + TIME(22,45,14)</f>
        <v>41127.948078703703</v>
      </c>
      <c r="C1337">
        <v>80</v>
      </c>
      <c r="D1337">
        <v>79.953559874999996</v>
      </c>
      <c r="E1337">
        <v>50</v>
      </c>
      <c r="F1337">
        <v>43.468151093000003</v>
      </c>
      <c r="G1337">
        <v>1380.4138184000001</v>
      </c>
      <c r="H1337">
        <v>1366.8776855000001</v>
      </c>
      <c r="I1337">
        <v>1285.8137207</v>
      </c>
      <c r="J1337">
        <v>1265.3339844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830.48775499999999</v>
      </c>
      <c r="B1338" s="1">
        <f>DATE(2012,8,8) + TIME(11,42,22)</f>
        <v>41129.487754629627</v>
      </c>
      <c r="C1338">
        <v>80</v>
      </c>
      <c r="D1338">
        <v>79.953598021999994</v>
      </c>
      <c r="E1338">
        <v>50</v>
      </c>
      <c r="F1338">
        <v>43.390827178999999</v>
      </c>
      <c r="G1338">
        <v>1380.3553466999999</v>
      </c>
      <c r="H1338">
        <v>1366.8267822</v>
      </c>
      <c r="I1338">
        <v>1285.737793</v>
      </c>
      <c r="J1338">
        <v>1265.2098389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832.04058399999997</v>
      </c>
      <c r="B1339" s="1">
        <f>DATE(2012,8,10) + TIME(0,58,26)</f>
        <v>41131.040578703702</v>
      </c>
      <c r="C1339">
        <v>80</v>
      </c>
      <c r="D1339">
        <v>79.953636169000006</v>
      </c>
      <c r="E1339">
        <v>50</v>
      </c>
      <c r="F1339">
        <v>43.313499450999998</v>
      </c>
      <c r="G1339">
        <v>1380.296875</v>
      </c>
      <c r="H1339">
        <v>1366.7757568</v>
      </c>
      <c r="I1339">
        <v>1285.6608887</v>
      </c>
      <c r="J1339">
        <v>1265.083374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833.60139300000003</v>
      </c>
      <c r="B1340" s="1">
        <f>DATE(2012,8,11) + TIME(14,26,0)</f>
        <v>41132.601388888892</v>
      </c>
      <c r="C1340">
        <v>80</v>
      </c>
      <c r="D1340">
        <v>79.953681946000003</v>
      </c>
      <c r="E1340">
        <v>50</v>
      </c>
      <c r="F1340">
        <v>43.236686706999997</v>
      </c>
      <c r="G1340">
        <v>1380.2384033000001</v>
      </c>
      <c r="H1340">
        <v>1366.7247314000001</v>
      </c>
      <c r="I1340">
        <v>1285.5832519999999</v>
      </c>
      <c r="J1340">
        <v>1264.9549560999999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835.17514800000004</v>
      </c>
      <c r="B1341" s="1">
        <f>DATE(2012,8,13) + TIME(4,12,12)</f>
        <v>41134.175138888888</v>
      </c>
      <c r="C1341">
        <v>80</v>
      </c>
      <c r="D1341">
        <v>79.953720093000001</v>
      </c>
      <c r="E1341">
        <v>50</v>
      </c>
      <c r="F1341">
        <v>43.160697937000002</v>
      </c>
      <c r="G1341">
        <v>1380.1801757999999</v>
      </c>
      <c r="H1341">
        <v>1366.6737060999999</v>
      </c>
      <c r="I1341">
        <v>1285.5053711</v>
      </c>
      <c r="J1341">
        <v>1264.8253173999999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836.76895000000002</v>
      </c>
      <c r="B1342" s="1">
        <f>DATE(2012,8,14) + TIME(18,27,17)</f>
        <v>41135.768946759257</v>
      </c>
      <c r="C1342">
        <v>80</v>
      </c>
      <c r="D1342">
        <v>79.953765868999994</v>
      </c>
      <c r="E1342">
        <v>50</v>
      </c>
      <c r="F1342">
        <v>43.085597991999997</v>
      </c>
      <c r="G1342">
        <v>1380.1220702999999</v>
      </c>
      <c r="H1342">
        <v>1366.6228027</v>
      </c>
      <c r="I1342">
        <v>1285.4268798999999</v>
      </c>
      <c r="J1342">
        <v>1264.6942139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838.38725899999997</v>
      </c>
      <c r="B1343" s="1">
        <f>DATE(2012,8,16) + TIME(9,17,39)</f>
        <v>41137.387256944443</v>
      </c>
      <c r="C1343">
        <v>80</v>
      </c>
      <c r="D1343">
        <v>79.953804016000007</v>
      </c>
      <c r="E1343">
        <v>50</v>
      </c>
      <c r="F1343">
        <v>43.011386870999999</v>
      </c>
      <c r="G1343">
        <v>1380.0637207</v>
      </c>
      <c r="H1343">
        <v>1366.5716553</v>
      </c>
      <c r="I1343">
        <v>1285.3477783000001</v>
      </c>
      <c r="J1343">
        <v>1264.5612793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840.02567899999997</v>
      </c>
      <c r="B1344" s="1">
        <f>DATE(2012,8,18) + TIME(0,36,58)</f>
        <v>41139.025671296295</v>
      </c>
      <c r="C1344">
        <v>80</v>
      </c>
      <c r="D1344">
        <v>79.953849792</v>
      </c>
      <c r="E1344">
        <v>50</v>
      </c>
      <c r="F1344">
        <v>42.938262938999998</v>
      </c>
      <c r="G1344">
        <v>1380.0050048999999</v>
      </c>
      <c r="H1344">
        <v>1366.5200195</v>
      </c>
      <c r="I1344">
        <v>1285.2679443</v>
      </c>
      <c r="J1344">
        <v>1264.4265137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841.68339400000002</v>
      </c>
      <c r="B1345" s="1">
        <f>DATE(2012,8,19) + TIME(16,24,5)</f>
        <v>41140.683391203704</v>
      </c>
      <c r="C1345">
        <v>80</v>
      </c>
      <c r="D1345">
        <v>79.953895568999997</v>
      </c>
      <c r="E1345">
        <v>50</v>
      </c>
      <c r="F1345">
        <v>42.866607666</v>
      </c>
      <c r="G1345">
        <v>1379.9460449000001</v>
      </c>
      <c r="H1345">
        <v>1366.4681396000001</v>
      </c>
      <c r="I1345">
        <v>1285.1877440999999</v>
      </c>
      <c r="J1345">
        <v>1264.2904053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843.354421</v>
      </c>
      <c r="B1346" s="1">
        <f>DATE(2012,8,21) + TIME(8,30,21)</f>
        <v>41142.354409722226</v>
      </c>
      <c r="C1346">
        <v>80</v>
      </c>
      <c r="D1346">
        <v>79.953941345000004</v>
      </c>
      <c r="E1346">
        <v>50</v>
      </c>
      <c r="F1346">
        <v>42.796867370999998</v>
      </c>
      <c r="G1346">
        <v>1379.8869629000001</v>
      </c>
      <c r="H1346">
        <v>1366.4160156</v>
      </c>
      <c r="I1346">
        <v>1285.1074219</v>
      </c>
      <c r="J1346">
        <v>1264.1533202999999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845.043183</v>
      </c>
      <c r="B1347" s="1">
        <f>DATE(2012,8,23) + TIME(1,2,11)</f>
        <v>41144.043182870373</v>
      </c>
      <c r="C1347">
        <v>80</v>
      </c>
      <c r="D1347">
        <v>79.953987122000001</v>
      </c>
      <c r="E1347">
        <v>50</v>
      </c>
      <c r="F1347">
        <v>42.729503631999997</v>
      </c>
      <c r="G1347">
        <v>1379.8278809000001</v>
      </c>
      <c r="H1347">
        <v>1366.3637695</v>
      </c>
      <c r="I1347">
        <v>1285.0274658000001</v>
      </c>
      <c r="J1347">
        <v>1264.0158690999999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846.75426400000003</v>
      </c>
      <c r="B1348" s="1">
        <f>DATE(2012,8,24) + TIME(18,6,8)</f>
        <v>41145.754259259258</v>
      </c>
      <c r="C1348">
        <v>80</v>
      </c>
      <c r="D1348">
        <v>79.954032897999994</v>
      </c>
      <c r="E1348">
        <v>50</v>
      </c>
      <c r="F1348">
        <v>42.664844512999998</v>
      </c>
      <c r="G1348">
        <v>1379.7686768000001</v>
      </c>
      <c r="H1348">
        <v>1366.3114014</v>
      </c>
      <c r="I1348">
        <v>1284.9477539</v>
      </c>
      <c r="J1348">
        <v>1263.878418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848.492526</v>
      </c>
      <c r="B1349" s="1">
        <f>DATE(2012,8,26) + TIME(11,49,14)</f>
        <v>41147.492523148147</v>
      </c>
      <c r="C1349">
        <v>80</v>
      </c>
      <c r="D1349">
        <v>79.954078674000002</v>
      </c>
      <c r="E1349">
        <v>50</v>
      </c>
      <c r="F1349">
        <v>42.603244781000001</v>
      </c>
      <c r="G1349">
        <v>1379.7091064000001</v>
      </c>
      <c r="H1349">
        <v>1366.2586670000001</v>
      </c>
      <c r="I1349">
        <v>1284.8684082</v>
      </c>
      <c r="J1349">
        <v>1263.7407227000001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850.26300900000001</v>
      </c>
      <c r="B1350" s="1">
        <f>DATE(2012,8,28) + TIME(6,18,43)</f>
        <v>41149.262997685182</v>
      </c>
      <c r="C1350">
        <v>80</v>
      </c>
      <c r="D1350">
        <v>79.954124450999998</v>
      </c>
      <c r="E1350">
        <v>50</v>
      </c>
      <c r="F1350">
        <v>42.545124053999999</v>
      </c>
      <c r="G1350">
        <v>1379.6491699000001</v>
      </c>
      <c r="H1350">
        <v>1366.2055664</v>
      </c>
      <c r="I1350">
        <v>1284.7894286999999</v>
      </c>
      <c r="J1350">
        <v>1263.6030272999999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852.04755</v>
      </c>
      <c r="B1351" s="1">
        <f>DATE(2012,8,30) + TIME(1,8,28)</f>
        <v>41151.047546296293</v>
      </c>
      <c r="C1351">
        <v>80</v>
      </c>
      <c r="D1351">
        <v>79.954170227000006</v>
      </c>
      <c r="E1351">
        <v>50</v>
      </c>
      <c r="F1351">
        <v>42.491214751999998</v>
      </c>
      <c r="G1351">
        <v>1379.588501</v>
      </c>
      <c r="H1351">
        <v>1366.1516113</v>
      </c>
      <c r="I1351">
        <v>1284.7109375</v>
      </c>
      <c r="J1351">
        <v>1263.4655762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853.85127999999997</v>
      </c>
      <c r="B1352" s="1">
        <f>DATE(2012,8,31) + TIME(20,25,50)</f>
        <v>41152.851273148146</v>
      </c>
      <c r="C1352">
        <v>80</v>
      </c>
      <c r="D1352">
        <v>79.954223632999998</v>
      </c>
      <c r="E1352">
        <v>50</v>
      </c>
      <c r="F1352">
        <v>42.442417145</v>
      </c>
      <c r="G1352">
        <v>1379.527832</v>
      </c>
      <c r="H1352">
        <v>1366.0976562000001</v>
      </c>
      <c r="I1352">
        <v>1284.6339111</v>
      </c>
      <c r="J1352">
        <v>1263.3298339999999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854</v>
      </c>
      <c r="B1353" s="1">
        <f>DATE(2012,9,1) + TIME(0,0,0)</f>
        <v>41153</v>
      </c>
      <c r="C1353">
        <v>80</v>
      </c>
      <c r="D1353">
        <v>79.954216002999999</v>
      </c>
      <c r="E1353">
        <v>50</v>
      </c>
      <c r="F1353">
        <v>42.432083130000002</v>
      </c>
      <c r="G1353">
        <v>1379.4708252</v>
      </c>
      <c r="H1353">
        <v>1366.0472411999999</v>
      </c>
      <c r="I1353">
        <v>1284.5755615</v>
      </c>
      <c r="J1353">
        <v>1263.2366943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855.82148299999994</v>
      </c>
      <c r="B1354" s="1">
        <f>DATE(2012,9,2) + TIME(19,42,56)</f>
        <v>41154.821481481478</v>
      </c>
      <c r="C1354">
        <v>80</v>
      </c>
      <c r="D1354">
        <v>79.954277039000004</v>
      </c>
      <c r="E1354">
        <v>50</v>
      </c>
      <c r="F1354">
        <v>42.394603729000004</v>
      </c>
      <c r="G1354">
        <v>1379.4616699000001</v>
      </c>
      <c r="H1354">
        <v>1366.0386963000001</v>
      </c>
      <c r="I1354">
        <v>1284.5505370999999</v>
      </c>
      <c r="J1354">
        <v>1263.1817627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857.64965199999995</v>
      </c>
      <c r="B1355" s="1">
        <f>DATE(2012,9,4) + TIME(15,35,29)</f>
        <v>41156.649641203701</v>
      </c>
      <c r="C1355">
        <v>80</v>
      </c>
      <c r="D1355">
        <v>79.954322814999998</v>
      </c>
      <c r="E1355">
        <v>50</v>
      </c>
      <c r="F1355">
        <v>42.360401154000002</v>
      </c>
      <c r="G1355">
        <v>1379.4011230000001</v>
      </c>
      <c r="H1355">
        <v>1365.9846190999999</v>
      </c>
      <c r="I1355">
        <v>1284.4787598</v>
      </c>
      <c r="J1355">
        <v>1263.0545654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859.49101099999996</v>
      </c>
      <c r="B1356" s="1">
        <f>DATE(2012,9,6) + TIME(11,47,3)</f>
        <v>41158.491006944445</v>
      </c>
      <c r="C1356">
        <v>80</v>
      </c>
      <c r="D1356">
        <v>79.954376221000004</v>
      </c>
      <c r="E1356">
        <v>50</v>
      </c>
      <c r="F1356">
        <v>42.332862853999998</v>
      </c>
      <c r="G1356">
        <v>1379.3404541</v>
      </c>
      <c r="H1356">
        <v>1365.9302978999999</v>
      </c>
      <c r="I1356">
        <v>1284.4085693</v>
      </c>
      <c r="J1356">
        <v>1262.9294434000001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861.35430199999996</v>
      </c>
      <c r="B1357" s="1">
        <f>DATE(2012,9,8) + TIME(8,30,11)</f>
        <v>41160.35429398148</v>
      </c>
      <c r="C1357">
        <v>80</v>
      </c>
      <c r="D1357">
        <v>79.954429626000007</v>
      </c>
      <c r="E1357">
        <v>50</v>
      </c>
      <c r="F1357">
        <v>42.313453674000002</v>
      </c>
      <c r="G1357">
        <v>1379.2797852000001</v>
      </c>
      <c r="H1357">
        <v>1365.8759766000001</v>
      </c>
      <c r="I1357">
        <v>1284.3408202999999</v>
      </c>
      <c r="J1357">
        <v>1262.8082274999999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863.24478599999998</v>
      </c>
      <c r="B1358" s="1">
        <f>DATE(2012,9,10) + TIME(5,52,29)</f>
        <v>41162.244780092595</v>
      </c>
      <c r="C1358">
        <v>80</v>
      </c>
      <c r="D1358">
        <v>79.954483031999999</v>
      </c>
      <c r="E1358">
        <v>50</v>
      </c>
      <c r="F1358">
        <v>42.303226471000002</v>
      </c>
      <c r="G1358">
        <v>1379.21875</v>
      </c>
      <c r="H1358">
        <v>1365.8212891000001</v>
      </c>
      <c r="I1358">
        <v>1284.2755127</v>
      </c>
      <c r="J1358">
        <v>1262.6914062000001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865.14924699999995</v>
      </c>
      <c r="B1359" s="1">
        <f>DATE(2012,9,12) + TIME(3,34,54)</f>
        <v>41164.149236111109</v>
      </c>
      <c r="C1359">
        <v>80</v>
      </c>
      <c r="D1359">
        <v>79.954536438000005</v>
      </c>
      <c r="E1359">
        <v>50</v>
      </c>
      <c r="F1359">
        <v>42.303230286000002</v>
      </c>
      <c r="G1359">
        <v>1379.1573486</v>
      </c>
      <c r="H1359">
        <v>1365.7661132999999</v>
      </c>
      <c r="I1359">
        <v>1284.2131348</v>
      </c>
      <c r="J1359">
        <v>1262.5795897999999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867.06949299999997</v>
      </c>
      <c r="B1360" s="1">
        <f>DATE(2012,9,14) + TIME(1,40,4)</f>
        <v>41166.069490740738</v>
      </c>
      <c r="C1360">
        <v>80</v>
      </c>
      <c r="D1360">
        <v>79.954582213999998</v>
      </c>
      <c r="E1360">
        <v>50</v>
      </c>
      <c r="F1360">
        <v>42.314460754000002</v>
      </c>
      <c r="G1360">
        <v>1379.0959473</v>
      </c>
      <c r="H1360">
        <v>1365.7108154</v>
      </c>
      <c r="I1360">
        <v>1284.1541748</v>
      </c>
      <c r="J1360">
        <v>1262.4742432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869.01674800000001</v>
      </c>
      <c r="B1361" s="1">
        <f>DATE(2012,9,16) + TIME(0,24,7)</f>
        <v>41168.016747685186</v>
      </c>
      <c r="C1361">
        <v>80</v>
      </c>
      <c r="D1361">
        <v>79.954643250000004</v>
      </c>
      <c r="E1361">
        <v>50</v>
      </c>
      <c r="F1361">
        <v>42.337867737000003</v>
      </c>
      <c r="G1361">
        <v>1379.0345459</v>
      </c>
      <c r="H1361">
        <v>1365.6553954999999</v>
      </c>
      <c r="I1361">
        <v>1284.0987548999999</v>
      </c>
      <c r="J1361">
        <v>1262.3757324000001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870.99769900000001</v>
      </c>
      <c r="B1362" s="1">
        <f>DATE(2012,9,17) + TIME(23,56,41)</f>
        <v>41169.997696759259</v>
      </c>
      <c r="C1362">
        <v>80</v>
      </c>
      <c r="D1362">
        <v>79.954696655000006</v>
      </c>
      <c r="E1362">
        <v>50</v>
      </c>
      <c r="F1362">
        <v>42.374530792000002</v>
      </c>
      <c r="G1362">
        <v>1378.9726562000001</v>
      </c>
      <c r="H1362">
        <v>1365.5996094</v>
      </c>
      <c r="I1362">
        <v>1284.0469971</v>
      </c>
      <c r="J1362">
        <v>1262.2843018000001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871.99722599999996</v>
      </c>
      <c r="B1363" s="1">
        <f>DATE(2012,9,18) + TIME(23,56,0)</f>
        <v>41170.99722222222</v>
      </c>
      <c r="C1363">
        <v>80</v>
      </c>
      <c r="D1363">
        <v>79.954711914000001</v>
      </c>
      <c r="E1363">
        <v>50</v>
      </c>
      <c r="F1363">
        <v>42.415065765000001</v>
      </c>
      <c r="G1363">
        <v>1378.9102783000001</v>
      </c>
      <c r="H1363">
        <v>1365.5432129000001</v>
      </c>
      <c r="I1363">
        <v>1284.0058594</v>
      </c>
      <c r="J1363">
        <v>1262.2077637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872.99675300000001</v>
      </c>
      <c r="B1364" s="1">
        <f>DATE(2012,9,19) + TIME(23,55,19)</f>
        <v>41171.996747685182</v>
      </c>
      <c r="C1364">
        <v>80</v>
      </c>
      <c r="D1364">
        <v>79.954742432000003</v>
      </c>
      <c r="E1364">
        <v>50</v>
      </c>
      <c r="F1364">
        <v>42.452533721999998</v>
      </c>
      <c r="G1364">
        <v>1378.8785399999999</v>
      </c>
      <c r="H1364">
        <v>1365.5145264</v>
      </c>
      <c r="I1364">
        <v>1283.9792480000001</v>
      </c>
      <c r="J1364">
        <v>1262.1644286999999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873.99628099999995</v>
      </c>
      <c r="B1365" s="1">
        <f>DATE(2012,9,20) + TIME(23,54,38)</f>
        <v>41172.99627314815</v>
      </c>
      <c r="C1365">
        <v>80</v>
      </c>
      <c r="D1365">
        <v>79.954765320000007</v>
      </c>
      <c r="E1365">
        <v>50</v>
      </c>
      <c r="F1365">
        <v>42.490898131999998</v>
      </c>
      <c r="G1365">
        <v>1378.8474120999999</v>
      </c>
      <c r="H1365">
        <v>1365.4862060999999</v>
      </c>
      <c r="I1365">
        <v>1283.9566649999999</v>
      </c>
      <c r="J1365">
        <v>1262.1269531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874.99580800000001</v>
      </c>
      <c r="B1366" s="1">
        <f>DATE(2012,9,21) + TIME(23,53,57)</f>
        <v>41173.995798611111</v>
      </c>
      <c r="C1366">
        <v>80</v>
      </c>
      <c r="D1366">
        <v>79.954795837000006</v>
      </c>
      <c r="E1366">
        <v>50</v>
      </c>
      <c r="F1366">
        <v>42.531803130999997</v>
      </c>
      <c r="G1366">
        <v>1378.8164062000001</v>
      </c>
      <c r="H1366">
        <v>1365.4581298999999</v>
      </c>
      <c r="I1366">
        <v>1283.9364014</v>
      </c>
      <c r="J1366">
        <v>1262.0932617000001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875.99533499999995</v>
      </c>
      <c r="B1367" s="1">
        <f>DATE(2012,9,22) + TIME(23,53,16)</f>
        <v>41174.995324074072</v>
      </c>
      <c r="C1367">
        <v>80</v>
      </c>
      <c r="D1367">
        <v>79.954826354999994</v>
      </c>
      <c r="E1367">
        <v>50</v>
      </c>
      <c r="F1367">
        <v>42.575904846</v>
      </c>
      <c r="G1367">
        <v>1378.7856445</v>
      </c>
      <c r="H1367">
        <v>1365.4301757999999</v>
      </c>
      <c r="I1367">
        <v>1283.9177245999999</v>
      </c>
      <c r="J1367">
        <v>1262.0627440999999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877.99438999999995</v>
      </c>
      <c r="B1368" s="1">
        <f>DATE(2012,9,24) + TIME(23,51,55)</f>
        <v>41176.994386574072</v>
      </c>
      <c r="C1368">
        <v>80</v>
      </c>
      <c r="D1368">
        <v>79.954887389999996</v>
      </c>
      <c r="E1368">
        <v>50</v>
      </c>
      <c r="F1368">
        <v>42.635673523000001</v>
      </c>
      <c r="G1368">
        <v>1378.7550048999999</v>
      </c>
      <c r="H1368">
        <v>1365.4024658000001</v>
      </c>
      <c r="I1368">
        <v>1283.8956298999999</v>
      </c>
      <c r="J1368">
        <v>1262.0316161999999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879.99713999999994</v>
      </c>
      <c r="B1369" s="1">
        <f>DATE(2012,9,26) + TIME(23,55,52)</f>
        <v>41178.997129629628</v>
      </c>
      <c r="C1369">
        <v>80</v>
      </c>
      <c r="D1369">
        <v>79.954940796000002</v>
      </c>
      <c r="E1369">
        <v>50</v>
      </c>
      <c r="F1369">
        <v>42.730892181000002</v>
      </c>
      <c r="G1369">
        <v>1378.6942139</v>
      </c>
      <c r="H1369">
        <v>1365.347168</v>
      </c>
      <c r="I1369">
        <v>1283.8671875</v>
      </c>
      <c r="J1369">
        <v>1261.9838867000001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882.03335000000004</v>
      </c>
      <c r="B1370" s="1">
        <f>DATE(2012,9,29) + TIME(0,48,1)</f>
        <v>41181.03334490741</v>
      </c>
      <c r="C1370">
        <v>80</v>
      </c>
      <c r="D1370">
        <v>79.955001831000004</v>
      </c>
      <c r="E1370">
        <v>50</v>
      </c>
      <c r="F1370">
        <v>42.846649169999999</v>
      </c>
      <c r="G1370">
        <v>1378.6336670000001</v>
      </c>
      <c r="H1370">
        <v>1365.2921143000001</v>
      </c>
      <c r="I1370">
        <v>1283.8400879000001</v>
      </c>
      <c r="J1370">
        <v>1261.9433594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884</v>
      </c>
      <c r="B1371" s="1">
        <f>DATE(2012,10,1) + TIME(0,0,0)</f>
        <v>41183</v>
      </c>
      <c r="C1371">
        <v>80</v>
      </c>
      <c r="D1371">
        <v>79.955055236999996</v>
      </c>
      <c r="E1371">
        <v>50</v>
      </c>
      <c r="F1371">
        <v>42.978118895999998</v>
      </c>
      <c r="G1371">
        <v>1378.5726318</v>
      </c>
      <c r="H1371">
        <v>1365.2366943</v>
      </c>
      <c r="I1371">
        <v>1283.8166504000001</v>
      </c>
      <c r="J1371">
        <v>1261.9112548999999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886.07629899999995</v>
      </c>
      <c r="B1372" s="1">
        <f>DATE(2012,10,3) + TIME(1,49,52)</f>
        <v>41185.076296296298</v>
      </c>
      <c r="C1372">
        <v>80</v>
      </c>
      <c r="D1372">
        <v>79.955108643000003</v>
      </c>
      <c r="E1372">
        <v>50</v>
      </c>
      <c r="F1372">
        <v>43.122940063000001</v>
      </c>
      <c r="G1372">
        <v>1378.5144043</v>
      </c>
      <c r="H1372">
        <v>1365.1835937999999</v>
      </c>
      <c r="I1372">
        <v>1283.796875</v>
      </c>
      <c r="J1372">
        <v>1261.8889160000001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888.25819999999999</v>
      </c>
      <c r="B1373" s="1">
        <f>DATE(2012,10,5) + TIME(6,11,48)</f>
        <v>41187.258194444446</v>
      </c>
      <c r="C1373">
        <v>80</v>
      </c>
      <c r="D1373">
        <v>79.955169678000004</v>
      </c>
      <c r="E1373">
        <v>50</v>
      </c>
      <c r="F1373">
        <v>43.286823273000003</v>
      </c>
      <c r="G1373">
        <v>1378.4536132999999</v>
      </c>
      <c r="H1373">
        <v>1365.1282959</v>
      </c>
      <c r="I1373">
        <v>1283.7801514</v>
      </c>
      <c r="J1373">
        <v>1261.8742675999999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890.44249400000001</v>
      </c>
      <c r="B1374" s="1">
        <f>DATE(2012,10,7) + TIME(10,37,11)</f>
        <v>41189.442488425928</v>
      </c>
      <c r="C1374">
        <v>80</v>
      </c>
      <c r="D1374">
        <v>79.955230713000006</v>
      </c>
      <c r="E1374">
        <v>50</v>
      </c>
      <c r="F1374">
        <v>43.469841002999999</v>
      </c>
      <c r="G1374">
        <v>1378.3905029</v>
      </c>
      <c r="H1374">
        <v>1365.0706786999999</v>
      </c>
      <c r="I1374">
        <v>1283.7673339999999</v>
      </c>
      <c r="J1374">
        <v>1261.8679199000001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892.63948900000003</v>
      </c>
      <c r="B1375" s="1">
        <f>DATE(2012,10,9) + TIME(15,20,51)</f>
        <v>41191.639479166668</v>
      </c>
      <c r="C1375">
        <v>80</v>
      </c>
      <c r="D1375">
        <v>79.955291747999993</v>
      </c>
      <c r="E1375">
        <v>50</v>
      </c>
      <c r="F1375">
        <v>43.666877747000001</v>
      </c>
      <c r="G1375">
        <v>1378.328125</v>
      </c>
      <c r="H1375">
        <v>1365.0137939000001</v>
      </c>
      <c r="I1375">
        <v>1283.7579346</v>
      </c>
      <c r="J1375">
        <v>1261.8706055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894.85818300000005</v>
      </c>
      <c r="B1376" s="1">
        <f>DATE(2012,10,11) + TIME(20,35,47)</f>
        <v>41193.858182870368</v>
      </c>
      <c r="C1376">
        <v>80</v>
      </c>
      <c r="D1376">
        <v>79.955352782999995</v>
      </c>
      <c r="E1376">
        <v>50</v>
      </c>
      <c r="F1376">
        <v>43.876270294000001</v>
      </c>
      <c r="G1376">
        <v>1378.2662353999999</v>
      </c>
      <c r="H1376">
        <v>1364.9572754000001</v>
      </c>
      <c r="I1376">
        <v>1283.7518310999999</v>
      </c>
      <c r="J1376">
        <v>1261.8813477000001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897.10794699999997</v>
      </c>
      <c r="B1377" s="1">
        <f>DATE(2012,10,14) + TIME(2,35,26)</f>
        <v>41196.107939814814</v>
      </c>
      <c r="C1377">
        <v>80</v>
      </c>
      <c r="D1377">
        <v>79.955413817999997</v>
      </c>
      <c r="E1377">
        <v>50</v>
      </c>
      <c r="F1377">
        <v>44.097053528000004</v>
      </c>
      <c r="G1377">
        <v>1378.2047118999999</v>
      </c>
      <c r="H1377">
        <v>1364.9011230000001</v>
      </c>
      <c r="I1377">
        <v>1283.7487793</v>
      </c>
      <c r="J1377">
        <v>1261.8995361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899.40752099999997</v>
      </c>
      <c r="B1378" s="1">
        <f>DATE(2012,10,16) + TIME(9,46,49)</f>
        <v>41198.407511574071</v>
      </c>
      <c r="C1378">
        <v>80</v>
      </c>
      <c r="D1378">
        <v>79.955482482999997</v>
      </c>
      <c r="E1378">
        <v>50</v>
      </c>
      <c r="F1378">
        <v>44.328697204999997</v>
      </c>
      <c r="G1378">
        <v>1378.1433105000001</v>
      </c>
      <c r="H1378">
        <v>1364.8449707</v>
      </c>
      <c r="I1378">
        <v>1283.7484131000001</v>
      </c>
      <c r="J1378">
        <v>1261.9244385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901.71209099999999</v>
      </c>
      <c r="B1379" s="1">
        <f>DATE(2012,10,18) + TIME(17,5,24)</f>
        <v>41200.712083333332</v>
      </c>
      <c r="C1379">
        <v>80</v>
      </c>
      <c r="D1379">
        <v>79.955543517999999</v>
      </c>
      <c r="E1379">
        <v>50</v>
      </c>
      <c r="F1379">
        <v>44.569866179999998</v>
      </c>
      <c r="G1379">
        <v>1378.081543</v>
      </c>
      <c r="H1379">
        <v>1364.7884521000001</v>
      </c>
      <c r="I1379">
        <v>1283.7507324000001</v>
      </c>
      <c r="J1379">
        <v>1261.9554443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904.01991699999996</v>
      </c>
      <c r="B1380" s="1">
        <f>DATE(2012,10,21) + TIME(0,28,40)</f>
        <v>41203.019907407404</v>
      </c>
      <c r="C1380">
        <v>80</v>
      </c>
      <c r="D1380">
        <v>79.955604553000001</v>
      </c>
      <c r="E1380">
        <v>50</v>
      </c>
      <c r="F1380">
        <v>44.81608963</v>
      </c>
      <c r="G1380">
        <v>1378.0207519999999</v>
      </c>
      <c r="H1380">
        <v>1364.7329102000001</v>
      </c>
      <c r="I1380">
        <v>1283.7551269999999</v>
      </c>
      <c r="J1380">
        <v>1261.9914550999999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906.354198</v>
      </c>
      <c r="B1381" s="1">
        <f>DATE(2012,10,23) + TIME(8,30,2)</f>
        <v>41205.354189814818</v>
      </c>
      <c r="C1381">
        <v>80</v>
      </c>
      <c r="D1381">
        <v>79.955673218000001</v>
      </c>
      <c r="E1381">
        <v>50</v>
      </c>
      <c r="F1381">
        <v>45.065380095999998</v>
      </c>
      <c r="G1381">
        <v>1377.9609375</v>
      </c>
      <c r="H1381">
        <v>1364.6782227000001</v>
      </c>
      <c r="I1381">
        <v>1283.7609863</v>
      </c>
      <c r="J1381">
        <v>1262.0313721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908.721317</v>
      </c>
      <c r="B1382" s="1">
        <f>DATE(2012,10,25) + TIME(17,18,41)</f>
        <v>41207.721307870372</v>
      </c>
      <c r="C1382">
        <v>80</v>
      </c>
      <c r="D1382">
        <v>79.955734253000003</v>
      </c>
      <c r="E1382">
        <v>50</v>
      </c>
      <c r="F1382">
        <v>45.317443848000003</v>
      </c>
      <c r="G1382">
        <v>1377.9016113</v>
      </c>
      <c r="H1382">
        <v>1364.6239014</v>
      </c>
      <c r="I1382">
        <v>1283.7684326000001</v>
      </c>
      <c r="J1382">
        <v>1262.074707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911.12842699999999</v>
      </c>
      <c r="B1383" s="1">
        <f>DATE(2012,10,28) + TIME(3,4,56)</f>
        <v>41210.128425925926</v>
      </c>
      <c r="C1383">
        <v>80</v>
      </c>
      <c r="D1383">
        <v>79.955802917</v>
      </c>
      <c r="E1383">
        <v>50</v>
      </c>
      <c r="F1383">
        <v>45.571483612000002</v>
      </c>
      <c r="G1383">
        <v>1377.8425293</v>
      </c>
      <c r="H1383">
        <v>1364.5698242000001</v>
      </c>
      <c r="I1383">
        <v>1283.7769774999999</v>
      </c>
      <c r="J1383">
        <v>1262.1206055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913.58969100000002</v>
      </c>
      <c r="B1384" s="1">
        <f>DATE(2012,10,30) + TIME(14,9,9)</f>
        <v>41212.589687500003</v>
      </c>
      <c r="C1384">
        <v>80</v>
      </c>
      <c r="D1384">
        <v>79.955863953000005</v>
      </c>
      <c r="E1384">
        <v>50</v>
      </c>
      <c r="F1384">
        <v>45.826847076</v>
      </c>
      <c r="G1384">
        <v>1377.7836914</v>
      </c>
      <c r="H1384">
        <v>1364.5159911999999</v>
      </c>
      <c r="I1384">
        <v>1283.7863769999999</v>
      </c>
      <c r="J1384">
        <v>1262.1685791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915</v>
      </c>
      <c r="B1385" s="1">
        <f>DATE(2012,11,1) + TIME(0,0,0)</f>
        <v>41214</v>
      </c>
      <c r="C1385">
        <v>80</v>
      </c>
      <c r="D1385">
        <v>79.955902100000003</v>
      </c>
      <c r="E1385">
        <v>50</v>
      </c>
      <c r="F1385">
        <v>46.04757309</v>
      </c>
      <c r="G1385">
        <v>1377.7248535000001</v>
      </c>
      <c r="H1385">
        <v>1364.4620361</v>
      </c>
      <c r="I1385">
        <v>1283.8022461</v>
      </c>
      <c r="J1385">
        <v>1262.2145995999999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915.000001</v>
      </c>
      <c r="B1386" s="1">
        <f>DATE(2012,11,1) + TIME(0,0,0)</f>
        <v>41214</v>
      </c>
      <c r="C1386">
        <v>80</v>
      </c>
      <c r="D1386">
        <v>79.955749511999997</v>
      </c>
      <c r="E1386">
        <v>50</v>
      </c>
      <c r="F1386">
        <v>46.047718048</v>
      </c>
      <c r="G1386">
        <v>1363.5872803</v>
      </c>
      <c r="H1386">
        <v>1351.5360106999999</v>
      </c>
      <c r="I1386">
        <v>1306.4433594</v>
      </c>
      <c r="J1386">
        <v>1284.7318115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915.00000399999999</v>
      </c>
      <c r="B1387" s="1">
        <f>DATE(2012,11,1) + TIME(0,0,0)</f>
        <v>41214</v>
      </c>
      <c r="C1387">
        <v>80</v>
      </c>
      <c r="D1387">
        <v>79.955360412999994</v>
      </c>
      <c r="E1387">
        <v>50</v>
      </c>
      <c r="F1387">
        <v>46.048114777000002</v>
      </c>
      <c r="G1387">
        <v>1361.3782959</v>
      </c>
      <c r="H1387">
        <v>1349.3264160000001</v>
      </c>
      <c r="I1387">
        <v>1308.8425293</v>
      </c>
      <c r="J1387">
        <v>1287.2302245999999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915.00001299999997</v>
      </c>
      <c r="B1388" s="1">
        <f>DATE(2012,11,1) + TIME(0,0,1)</f>
        <v>41214.000011574077</v>
      </c>
      <c r="C1388">
        <v>80</v>
      </c>
      <c r="D1388">
        <v>79.954589843999997</v>
      </c>
      <c r="E1388">
        <v>50</v>
      </c>
      <c r="F1388">
        <v>46.049030303999999</v>
      </c>
      <c r="G1388">
        <v>1356.9235839999999</v>
      </c>
      <c r="H1388">
        <v>1344.8710937999999</v>
      </c>
      <c r="I1388">
        <v>1314.3704834</v>
      </c>
      <c r="J1388">
        <v>1292.9277344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915.00004000000001</v>
      </c>
      <c r="B1389" s="1">
        <f>DATE(2012,11,1) + TIME(0,0,3)</f>
        <v>41214.000034722223</v>
      </c>
      <c r="C1389">
        <v>80</v>
      </c>
      <c r="D1389">
        <v>79.953453064000001</v>
      </c>
      <c r="E1389">
        <v>50</v>
      </c>
      <c r="F1389">
        <v>46.050689697000003</v>
      </c>
      <c r="G1389">
        <v>1350.4246826000001</v>
      </c>
      <c r="H1389">
        <v>1338.3728027</v>
      </c>
      <c r="I1389">
        <v>1324.0086670000001</v>
      </c>
      <c r="J1389">
        <v>1302.7060547000001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915.00012100000004</v>
      </c>
      <c r="B1390" s="1">
        <f>DATE(2012,11,1) + TIME(0,0,10)</f>
        <v>41214.000115740739</v>
      </c>
      <c r="C1390">
        <v>80</v>
      </c>
      <c r="D1390">
        <v>79.952178954999994</v>
      </c>
      <c r="E1390">
        <v>50</v>
      </c>
      <c r="F1390">
        <v>46.052978516000003</v>
      </c>
      <c r="G1390">
        <v>1343.1938477000001</v>
      </c>
      <c r="H1390">
        <v>1331.1481934000001</v>
      </c>
      <c r="I1390">
        <v>1336.043457</v>
      </c>
      <c r="J1390">
        <v>1314.7375488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915.00036399999999</v>
      </c>
      <c r="B1391" s="1">
        <f>DATE(2012,11,1) + TIME(0,0,31)</f>
        <v>41214.000358796293</v>
      </c>
      <c r="C1391">
        <v>80</v>
      </c>
      <c r="D1391">
        <v>79.950859070000007</v>
      </c>
      <c r="E1391">
        <v>50</v>
      </c>
      <c r="F1391">
        <v>46.05632782</v>
      </c>
      <c r="G1391">
        <v>1335.9265137</v>
      </c>
      <c r="H1391">
        <v>1323.8884277</v>
      </c>
      <c r="I1391">
        <v>1348.7509766000001</v>
      </c>
      <c r="J1391">
        <v>1327.4426269999999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915.00109299999997</v>
      </c>
      <c r="B1392" s="1">
        <f>DATE(2012,11,1) + TIME(0,1,34)</f>
        <v>41214.001087962963</v>
      </c>
      <c r="C1392">
        <v>80</v>
      </c>
      <c r="D1392">
        <v>79.949409485000004</v>
      </c>
      <c r="E1392">
        <v>50</v>
      </c>
      <c r="F1392">
        <v>46.062591552999997</v>
      </c>
      <c r="G1392">
        <v>1328.6300048999999</v>
      </c>
      <c r="H1392">
        <v>1316.5770264</v>
      </c>
      <c r="I1392">
        <v>1361.7352295000001</v>
      </c>
      <c r="J1392">
        <v>1340.4255370999999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915.00328000000002</v>
      </c>
      <c r="B1393" s="1">
        <f>DATE(2012,11,1) + TIME(0,4,43)</f>
        <v>41214.003275462965</v>
      </c>
      <c r="C1393">
        <v>80</v>
      </c>
      <c r="D1393">
        <v>79.947555542000003</v>
      </c>
      <c r="E1393">
        <v>50</v>
      </c>
      <c r="F1393">
        <v>46.077480315999999</v>
      </c>
      <c r="G1393">
        <v>1321.1405029</v>
      </c>
      <c r="H1393">
        <v>1308.9893798999999</v>
      </c>
      <c r="I1393">
        <v>1374.9177245999999</v>
      </c>
      <c r="J1393">
        <v>1353.5444336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915.00984100000005</v>
      </c>
      <c r="B1394" s="1">
        <f>DATE(2012,11,1) + TIME(0,14,10)</f>
        <v>41214.009837962964</v>
      </c>
      <c r="C1394">
        <v>80</v>
      </c>
      <c r="D1394">
        <v>79.944610596000004</v>
      </c>
      <c r="E1394">
        <v>50</v>
      </c>
      <c r="F1394">
        <v>46.117893219000003</v>
      </c>
      <c r="G1394">
        <v>1313.7049560999999</v>
      </c>
      <c r="H1394">
        <v>1301.4185791</v>
      </c>
      <c r="I1394">
        <v>1387.1209716999999</v>
      </c>
      <c r="J1394">
        <v>1365.6208495999999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915.02952400000004</v>
      </c>
      <c r="B1395" s="1">
        <f>DATE(2012,11,1) + TIME(0,42,30)</f>
        <v>41214.029513888891</v>
      </c>
      <c r="C1395">
        <v>80</v>
      </c>
      <c r="D1395">
        <v>79.938667296999995</v>
      </c>
      <c r="E1395">
        <v>50</v>
      </c>
      <c r="F1395">
        <v>46.232189177999999</v>
      </c>
      <c r="G1395">
        <v>1307.6815185999999</v>
      </c>
      <c r="H1395">
        <v>1295.3240966999999</v>
      </c>
      <c r="I1395">
        <v>1395.7479248</v>
      </c>
      <c r="J1395">
        <v>1374.1628418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915.07647999999995</v>
      </c>
      <c r="B1396" s="1">
        <f>DATE(2012,11,1) + TIME(1,50,7)</f>
        <v>41214.076469907406</v>
      </c>
      <c r="C1396">
        <v>80</v>
      </c>
      <c r="D1396">
        <v>79.926979064999998</v>
      </c>
      <c r="E1396">
        <v>50</v>
      </c>
      <c r="F1396">
        <v>46.484596252000003</v>
      </c>
      <c r="G1396">
        <v>1304.7687988</v>
      </c>
      <c r="H1396">
        <v>1292.3916016000001</v>
      </c>
      <c r="I1396">
        <v>1399.0523682</v>
      </c>
      <c r="J1396">
        <v>1377.5151367000001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915.12584800000002</v>
      </c>
      <c r="B1397" s="1">
        <f>DATE(2012,11,1) + TIME(3,1,13)</f>
        <v>41214.125844907408</v>
      </c>
      <c r="C1397">
        <v>80</v>
      </c>
      <c r="D1397">
        <v>79.915321349999999</v>
      </c>
      <c r="E1397">
        <v>50</v>
      </c>
      <c r="F1397">
        <v>46.730857849000003</v>
      </c>
      <c r="G1397">
        <v>1304.0421143000001</v>
      </c>
      <c r="H1397">
        <v>1291.6610106999999</v>
      </c>
      <c r="I1397">
        <v>1399.5272216999999</v>
      </c>
      <c r="J1397">
        <v>1378.0765381000001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915.17761399999995</v>
      </c>
      <c r="B1398" s="1">
        <f>DATE(2012,11,1) + TIME(4,15,45)</f>
        <v>41214.177604166667</v>
      </c>
      <c r="C1398">
        <v>80</v>
      </c>
      <c r="D1398">
        <v>79.903434752999999</v>
      </c>
      <c r="E1398">
        <v>50</v>
      </c>
      <c r="F1398">
        <v>46.969898223999998</v>
      </c>
      <c r="G1398">
        <v>1303.8436279</v>
      </c>
      <c r="H1398">
        <v>1291.4611815999999</v>
      </c>
      <c r="I1398">
        <v>1399.4442139</v>
      </c>
      <c r="J1398">
        <v>1378.0864257999999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915.23200899999995</v>
      </c>
      <c r="B1399" s="1">
        <f>DATE(2012,11,1) + TIME(5,34,5)</f>
        <v>41214.232002314813</v>
      </c>
      <c r="C1399">
        <v>80</v>
      </c>
      <c r="D1399">
        <v>79.891242981000005</v>
      </c>
      <c r="E1399">
        <v>50</v>
      </c>
      <c r="F1399">
        <v>47.201599121000001</v>
      </c>
      <c r="G1399">
        <v>1303.7835693</v>
      </c>
      <c r="H1399">
        <v>1291.4005127</v>
      </c>
      <c r="I1399">
        <v>1399.2596435999999</v>
      </c>
      <c r="J1399">
        <v>1377.9938964999999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915.289355</v>
      </c>
      <c r="B1400" s="1">
        <f>DATE(2012,11,1) + TIME(6,56,40)</f>
        <v>41214.289351851854</v>
      </c>
      <c r="C1400">
        <v>80</v>
      </c>
      <c r="D1400">
        <v>79.878662109000004</v>
      </c>
      <c r="E1400">
        <v>50</v>
      </c>
      <c r="F1400">
        <v>47.425987243999998</v>
      </c>
      <c r="G1400">
        <v>1303.7625731999999</v>
      </c>
      <c r="H1400">
        <v>1291.3787841999999</v>
      </c>
      <c r="I1400">
        <v>1399.0644531</v>
      </c>
      <c r="J1400">
        <v>1377.8883057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915.35004800000002</v>
      </c>
      <c r="B1401" s="1">
        <f>DATE(2012,11,1) + TIME(8,24,4)</f>
        <v>41214.350046296298</v>
      </c>
      <c r="C1401">
        <v>80</v>
      </c>
      <c r="D1401">
        <v>79.865646362000007</v>
      </c>
      <c r="E1401">
        <v>50</v>
      </c>
      <c r="F1401">
        <v>47.643112183</v>
      </c>
      <c r="G1401">
        <v>1303.7532959</v>
      </c>
      <c r="H1401">
        <v>1291.3690185999999</v>
      </c>
      <c r="I1401">
        <v>1398.8741454999999</v>
      </c>
      <c r="J1401">
        <v>1377.7847899999999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915.41456300000004</v>
      </c>
      <c r="B1402" s="1">
        <f>DATE(2012,11,1) + TIME(9,56,58)</f>
        <v>41214.414560185185</v>
      </c>
      <c r="C1402">
        <v>80</v>
      </c>
      <c r="D1402">
        <v>79.852111816000004</v>
      </c>
      <c r="E1402">
        <v>50</v>
      </c>
      <c r="F1402">
        <v>47.852996826000002</v>
      </c>
      <c r="G1402">
        <v>1303.7478027</v>
      </c>
      <c r="H1402">
        <v>1291.3630370999999</v>
      </c>
      <c r="I1402">
        <v>1398.6898193</v>
      </c>
      <c r="J1402">
        <v>1377.6844481999999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915.48348099999998</v>
      </c>
      <c r="B1403" s="1">
        <f>DATE(2012,11,1) + TIME(11,36,12)</f>
        <v>41214.483472222222</v>
      </c>
      <c r="C1403">
        <v>80</v>
      </c>
      <c r="D1403">
        <v>79.837982178000004</v>
      </c>
      <c r="E1403">
        <v>50</v>
      </c>
      <c r="F1403">
        <v>48.055637359999999</v>
      </c>
      <c r="G1403">
        <v>1303.7434082</v>
      </c>
      <c r="H1403">
        <v>1291.3581543</v>
      </c>
      <c r="I1403">
        <v>1398.5107422000001</v>
      </c>
      <c r="J1403">
        <v>1377.5865478999999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915.55751699999996</v>
      </c>
      <c r="B1404" s="1">
        <f>DATE(2012,11,1) + TIME(13,22,49)</f>
        <v>41214.557511574072</v>
      </c>
      <c r="C1404">
        <v>80</v>
      </c>
      <c r="D1404">
        <v>79.823150635000005</v>
      </c>
      <c r="E1404">
        <v>50</v>
      </c>
      <c r="F1404">
        <v>48.250995635999999</v>
      </c>
      <c r="G1404">
        <v>1303.7393798999999</v>
      </c>
      <c r="H1404">
        <v>1291.3535156</v>
      </c>
      <c r="I1404">
        <v>1398.3360596</v>
      </c>
      <c r="J1404">
        <v>1377.4906006000001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915.637565</v>
      </c>
      <c r="B1405" s="1">
        <f>DATE(2012,11,1) + TIME(15,18,5)</f>
        <v>41214.637557870374</v>
      </c>
      <c r="C1405">
        <v>80</v>
      </c>
      <c r="D1405">
        <v>79.807487488000007</v>
      </c>
      <c r="E1405">
        <v>50</v>
      </c>
      <c r="F1405">
        <v>48.438991547000001</v>
      </c>
      <c r="G1405">
        <v>1303.7352295000001</v>
      </c>
      <c r="H1405">
        <v>1291.3486327999999</v>
      </c>
      <c r="I1405">
        <v>1398.1654053</v>
      </c>
      <c r="J1405">
        <v>1377.3959961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915.72474799999998</v>
      </c>
      <c r="B1406" s="1">
        <f>DATE(2012,11,1) + TIME(17,23,38)</f>
        <v>41214.724745370368</v>
      </c>
      <c r="C1406">
        <v>80</v>
      </c>
      <c r="D1406">
        <v>79.790847778</v>
      </c>
      <c r="E1406">
        <v>50</v>
      </c>
      <c r="F1406">
        <v>48.619464874000002</v>
      </c>
      <c r="G1406">
        <v>1303.7308350000001</v>
      </c>
      <c r="H1406">
        <v>1291.3436279</v>
      </c>
      <c r="I1406">
        <v>1397.9985352000001</v>
      </c>
      <c r="J1406">
        <v>1377.3026123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915.82054000000005</v>
      </c>
      <c r="B1407" s="1">
        <f>DATE(2012,11,1) + TIME(19,41,34)</f>
        <v>41214.820532407408</v>
      </c>
      <c r="C1407">
        <v>80</v>
      </c>
      <c r="D1407">
        <v>79.773033142000003</v>
      </c>
      <c r="E1407">
        <v>50</v>
      </c>
      <c r="F1407">
        <v>48.792240143000001</v>
      </c>
      <c r="G1407">
        <v>1303.7260742000001</v>
      </c>
      <c r="H1407">
        <v>1291.3381348</v>
      </c>
      <c r="I1407">
        <v>1397.8350829999999</v>
      </c>
      <c r="J1407">
        <v>1377.2100829999999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915.92690600000003</v>
      </c>
      <c r="B1408" s="1">
        <f>DATE(2012,11,1) + TIME(22,14,44)</f>
        <v>41214.926898148151</v>
      </c>
      <c r="C1408">
        <v>80</v>
      </c>
      <c r="D1408">
        <v>79.753768921000002</v>
      </c>
      <c r="E1408">
        <v>50</v>
      </c>
      <c r="F1408">
        <v>48.957069396999998</v>
      </c>
      <c r="G1408">
        <v>1303.7208252</v>
      </c>
      <c r="H1408">
        <v>1291.3321533000001</v>
      </c>
      <c r="I1408">
        <v>1397.6746826000001</v>
      </c>
      <c r="J1408">
        <v>1377.1182861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916.04651000000001</v>
      </c>
      <c r="B1409" s="1">
        <f>DATE(2012,11,2) + TIME(1,6,58)</f>
        <v>41215.04650462963</v>
      </c>
      <c r="C1409">
        <v>80</v>
      </c>
      <c r="D1409">
        <v>79.732727050999998</v>
      </c>
      <c r="E1409">
        <v>50</v>
      </c>
      <c r="F1409">
        <v>49.113582610999998</v>
      </c>
      <c r="G1409">
        <v>1303.7150879000001</v>
      </c>
      <c r="H1409">
        <v>1291.3255615</v>
      </c>
      <c r="I1409">
        <v>1397.5173339999999</v>
      </c>
      <c r="J1409">
        <v>1377.0267334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916.18310399999996</v>
      </c>
      <c r="B1410" s="1">
        <f>DATE(2012,11,2) + TIME(4,23,40)</f>
        <v>41215.18310185185</v>
      </c>
      <c r="C1410">
        <v>80</v>
      </c>
      <c r="D1410">
        <v>79.709419249999996</v>
      </c>
      <c r="E1410">
        <v>50</v>
      </c>
      <c r="F1410">
        <v>49.261291503999999</v>
      </c>
      <c r="G1410">
        <v>1303.7087402</v>
      </c>
      <c r="H1410">
        <v>1291.3182373</v>
      </c>
      <c r="I1410">
        <v>1397.3624268000001</v>
      </c>
      <c r="J1410">
        <v>1376.9353027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916.34217599999999</v>
      </c>
      <c r="B1411" s="1">
        <f>DATE(2012,11,2) + TIME(8,12,44)</f>
        <v>41215.342175925929</v>
      </c>
      <c r="C1411">
        <v>80</v>
      </c>
      <c r="D1411">
        <v>79.683204650999997</v>
      </c>
      <c r="E1411">
        <v>50</v>
      </c>
      <c r="F1411">
        <v>49.399520873999997</v>
      </c>
      <c r="G1411">
        <v>1303.7015381000001</v>
      </c>
      <c r="H1411">
        <v>1291.3099365</v>
      </c>
      <c r="I1411">
        <v>1397.2098389</v>
      </c>
      <c r="J1411">
        <v>1376.8435059000001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916.51980100000003</v>
      </c>
      <c r="B1412" s="1">
        <f>DATE(2012,11,2) + TIME(12,28,30)</f>
        <v>41215.519791666666</v>
      </c>
      <c r="C1412">
        <v>80</v>
      </c>
      <c r="D1412">
        <v>79.654647827000005</v>
      </c>
      <c r="E1412">
        <v>50</v>
      </c>
      <c r="F1412">
        <v>49.520812988000003</v>
      </c>
      <c r="G1412">
        <v>1303.6932373</v>
      </c>
      <c r="H1412">
        <v>1291.3004149999999</v>
      </c>
      <c r="I1412">
        <v>1397.0656738</v>
      </c>
      <c r="J1412">
        <v>1376.7543945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916.69802500000003</v>
      </c>
      <c r="B1413" s="1">
        <f>DATE(2012,11,2) + TIME(16,45,9)</f>
        <v>41215.698020833333</v>
      </c>
      <c r="C1413">
        <v>80</v>
      </c>
      <c r="D1413">
        <v>79.626007079999994</v>
      </c>
      <c r="E1413">
        <v>50</v>
      </c>
      <c r="F1413">
        <v>49.616413115999997</v>
      </c>
      <c r="G1413">
        <v>1303.6839600000001</v>
      </c>
      <c r="H1413">
        <v>1291.2900391000001</v>
      </c>
      <c r="I1413">
        <v>1396.9398193</v>
      </c>
      <c r="J1413">
        <v>1376.6738281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916.88057900000001</v>
      </c>
      <c r="B1414" s="1">
        <f>DATE(2012,11,2) + TIME(21,8,2)</f>
        <v>41215.880578703705</v>
      </c>
      <c r="C1414">
        <v>80</v>
      </c>
      <c r="D1414">
        <v>79.596862793</v>
      </c>
      <c r="E1414">
        <v>50</v>
      </c>
      <c r="F1414">
        <v>49.692962645999998</v>
      </c>
      <c r="G1414">
        <v>1303.6746826000001</v>
      </c>
      <c r="H1414">
        <v>1291.2796631000001</v>
      </c>
      <c r="I1414">
        <v>1396.8298339999999</v>
      </c>
      <c r="J1414">
        <v>1376.6018065999999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917.06927700000006</v>
      </c>
      <c r="B1415" s="1">
        <f>DATE(2012,11,3) + TIME(1,39,45)</f>
        <v>41216.06927083333</v>
      </c>
      <c r="C1415">
        <v>80</v>
      </c>
      <c r="D1415">
        <v>79.566993713000002</v>
      </c>
      <c r="E1415">
        <v>50</v>
      </c>
      <c r="F1415">
        <v>49.754394531000003</v>
      </c>
      <c r="G1415">
        <v>1303.6652832</v>
      </c>
      <c r="H1415">
        <v>1291.2691649999999</v>
      </c>
      <c r="I1415">
        <v>1396.7319336</v>
      </c>
      <c r="J1415">
        <v>1376.5362548999999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917.26615200000003</v>
      </c>
      <c r="B1416" s="1">
        <f>DATE(2012,11,3) + TIME(6,23,15)</f>
        <v>41216.266145833331</v>
      </c>
      <c r="C1416">
        <v>80</v>
      </c>
      <c r="D1416">
        <v>79.536170959000003</v>
      </c>
      <c r="E1416">
        <v>50</v>
      </c>
      <c r="F1416">
        <v>49.803703308000003</v>
      </c>
      <c r="G1416">
        <v>1303.6556396000001</v>
      </c>
      <c r="H1416">
        <v>1291.2583007999999</v>
      </c>
      <c r="I1416">
        <v>1396.644043</v>
      </c>
      <c r="J1416">
        <v>1376.4759521000001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917.47343000000001</v>
      </c>
      <c r="B1417" s="1">
        <f>DATE(2012,11,3) + TIME(11,21,44)</f>
        <v>41216.473425925928</v>
      </c>
      <c r="C1417">
        <v>80</v>
      </c>
      <c r="D1417">
        <v>79.504142760999997</v>
      </c>
      <c r="E1417">
        <v>50</v>
      </c>
      <c r="F1417">
        <v>49.843070984000001</v>
      </c>
      <c r="G1417">
        <v>1303.6455077999999</v>
      </c>
      <c r="H1417">
        <v>1291.2467041</v>
      </c>
      <c r="I1417">
        <v>1396.5632324000001</v>
      </c>
      <c r="J1417">
        <v>1376.4191894999999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917.69365800000003</v>
      </c>
      <c r="B1418" s="1">
        <f>DATE(2012,11,3) + TIME(16,38,52)</f>
        <v>41216.693657407406</v>
      </c>
      <c r="C1418">
        <v>80</v>
      </c>
      <c r="D1418">
        <v>79.470558166999993</v>
      </c>
      <c r="E1418">
        <v>50</v>
      </c>
      <c r="F1418">
        <v>49.874561309999997</v>
      </c>
      <c r="G1418">
        <v>1303.6354980000001</v>
      </c>
      <c r="H1418">
        <v>1291.2354736</v>
      </c>
      <c r="I1418">
        <v>1396.4903564000001</v>
      </c>
      <c r="J1418">
        <v>1376.3671875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917.92973300000006</v>
      </c>
      <c r="B1419" s="1">
        <f>DATE(2012,11,3) + TIME(22,18,48)</f>
        <v>41216.929722222223</v>
      </c>
      <c r="C1419">
        <v>80</v>
      </c>
      <c r="D1419">
        <v>79.435119628999999</v>
      </c>
      <c r="E1419">
        <v>50</v>
      </c>
      <c r="F1419">
        <v>49.899452209000003</v>
      </c>
      <c r="G1419">
        <v>1303.6245117000001</v>
      </c>
      <c r="H1419">
        <v>1291.2229004000001</v>
      </c>
      <c r="I1419">
        <v>1396.4205322</v>
      </c>
      <c r="J1419">
        <v>1376.3160399999999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918.18286499999999</v>
      </c>
      <c r="B1420" s="1">
        <f>DATE(2012,11,4) + TIME(4,23,19)</f>
        <v>41217.182858796295</v>
      </c>
      <c r="C1420">
        <v>80</v>
      </c>
      <c r="D1420">
        <v>79.397674561000002</v>
      </c>
      <c r="E1420">
        <v>50</v>
      </c>
      <c r="F1420">
        <v>49.918792725000003</v>
      </c>
      <c r="G1420">
        <v>1303.612793</v>
      </c>
      <c r="H1420">
        <v>1291.2097168</v>
      </c>
      <c r="I1420">
        <v>1396.3551024999999</v>
      </c>
      <c r="J1420">
        <v>1376.2669678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918.45429000000001</v>
      </c>
      <c r="B1421" s="1">
        <f>DATE(2012,11,4) + TIME(10,54,10)</f>
        <v>41217.454282407409</v>
      </c>
      <c r="C1421">
        <v>80</v>
      </c>
      <c r="D1421">
        <v>79.358070373999993</v>
      </c>
      <c r="E1421">
        <v>50</v>
      </c>
      <c r="F1421">
        <v>49.933551788000003</v>
      </c>
      <c r="G1421">
        <v>1303.6004639</v>
      </c>
      <c r="H1421">
        <v>1291.1956786999999</v>
      </c>
      <c r="I1421">
        <v>1396.2927245999999</v>
      </c>
      <c r="J1421">
        <v>1376.2194824000001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918.74820899999997</v>
      </c>
      <c r="B1422" s="1">
        <f>DATE(2012,11,4) + TIME(17,57,25)</f>
        <v>41217.748206018521</v>
      </c>
      <c r="C1422">
        <v>80</v>
      </c>
      <c r="D1422">
        <v>79.315849303999997</v>
      </c>
      <c r="E1422">
        <v>50</v>
      </c>
      <c r="F1422">
        <v>49.944694519000002</v>
      </c>
      <c r="G1422">
        <v>1303.5871582</v>
      </c>
      <c r="H1422">
        <v>1291.1806641000001</v>
      </c>
      <c r="I1422">
        <v>1396.2327881000001</v>
      </c>
      <c r="J1422">
        <v>1376.1730957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919.06981399999995</v>
      </c>
      <c r="B1423" s="1">
        <f>DATE(2012,11,5) + TIME(1,40,31)</f>
        <v>41218.069803240738</v>
      </c>
      <c r="C1423">
        <v>80</v>
      </c>
      <c r="D1423">
        <v>79.270469665999997</v>
      </c>
      <c r="E1423">
        <v>50</v>
      </c>
      <c r="F1423">
        <v>49.952980042</v>
      </c>
      <c r="G1423">
        <v>1303.5729980000001</v>
      </c>
      <c r="H1423">
        <v>1291.1645507999999</v>
      </c>
      <c r="I1423">
        <v>1396.1741943</v>
      </c>
      <c r="J1423">
        <v>1376.1271973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919.42591400000003</v>
      </c>
      <c r="B1424" s="1">
        <f>DATE(2012,11,5) + TIME(10,13,18)</f>
        <v>41218.425902777781</v>
      </c>
      <c r="C1424">
        <v>80</v>
      </c>
      <c r="D1424">
        <v>79.221229553000001</v>
      </c>
      <c r="E1424">
        <v>50</v>
      </c>
      <c r="F1424">
        <v>49.959041595000002</v>
      </c>
      <c r="G1424">
        <v>1303.5576172000001</v>
      </c>
      <c r="H1424">
        <v>1291.1469727000001</v>
      </c>
      <c r="I1424">
        <v>1396.1162108999999</v>
      </c>
      <c r="J1424">
        <v>1376.0811768000001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919.80931299999997</v>
      </c>
      <c r="B1425" s="1">
        <f>DATE(2012,11,5) + TIME(19,25,24)</f>
        <v>41218.809305555558</v>
      </c>
      <c r="C1425">
        <v>80</v>
      </c>
      <c r="D1425">
        <v>79.168609618999994</v>
      </c>
      <c r="E1425">
        <v>50</v>
      </c>
      <c r="F1425">
        <v>49.963268280000001</v>
      </c>
      <c r="G1425">
        <v>1303.5405272999999</v>
      </c>
      <c r="H1425">
        <v>1291.1276855000001</v>
      </c>
      <c r="I1425">
        <v>1396.0578613</v>
      </c>
      <c r="J1425">
        <v>1376.0345459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920.19472900000005</v>
      </c>
      <c r="B1426" s="1">
        <f>DATE(2012,11,6) + TIME(4,40,24)</f>
        <v>41219.194722222222</v>
      </c>
      <c r="C1426">
        <v>80</v>
      </c>
      <c r="D1426">
        <v>79.114837645999998</v>
      </c>
      <c r="E1426">
        <v>50</v>
      </c>
      <c r="F1426">
        <v>49.966037749999998</v>
      </c>
      <c r="G1426">
        <v>1303.5220947</v>
      </c>
      <c r="H1426">
        <v>1291.1071777</v>
      </c>
      <c r="I1426">
        <v>1396.0004882999999</v>
      </c>
      <c r="J1426">
        <v>1375.9882812000001</v>
      </c>
      <c r="K1426">
        <v>0</v>
      </c>
      <c r="L1426">
        <v>2400</v>
      </c>
      <c r="M1426">
        <v>2400</v>
      </c>
      <c r="N1426">
        <v>0</v>
      </c>
    </row>
    <row r="1427" spans="1:14" x14ac:dyDescent="0.25">
      <c r="A1427">
        <v>920.58672000000001</v>
      </c>
      <c r="B1427" s="1">
        <f>DATE(2012,11,6) + TIME(14,4,52)</f>
        <v>41219.586712962962</v>
      </c>
      <c r="C1427">
        <v>80</v>
      </c>
      <c r="D1427">
        <v>79.060020446999999</v>
      </c>
      <c r="E1427">
        <v>50</v>
      </c>
      <c r="F1427">
        <v>49.967884064000003</v>
      </c>
      <c r="G1427">
        <v>1303.5037841999999</v>
      </c>
      <c r="H1427">
        <v>1291.0864257999999</v>
      </c>
      <c r="I1427">
        <v>1395.9471435999999</v>
      </c>
      <c r="J1427">
        <v>1375.9453125</v>
      </c>
      <c r="K1427">
        <v>0</v>
      </c>
      <c r="L1427">
        <v>2400</v>
      </c>
      <c r="M1427">
        <v>2400</v>
      </c>
      <c r="N1427">
        <v>0</v>
      </c>
    </row>
    <row r="1428" spans="1:14" x14ac:dyDescent="0.25">
      <c r="A1428">
        <v>920.98959000000002</v>
      </c>
      <c r="B1428" s="1">
        <f>DATE(2012,11,6) + TIME(23,45,0)</f>
        <v>41219.989583333336</v>
      </c>
      <c r="C1428">
        <v>80</v>
      </c>
      <c r="D1428">
        <v>79.004013061999999</v>
      </c>
      <c r="E1428">
        <v>50</v>
      </c>
      <c r="F1428">
        <v>49.969127655000001</v>
      </c>
      <c r="G1428">
        <v>1303.4852295000001</v>
      </c>
      <c r="H1428">
        <v>1291.0654297000001</v>
      </c>
      <c r="I1428">
        <v>1395.8968506000001</v>
      </c>
      <c r="J1428">
        <v>1375.9046631000001</v>
      </c>
      <c r="K1428">
        <v>0</v>
      </c>
      <c r="L1428">
        <v>2400</v>
      </c>
      <c r="M1428">
        <v>2400</v>
      </c>
      <c r="N1428">
        <v>0</v>
      </c>
    </row>
    <row r="1429" spans="1:14" x14ac:dyDescent="0.25">
      <c r="A1429">
        <v>921.40756299999998</v>
      </c>
      <c r="B1429" s="1">
        <f>DATE(2012,11,7) + TIME(9,46,53)</f>
        <v>41220.407557870371</v>
      </c>
      <c r="C1429">
        <v>80</v>
      </c>
      <c r="D1429">
        <v>78.946540833</v>
      </c>
      <c r="E1429">
        <v>50</v>
      </c>
      <c r="F1429">
        <v>49.969978333</v>
      </c>
      <c r="G1429">
        <v>1303.4663086</v>
      </c>
      <c r="H1429">
        <v>1291.0439452999999</v>
      </c>
      <c r="I1429">
        <v>1395.8485106999999</v>
      </c>
      <c r="J1429">
        <v>1375.8656006000001</v>
      </c>
      <c r="K1429">
        <v>0</v>
      </c>
      <c r="L1429">
        <v>2400</v>
      </c>
      <c r="M1429">
        <v>2400</v>
      </c>
      <c r="N1429">
        <v>0</v>
      </c>
    </row>
    <row r="1430" spans="1:14" x14ac:dyDescent="0.25">
      <c r="A1430">
        <v>921.84515599999997</v>
      </c>
      <c r="B1430" s="1">
        <f>DATE(2012,11,7) + TIME(20,17,1)</f>
        <v>41220.845150462963</v>
      </c>
      <c r="C1430">
        <v>80</v>
      </c>
      <c r="D1430">
        <v>78.887214661000002</v>
      </c>
      <c r="E1430">
        <v>50</v>
      </c>
      <c r="F1430">
        <v>49.970565796000002</v>
      </c>
      <c r="G1430">
        <v>1303.4467772999999</v>
      </c>
      <c r="H1430">
        <v>1291.0217285000001</v>
      </c>
      <c r="I1430">
        <v>1395.8015137</v>
      </c>
      <c r="J1430">
        <v>1375.8277588000001</v>
      </c>
      <c r="K1430">
        <v>0</v>
      </c>
      <c r="L1430">
        <v>2400</v>
      </c>
      <c r="M1430">
        <v>2400</v>
      </c>
      <c r="N1430">
        <v>0</v>
      </c>
    </row>
    <row r="1431" spans="1:14" x14ac:dyDescent="0.25">
      <c r="A1431">
        <v>922.30751199999997</v>
      </c>
      <c r="B1431" s="1">
        <f>DATE(2012,11,8) + TIME(7,22,49)</f>
        <v>41221.307511574072</v>
      </c>
      <c r="C1431">
        <v>80</v>
      </c>
      <c r="D1431">
        <v>78.825561523000005</v>
      </c>
      <c r="E1431">
        <v>50</v>
      </c>
      <c r="F1431">
        <v>49.970977783000002</v>
      </c>
      <c r="G1431">
        <v>1303.4263916</v>
      </c>
      <c r="H1431">
        <v>1290.9985352000001</v>
      </c>
      <c r="I1431">
        <v>1395.755249</v>
      </c>
      <c r="J1431">
        <v>1375.7904053</v>
      </c>
      <c r="K1431">
        <v>0</v>
      </c>
      <c r="L1431">
        <v>2400</v>
      </c>
      <c r="M1431">
        <v>2400</v>
      </c>
      <c r="N1431">
        <v>0</v>
      </c>
    </row>
    <row r="1432" spans="1:14" x14ac:dyDescent="0.25">
      <c r="A1432">
        <v>922.80065999999999</v>
      </c>
      <c r="B1432" s="1">
        <f>DATE(2012,11,8) + TIME(19,12,56)</f>
        <v>41221.80064814815</v>
      </c>
      <c r="C1432">
        <v>80</v>
      </c>
      <c r="D1432">
        <v>78.760971068999993</v>
      </c>
      <c r="E1432">
        <v>50</v>
      </c>
      <c r="F1432">
        <v>49.971267699999999</v>
      </c>
      <c r="G1432">
        <v>1303.4049072</v>
      </c>
      <c r="H1432">
        <v>1290.9741211</v>
      </c>
      <c r="I1432">
        <v>1395.7093506000001</v>
      </c>
      <c r="J1432">
        <v>1375.753418</v>
      </c>
      <c r="K1432">
        <v>0</v>
      </c>
      <c r="L1432">
        <v>2400</v>
      </c>
      <c r="M1432">
        <v>2400</v>
      </c>
      <c r="N1432">
        <v>0</v>
      </c>
    </row>
    <row r="1433" spans="1:14" x14ac:dyDescent="0.25">
      <c r="A1433">
        <v>923.332403</v>
      </c>
      <c r="B1433" s="1">
        <f>DATE(2012,11,9) + TIME(7,58,39)</f>
        <v>41222.332395833335</v>
      </c>
      <c r="C1433">
        <v>80</v>
      </c>
      <c r="D1433">
        <v>78.692710876000007</v>
      </c>
      <c r="E1433">
        <v>50</v>
      </c>
      <c r="F1433">
        <v>49.971481322999999</v>
      </c>
      <c r="G1433">
        <v>1303.3820800999999</v>
      </c>
      <c r="H1433">
        <v>1290.9481201000001</v>
      </c>
      <c r="I1433">
        <v>1395.6632079999999</v>
      </c>
      <c r="J1433">
        <v>1375.7163086</v>
      </c>
      <c r="K1433">
        <v>0</v>
      </c>
      <c r="L1433">
        <v>2400</v>
      </c>
      <c r="M1433">
        <v>2400</v>
      </c>
      <c r="N1433">
        <v>0</v>
      </c>
    </row>
    <row r="1434" spans="1:14" x14ac:dyDescent="0.25">
      <c r="A1434">
        <v>923.90397700000005</v>
      </c>
      <c r="B1434" s="1">
        <f>DATE(2012,11,9) + TIME(21,41,43)</f>
        <v>41222.903969907406</v>
      </c>
      <c r="C1434">
        <v>80</v>
      </c>
      <c r="D1434">
        <v>78.620437621999997</v>
      </c>
      <c r="E1434">
        <v>50</v>
      </c>
      <c r="F1434">
        <v>49.971637725999997</v>
      </c>
      <c r="G1434">
        <v>1303.3575439000001</v>
      </c>
      <c r="H1434">
        <v>1290.9201660000001</v>
      </c>
      <c r="I1434">
        <v>1395.6163329999999</v>
      </c>
      <c r="J1434">
        <v>1375.6787108999999</v>
      </c>
      <c r="K1434">
        <v>0</v>
      </c>
      <c r="L1434">
        <v>2400</v>
      </c>
      <c r="M1434">
        <v>2400</v>
      </c>
      <c r="N1434">
        <v>0</v>
      </c>
    </row>
    <row r="1435" spans="1:14" x14ac:dyDescent="0.25">
      <c r="A1435">
        <v>924.49820899999997</v>
      </c>
      <c r="B1435" s="1">
        <f>DATE(2012,11,10) + TIME(11,57,25)</f>
        <v>41223.498206018521</v>
      </c>
      <c r="C1435">
        <v>80</v>
      </c>
      <c r="D1435">
        <v>78.545150757000002</v>
      </c>
      <c r="E1435">
        <v>50</v>
      </c>
      <c r="F1435">
        <v>49.971748351999999</v>
      </c>
      <c r="G1435">
        <v>1303.3310547000001</v>
      </c>
      <c r="H1435">
        <v>1290.8902588000001</v>
      </c>
      <c r="I1435">
        <v>1395.5688477000001</v>
      </c>
      <c r="J1435">
        <v>1375.6407471</v>
      </c>
      <c r="K1435">
        <v>0</v>
      </c>
      <c r="L1435">
        <v>2400</v>
      </c>
      <c r="M1435">
        <v>2400</v>
      </c>
      <c r="N1435">
        <v>0</v>
      </c>
    </row>
    <row r="1436" spans="1:14" x14ac:dyDescent="0.25">
      <c r="A1436">
        <v>925.11302899999998</v>
      </c>
      <c r="B1436" s="1">
        <f>DATE(2012,11,11) + TIME(2,42,45)</f>
        <v>41224.113020833334</v>
      </c>
      <c r="C1436">
        <v>80</v>
      </c>
      <c r="D1436">
        <v>78.467399596999996</v>
      </c>
      <c r="E1436">
        <v>50</v>
      </c>
      <c r="F1436">
        <v>49.971828461000001</v>
      </c>
      <c r="G1436">
        <v>1303.3037108999999</v>
      </c>
      <c r="H1436">
        <v>1290.8591309000001</v>
      </c>
      <c r="I1436">
        <v>1395.5223389</v>
      </c>
      <c r="J1436">
        <v>1375.6035156</v>
      </c>
      <c r="K1436">
        <v>0</v>
      </c>
      <c r="L1436">
        <v>2400</v>
      </c>
      <c r="M1436">
        <v>2400</v>
      </c>
      <c r="N1436">
        <v>0</v>
      </c>
    </row>
    <row r="1437" spans="1:14" x14ac:dyDescent="0.25">
      <c r="A1437">
        <v>925.74602800000002</v>
      </c>
      <c r="B1437" s="1">
        <f>DATE(2012,11,11) + TIME(17,54,16)</f>
        <v>41224.746018518519</v>
      </c>
      <c r="C1437">
        <v>80</v>
      </c>
      <c r="D1437">
        <v>78.387664795000006</v>
      </c>
      <c r="E1437">
        <v>50</v>
      </c>
      <c r="F1437">
        <v>49.971889496000003</v>
      </c>
      <c r="G1437">
        <v>1303.2752685999999</v>
      </c>
      <c r="H1437">
        <v>1290.8269043</v>
      </c>
      <c r="I1437">
        <v>1395.4770507999999</v>
      </c>
      <c r="J1437">
        <v>1375.5673827999999</v>
      </c>
      <c r="K1437">
        <v>0</v>
      </c>
      <c r="L1437">
        <v>2400</v>
      </c>
      <c r="M1437">
        <v>2400</v>
      </c>
      <c r="N1437">
        <v>0</v>
      </c>
    </row>
    <row r="1438" spans="1:14" x14ac:dyDescent="0.25">
      <c r="A1438">
        <v>926.39141199999995</v>
      </c>
      <c r="B1438" s="1">
        <f>DATE(2012,11,12) + TIME(9,23,37)</f>
        <v>41225.391400462962</v>
      </c>
      <c r="C1438">
        <v>80</v>
      </c>
      <c r="D1438">
        <v>78.306594849000007</v>
      </c>
      <c r="E1438">
        <v>50</v>
      </c>
      <c r="F1438">
        <v>49.971935272000003</v>
      </c>
      <c r="G1438">
        <v>1303.2462158000001</v>
      </c>
      <c r="H1438">
        <v>1290.7937012</v>
      </c>
      <c r="I1438">
        <v>1395.4328613</v>
      </c>
      <c r="J1438">
        <v>1375.5322266000001</v>
      </c>
      <c r="K1438">
        <v>0</v>
      </c>
      <c r="L1438">
        <v>2400</v>
      </c>
      <c r="M1438">
        <v>2400</v>
      </c>
      <c r="N1438">
        <v>0</v>
      </c>
    </row>
    <row r="1439" spans="1:14" x14ac:dyDescent="0.25">
      <c r="A1439">
        <v>927.056104</v>
      </c>
      <c r="B1439" s="1">
        <f>DATE(2012,11,13) + TIME(1,20,47)</f>
        <v>41226.05609953704</v>
      </c>
      <c r="C1439">
        <v>80</v>
      </c>
      <c r="D1439">
        <v>78.224082946999999</v>
      </c>
      <c r="E1439">
        <v>50</v>
      </c>
      <c r="F1439">
        <v>49.971969604000002</v>
      </c>
      <c r="G1439">
        <v>1303.2164307</v>
      </c>
      <c r="H1439">
        <v>1290.7597656</v>
      </c>
      <c r="I1439">
        <v>1395.3903809000001</v>
      </c>
      <c r="J1439">
        <v>1375.4982910000001</v>
      </c>
      <c r="K1439">
        <v>0</v>
      </c>
      <c r="L1439">
        <v>2400</v>
      </c>
      <c r="M1439">
        <v>2400</v>
      </c>
      <c r="N1439">
        <v>0</v>
      </c>
    </row>
    <row r="1440" spans="1:14" x14ac:dyDescent="0.25">
      <c r="A1440">
        <v>927.74722399999996</v>
      </c>
      <c r="B1440" s="1">
        <f>DATE(2012,11,13) + TIME(17,56,0)</f>
        <v>41226.74722222222</v>
      </c>
      <c r="C1440">
        <v>80</v>
      </c>
      <c r="D1440">
        <v>78.139678954999994</v>
      </c>
      <c r="E1440">
        <v>50</v>
      </c>
      <c r="F1440">
        <v>49.972000121999997</v>
      </c>
      <c r="G1440">
        <v>1303.1859131000001</v>
      </c>
      <c r="H1440">
        <v>1290.7248535000001</v>
      </c>
      <c r="I1440">
        <v>1395.3487548999999</v>
      </c>
      <c r="J1440">
        <v>1375.465332</v>
      </c>
      <c r="K1440">
        <v>0</v>
      </c>
      <c r="L1440">
        <v>2400</v>
      </c>
      <c r="M1440">
        <v>2400</v>
      </c>
      <c r="N1440">
        <v>0</v>
      </c>
    </row>
    <row r="1441" spans="1:14" x14ac:dyDescent="0.25">
      <c r="A1441">
        <v>928.472712</v>
      </c>
      <c r="B1441" s="1">
        <f>DATE(2012,11,14) + TIME(11,20,42)</f>
        <v>41227.472708333335</v>
      </c>
      <c r="C1441">
        <v>80</v>
      </c>
      <c r="D1441">
        <v>78.052742003999995</v>
      </c>
      <c r="E1441">
        <v>50</v>
      </c>
      <c r="F1441">
        <v>49.972023010000001</v>
      </c>
      <c r="G1441">
        <v>1303.1541748</v>
      </c>
      <c r="H1441">
        <v>1290.6883545000001</v>
      </c>
      <c r="I1441">
        <v>1395.3077393000001</v>
      </c>
      <c r="J1441">
        <v>1375.4327393000001</v>
      </c>
      <c r="K1441">
        <v>0</v>
      </c>
      <c r="L1441">
        <v>2400</v>
      </c>
      <c r="M1441">
        <v>2400</v>
      </c>
      <c r="N1441">
        <v>0</v>
      </c>
    </row>
    <row r="1442" spans="1:14" x14ac:dyDescent="0.25">
      <c r="A1442">
        <v>929.24178500000005</v>
      </c>
      <c r="B1442" s="1">
        <f>DATE(2012,11,15) + TIME(5,48,10)</f>
        <v>41228.241782407407</v>
      </c>
      <c r="C1442">
        <v>80</v>
      </c>
      <c r="D1442">
        <v>77.962463378999999</v>
      </c>
      <c r="E1442">
        <v>50</v>
      </c>
      <c r="F1442">
        <v>49.972045897999998</v>
      </c>
      <c r="G1442">
        <v>1303.1207274999999</v>
      </c>
      <c r="H1442">
        <v>1290.6500243999999</v>
      </c>
      <c r="I1442">
        <v>1395.2667236</v>
      </c>
      <c r="J1442">
        <v>1375.4002685999999</v>
      </c>
      <c r="K1442">
        <v>0</v>
      </c>
      <c r="L1442">
        <v>2400</v>
      </c>
      <c r="M1442">
        <v>2400</v>
      </c>
      <c r="N1442">
        <v>0</v>
      </c>
    </row>
    <row r="1443" spans="1:14" x14ac:dyDescent="0.25">
      <c r="A1443">
        <v>930.06599100000005</v>
      </c>
      <c r="B1443" s="1">
        <f>DATE(2012,11,16) + TIME(1,35,1)</f>
        <v>41229.065983796296</v>
      </c>
      <c r="C1443">
        <v>80</v>
      </c>
      <c r="D1443">
        <v>77.867851256999998</v>
      </c>
      <c r="E1443">
        <v>50</v>
      </c>
      <c r="F1443">
        <v>49.972064971999998</v>
      </c>
      <c r="G1443">
        <v>1303.0853271000001</v>
      </c>
      <c r="H1443">
        <v>1290.609375</v>
      </c>
      <c r="I1443">
        <v>1395.2254639</v>
      </c>
      <c r="J1443">
        <v>1375.3675536999999</v>
      </c>
      <c r="K1443">
        <v>0</v>
      </c>
      <c r="L1443">
        <v>2400</v>
      </c>
      <c r="M1443">
        <v>2400</v>
      </c>
      <c r="N1443">
        <v>0</v>
      </c>
    </row>
    <row r="1444" spans="1:14" x14ac:dyDescent="0.25">
      <c r="A1444">
        <v>930.94463299999995</v>
      </c>
      <c r="B1444" s="1">
        <f>DATE(2012,11,16) + TIME(22,40,16)</f>
        <v>41229.94462962963</v>
      </c>
      <c r="C1444">
        <v>80</v>
      </c>
      <c r="D1444">
        <v>77.768447875999996</v>
      </c>
      <c r="E1444">
        <v>50</v>
      </c>
      <c r="F1444">
        <v>49.972084045000003</v>
      </c>
      <c r="G1444">
        <v>1303.0472411999999</v>
      </c>
      <c r="H1444">
        <v>1290.5656738</v>
      </c>
      <c r="I1444">
        <v>1395.1832274999999</v>
      </c>
      <c r="J1444">
        <v>1375.3342285000001</v>
      </c>
      <c r="K1444">
        <v>0</v>
      </c>
      <c r="L1444">
        <v>2400</v>
      </c>
      <c r="M1444">
        <v>2400</v>
      </c>
      <c r="N1444">
        <v>0</v>
      </c>
    </row>
    <row r="1445" spans="1:14" x14ac:dyDescent="0.25">
      <c r="A1445">
        <v>931.83667300000002</v>
      </c>
      <c r="B1445" s="1">
        <f>DATE(2012,11,17) + TIME(20,4,48)</f>
        <v>41230.83666666667</v>
      </c>
      <c r="C1445">
        <v>80</v>
      </c>
      <c r="D1445">
        <v>77.666130065999994</v>
      </c>
      <c r="E1445">
        <v>50</v>
      </c>
      <c r="F1445">
        <v>49.972103119000003</v>
      </c>
      <c r="G1445">
        <v>1303.0064697</v>
      </c>
      <c r="H1445">
        <v>1290.5187988</v>
      </c>
      <c r="I1445">
        <v>1395.1405029</v>
      </c>
      <c r="J1445">
        <v>1375.3004149999999</v>
      </c>
      <c r="K1445">
        <v>0</v>
      </c>
      <c r="L1445">
        <v>2400</v>
      </c>
      <c r="M1445">
        <v>2400</v>
      </c>
      <c r="N1445">
        <v>0</v>
      </c>
    </row>
    <row r="1446" spans="1:14" x14ac:dyDescent="0.25">
      <c r="A1446">
        <v>932.73871499999996</v>
      </c>
      <c r="B1446" s="1">
        <f>DATE(2012,11,18) + TIME(17,43,44)</f>
        <v>41231.738703703704</v>
      </c>
      <c r="C1446">
        <v>80</v>
      </c>
      <c r="D1446">
        <v>77.562576293999996</v>
      </c>
      <c r="E1446">
        <v>50</v>
      </c>
      <c r="F1446">
        <v>49.972118377999998</v>
      </c>
      <c r="G1446">
        <v>1302.9648437999999</v>
      </c>
      <c r="H1446">
        <v>1290.4709473</v>
      </c>
      <c r="I1446">
        <v>1395.0992432</v>
      </c>
      <c r="J1446">
        <v>1375.2678223</v>
      </c>
      <c r="K1446">
        <v>0</v>
      </c>
      <c r="L1446">
        <v>2400</v>
      </c>
      <c r="M1446">
        <v>2400</v>
      </c>
      <c r="N1446">
        <v>0</v>
      </c>
    </row>
    <row r="1447" spans="1:14" x14ac:dyDescent="0.25">
      <c r="A1447">
        <v>933.66065500000002</v>
      </c>
      <c r="B1447" s="1">
        <f>DATE(2012,11,19) + TIME(15,51,20)</f>
        <v>41232.66064814815</v>
      </c>
      <c r="C1447">
        <v>80</v>
      </c>
      <c r="D1447">
        <v>77.458122252999999</v>
      </c>
      <c r="E1447">
        <v>50</v>
      </c>
      <c r="F1447">
        <v>49.972133636000002</v>
      </c>
      <c r="G1447">
        <v>1302.9226074000001</v>
      </c>
      <c r="H1447">
        <v>1290.4221190999999</v>
      </c>
      <c r="I1447">
        <v>1395.0595702999999</v>
      </c>
      <c r="J1447">
        <v>1375.2364502</v>
      </c>
      <c r="K1447">
        <v>0</v>
      </c>
      <c r="L1447">
        <v>2400</v>
      </c>
      <c r="M1447">
        <v>2400</v>
      </c>
      <c r="N1447">
        <v>0</v>
      </c>
    </row>
    <row r="1448" spans="1:14" x14ac:dyDescent="0.25">
      <c r="A1448">
        <v>934.612436</v>
      </c>
      <c r="B1448" s="1">
        <f>DATE(2012,11,20) + TIME(14,41,54)</f>
        <v>41233.612430555557</v>
      </c>
      <c r="C1448">
        <v>80</v>
      </c>
      <c r="D1448">
        <v>77.352310181000007</v>
      </c>
      <c r="E1448">
        <v>50</v>
      </c>
      <c r="F1448">
        <v>49.972152710000003</v>
      </c>
      <c r="G1448">
        <v>1302.8792725000001</v>
      </c>
      <c r="H1448">
        <v>1290.3718262</v>
      </c>
      <c r="I1448">
        <v>1395.0207519999999</v>
      </c>
      <c r="J1448">
        <v>1375.2059326000001</v>
      </c>
      <c r="K1448">
        <v>0</v>
      </c>
      <c r="L1448">
        <v>2400</v>
      </c>
      <c r="M1448">
        <v>2400</v>
      </c>
      <c r="N1448">
        <v>0</v>
      </c>
    </row>
    <row r="1449" spans="1:14" x14ac:dyDescent="0.25">
      <c r="A1449">
        <v>935.60478699999999</v>
      </c>
      <c r="B1449" s="1">
        <f>DATE(2012,11,21) + TIME(14,30,53)</f>
        <v>41234.604780092595</v>
      </c>
      <c r="C1449">
        <v>80</v>
      </c>
      <c r="D1449">
        <v>77.244331360000004</v>
      </c>
      <c r="E1449">
        <v>50</v>
      </c>
      <c r="F1449">
        <v>49.972167968999997</v>
      </c>
      <c r="G1449">
        <v>1302.8342285000001</v>
      </c>
      <c r="H1449">
        <v>1290.3195800999999</v>
      </c>
      <c r="I1449">
        <v>1394.9825439000001</v>
      </c>
      <c r="J1449">
        <v>1375.1757812000001</v>
      </c>
      <c r="K1449">
        <v>0</v>
      </c>
      <c r="L1449">
        <v>2400</v>
      </c>
      <c r="M1449">
        <v>2400</v>
      </c>
      <c r="N1449">
        <v>0</v>
      </c>
    </row>
    <row r="1450" spans="1:14" x14ac:dyDescent="0.25">
      <c r="A1450">
        <v>936.64998900000001</v>
      </c>
      <c r="B1450" s="1">
        <f>DATE(2012,11,22) + TIME(15,35,59)</f>
        <v>41235.649988425925</v>
      </c>
      <c r="C1450">
        <v>80</v>
      </c>
      <c r="D1450">
        <v>77.133193969999994</v>
      </c>
      <c r="E1450">
        <v>50</v>
      </c>
      <c r="F1450">
        <v>49.972187042000002</v>
      </c>
      <c r="G1450">
        <v>1302.7871094</v>
      </c>
      <c r="H1450">
        <v>1290.2645264</v>
      </c>
      <c r="I1450">
        <v>1394.9443358999999</v>
      </c>
      <c r="J1450">
        <v>1375.1457519999999</v>
      </c>
      <c r="K1450">
        <v>0</v>
      </c>
      <c r="L1450">
        <v>2400</v>
      </c>
      <c r="M1450">
        <v>2400</v>
      </c>
      <c r="N1450">
        <v>0</v>
      </c>
    </row>
    <row r="1451" spans="1:14" x14ac:dyDescent="0.25">
      <c r="A1451">
        <v>937.76268700000003</v>
      </c>
      <c r="B1451" s="1">
        <f>DATE(2012,11,23) + TIME(18,18,16)</f>
        <v>41236.762685185182</v>
      </c>
      <c r="C1451">
        <v>80</v>
      </c>
      <c r="D1451">
        <v>77.017738342000001</v>
      </c>
      <c r="E1451">
        <v>50</v>
      </c>
      <c r="F1451">
        <v>49.972209929999998</v>
      </c>
      <c r="G1451">
        <v>1302.7370605000001</v>
      </c>
      <c r="H1451">
        <v>1290.2060547000001</v>
      </c>
      <c r="I1451">
        <v>1394.9058838000001</v>
      </c>
      <c r="J1451">
        <v>1375.1153564000001</v>
      </c>
      <c r="K1451">
        <v>0</v>
      </c>
      <c r="L1451">
        <v>2400</v>
      </c>
      <c r="M1451">
        <v>2400</v>
      </c>
      <c r="N1451">
        <v>0</v>
      </c>
    </row>
    <row r="1452" spans="1:14" x14ac:dyDescent="0.25">
      <c r="A1452">
        <v>938.93240000000003</v>
      </c>
      <c r="B1452" s="1">
        <f>DATE(2012,11,24) + TIME(22,22,39)</f>
        <v>41237.932395833333</v>
      </c>
      <c r="C1452">
        <v>80</v>
      </c>
      <c r="D1452">
        <v>76.897644043</v>
      </c>
      <c r="E1452">
        <v>50</v>
      </c>
      <c r="F1452">
        <v>49.972232818999998</v>
      </c>
      <c r="G1452">
        <v>1302.6832274999999</v>
      </c>
      <c r="H1452">
        <v>1290.1431885</v>
      </c>
      <c r="I1452">
        <v>1394.8666992000001</v>
      </c>
      <c r="J1452">
        <v>1375.0844727000001</v>
      </c>
      <c r="K1452">
        <v>0</v>
      </c>
      <c r="L1452">
        <v>2400</v>
      </c>
      <c r="M1452">
        <v>2400</v>
      </c>
      <c r="N1452">
        <v>0</v>
      </c>
    </row>
    <row r="1453" spans="1:14" x14ac:dyDescent="0.25">
      <c r="A1453">
        <v>940.12564799999996</v>
      </c>
      <c r="B1453" s="1">
        <f>DATE(2012,11,26) + TIME(3,0,56)</f>
        <v>41239.125648148147</v>
      </c>
      <c r="C1453">
        <v>80</v>
      </c>
      <c r="D1453">
        <v>76.774444579999994</v>
      </c>
      <c r="E1453">
        <v>50</v>
      </c>
      <c r="F1453">
        <v>49.972255707000002</v>
      </c>
      <c r="G1453">
        <v>1302.6262207</v>
      </c>
      <c r="H1453">
        <v>1290.0764160000001</v>
      </c>
      <c r="I1453">
        <v>1394.8271483999999</v>
      </c>
      <c r="J1453">
        <v>1375.0533447</v>
      </c>
      <c r="K1453">
        <v>0</v>
      </c>
      <c r="L1453">
        <v>2400</v>
      </c>
      <c r="M1453">
        <v>2400</v>
      </c>
      <c r="N1453">
        <v>0</v>
      </c>
    </row>
    <row r="1454" spans="1:14" x14ac:dyDescent="0.25">
      <c r="A1454">
        <v>941.33730400000002</v>
      </c>
      <c r="B1454" s="1">
        <f>DATE(2012,11,27) + TIME(8,5,43)</f>
        <v>41240.33730324074</v>
      </c>
      <c r="C1454">
        <v>80</v>
      </c>
      <c r="D1454">
        <v>76.649909973000007</v>
      </c>
      <c r="E1454">
        <v>50</v>
      </c>
      <c r="F1454">
        <v>49.972278594999999</v>
      </c>
      <c r="G1454">
        <v>1302.5672606999999</v>
      </c>
      <c r="H1454">
        <v>1290.0070800999999</v>
      </c>
      <c r="I1454">
        <v>1394.7885742000001</v>
      </c>
      <c r="J1454">
        <v>1375.0229492000001</v>
      </c>
      <c r="K1454">
        <v>0</v>
      </c>
      <c r="L1454">
        <v>2400</v>
      </c>
      <c r="M1454">
        <v>2400</v>
      </c>
      <c r="N1454">
        <v>0</v>
      </c>
    </row>
    <row r="1455" spans="1:14" x14ac:dyDescent="0.25">
      <c r="A1455">
        <v>942.57377599999995</v>
      </c>
      <c r="B1455" s="1">
        <f>DATE(2012,11,28) + TIME(13,46,14)</f>
        <v>41241.573773148149</v>
      </c>
      <c r="C1455">
        <v>80</v>
      </c>
      <c r="D1455">
        <v>76.524612426999994</v>
      </c>
      <c r="E1455">
        <v>50</v>
      </c>
      <c r="F1455">
        <v>49.972301483000003</v>
      </c>
      <c r="G1455">
        <v>1302.5068358999999</v>
      </c>
      <c r="H1455">
        <v>1289.9356689000001</v>
      </c>
      <c r="I1455">
        <v>1394.7509766000001</v>
      </c>
      <c r="J1455">
        <v>1374.9934082</v>
      </c>
      <c r="K1455">
        <v>0</v>
      </c>
      <c r="L1455">
        <v>2400</v>
      </c>
      <c r="M1455">
        <v>2400</v>
      </c>
      <c r="N1455">
        <v>0</v>
      </c>
    </row>
    <row r="1456" spans="1:14" x14ac:dyDescent="0.25">
      <c r="A1456">
        <v>943.84660199999996</v>
      </c>
      <c r="B1456" s="1">
        <f>DATE(2012,11,29) + TIME(20,19,6)</f>
        <v>41242.846597222226</v>
      </c>
      <c r="C1456">
        <v>80</v>
      </c>
      <c r="D1456">
        <v>76.398239136000001</v>
      </c>
      <c r="E1456">
        <v>50</v>
      </c>
      <c r="F1456">
        <v>49.972324370999999</v>
      </c>
      <c r="G1456">
        <v>1302.4444579999999</v>
      </c>
      <c r="H1456">
        <v>1289.8615723</v>
      </c>
      <c r="I1456">
        <v>1394.7142334</v>
      </c>
      <c r="J1456">
        <v>1374.9643555</v>
      </c>
      <c r="K1456">
        <v>0</v>
      </c>
      <c r="L1456">
        <v>2400</v>
      </c>
      <c r="M1456">
        <v>2400</v>
      </c>
      <c r="N1456">
        <v>0</v>
      </c>
    </row>
    <row r="1457" spans="1:14" x14ac:dyDescent="0.25">
      <c r="A1457">
        <v>945</v>
      </c>
      <c r="B1457" s="1">
        <f>DATE(2012,12,1) + TIME(0,0,0)</f>
        <v>41244</v>
      </c>
      <c r="C1457">
        <v>80</v>
      </c>
      <c r="D1457">
        <v>76.276145935000002</v>
      </c>
      <c r="E1457">
        <v>50</v>
      </c>
      <c r="F1457">
        <v>49.972347259999999</v>
      </c>
      <c r="G1457">
        <v>1302.3791504000001</v>
      </c>
      <c r="H1457">
        <v>1289.7844238</v>
      </c>
      <c r="I1457">
        <v>1394.6776123</v>
      </c>
      <c r="J1457">
        <v>1374.9354248</v>
      </c>
      <c r="K1457">
        <v>0</v>
      </c>
      <c r="L1457">
        <v>2400</v>
      </c>
      <c r="M1457">
        <v>2400</v>
      </c>
      <c r="N1457">
        <v>0</v>
      </c>
    </row>
    <row r="1458" spans="1:14" x14ac:dyDescent="0.25">
      <c r="A1458">
        <v>946.32337800000005</v>
      </c>
      <c r="B1458" s="1">
        <f>DATE(2012,12,2) + TIME(7,45,39)</f>
        <v>41245.323368055557</v>
      </c>
      <c r="C1458">
        <v>80</v>
      </c>
      <c r="D1458">
        <v>76.153625488000003</v>
      </c>
      <c r="E1458">
        <v>50</v>
      </c>
      <c r="F1458">
        <v>49.972373961999999</v>
      </c>
      <c r="G1458">
        <v>1302.3194579999999</v>
      </c>
      <c r="H1458">
        <v>1289.7120361</v>
      </c>
      <c r="I1458">
        <v>1394.6459961</v>
      </c>
      <c r="J1458">
        <v>1374.9104004000001</v>
      </c>
      <c r="K1458">
        <v>0</v>
      </c>
      <c r="L1458">
        <v>2400</v>
      </c>
      <c r="M1458">
        <v>2400</v>
      </c>
      <c r="N1458">
        <v>0</v>
      </c>
    </row>
    <row r="1459" spans="1:14" x14ac:dyDescent="0.25">
      <c r="A1459">
        <v>947.78658499999995</v>
      </c>
      <c r="B1459" s="1">
        <f>DATE(2012,12,3) + TIME(18,52,40)</f>
        <v>41246.786574074074</v>
      </c>
      <c r="C1459">
        <v>80</v>
      </c>
      <c r="D1459">
        <v>76.023147582999997</v>
      </c>
      <c r="E1459">
        <v>50</v>
      </c>
      <c r="F1459">
        <v>49.972404480000002</v>
      </c>
      <c r="G1459">
        <v>1302.2503661999999</v>
      </c>
      <c r="H1459">
        <v>1289.6290283000001</v>
      </c>
      <c r="I1459">
        <v>1394.6107178</v>
      </c>
      <c r="J1459">
        <v>1374.8826904</v>
      </c>
      <c r="K1459">
        <v>0</v>
      </c>
      <c r="L1459">
        <v>2400</v>
      </c>
      <c r="M1459">
        <v>2400</v>
      </c>
      <c r="N1459">
        <v>0</v>
      </c>
    </row>
    <row r="1460" spans="1:14" x14ac:dyDescent="0.25">
      <c r="A1460">
        <v>949.27275099999997</v>
      </c>
      <c r="B1460" s="1">
        <f>DATE(2012,12,5) + TIME(6,32,45)</f>
        <v>41248.272743055553</v>
      </c>
      <c r="C1460">
        <v>80</v>
      </c>
      <c r="D1460">
        <v>75.885955811000002</v>
      </c>
      <c r="E1460">
        <v>50</v>
      </c>
      <c r="F1460">
        <v>49.972434997999997</v>
      </c>
      <c r="G1460">
        <v>1302.1726074000001</v>
      </c>
      <c r="H1460">
        <v>1289.5358887</v>
      </c>
      <c r="I1460">
        <v>1394.5731201000001</v>
      </c>
      <c r="J1460">
        <v>1374.8529053</v>
      </c>
      <c r="K1460">
        <v>0</v>
      </c>
      <c r="L1460">
        <v>2400</v>
      </c>
      <c r="M1460">
        <v>2400</v>
      </c>
      <c r="N1460">
        <v>0</v>
      </c>
    </row>
    <row r="1461" spans="1:14" x14ac:dyDescent="0.25">
      <c r="A1461">
        <v>950.77471800000001</v>
      </c>
      <c r="B1461" s="1">
        <f>DATE(2012,12,6) + TIME(18,35,35)</f>
        <v>41249.774710648147</v>
      </c>
      <c r="C1461">
        <v>80</v>
      </c>
      <c r="D1461">
        <v>75.746864318999997</v>
      </c>
      <c r="E1461">
        <v>50</v>
      </c>
      <c r="F1461">
        <v>49.972465515000003</v>
      </c>
      <c r="G1461">
        <v>1302.0921631000001</v>
      </c>
      <c r="H1461">
        <v>1289.4387207</v>
      </c>
      <c r="I1461">
        <v>1394.5363769999999</v>
      </c>
      <c r="J1461">
        <v>1374.8238524999999</v>
      </c>
      <c r="K1461">
        <v>0</v>
      </c>
      <c r="L1461">
        <v>2400</v>
      </c>
      <c r="M1461">
        <v>2400</v>
      </c>
      <c r="N1461">
        <v>0</v>
      </c>
    </row>
    <row r="1462" spans="1:14" x14ac:dyDescent="0.25">
      <c r="A1462">
        <v>952.30873599999995</v>
      </c>
      <c r="B1462" s="1">
        <f>DATE(2012,12,8) + TIME(7,24,34)</f>
        <v>41251.30872685185</v>
      </c>
      <c r="C1462">
        <v>80</v>
      </c>
      <c r="D1462">
        <v>75.607231139999996</v>
      </c>
      <c r="E1462">
        <v>50</v>
      </c>
      <c r="F1462">
        <v>49.972496032999999</v>
      </c>
      <c r="G1462">
        <v>1302.0093993999999</v>
      </c>
      <c r="H1462">
        <v>1289.3382568</v>
      </c>
      <c r="I1462">
        <v>1394.5006103999999</v>
      </c>
      <c r="J1462">
        <v>1374.7954102000001</v>
      </c>
      <c r="K1462">
        <v>0</v>
      </c>
      <c r="L1462">
        <v>2400</v>
      </c>
      <c r="M1462">
        <v>2400</v>
      </c>
      <c r="N1462">
        <v>0</v>
      </c>
    </row>
    <row r="1463" spans="1:14" x14ac:dyDescent="0.25">
      <c r="A1463">
        <v>953.89141400000005</v>
      </c>
      <c r="B1463" s="1">
        <f>DATE(2012,12,9) + TIME(21,23,38)</f>
        <v>41252.891412037039</v>
      </c>
      <c r="C1463">
        <v>80</v>
      </c>
      <c r="D1463">
        <v>75.466506957999997</v>
      </c>
      <c r="E1463">
        <v>50</v>
      </c>
      <c r="F1463">
        <v>49.972530364999997</v>
      </c>
      <c r="G1463">
        <v>1301.9234618999999</v>
      </c>
      <c r="H1463">
        <v>1289.2332764</v>
      </c>
      <c r="I1463">
        <v>1394.465332</v>
      </c>
      <c r="J1463">
        <v>1374.7674560999999</v>
      </c>
      <c r="K1463">
        <v>0</v>
      </c>
      <c r="L1463">
        <v>2400</v>
      </c>
      <c r="M1463">
        <v>2400</v>
      </c>
      <c r="N1463">
        <v>0</v>
      </c>
    </row>
    <row r="1464" spans="1:14" x14ac:dyDescent="0.25">
      <c r="A1464">
        <v>955.54080499999998</v>
      </c>
      <c r="B1464" s="1">
        <f>DATE(2012,12,11) + TIME(12,58,45)</f>
        <v>41254.540798611109</v>
      </c>
      <c r="C1464">
        <v>80</v>
      </c>
      <c r="D1464">
        <v>75.323554993000002</v>
      </c>
      <c r="E1464">
        <v>50</v>
      </c>
      <c r="F1464">
        <v>49.972564697000003</v>
      </c>
      <c r="G1464">
        <v>1301.8332519999999</v>
      </c>
      <c r="H1464">
        <v>1289.1225586</v>
      </c>
      <c r="I1464">
        <v>1394.4301757999999</v>
      </c>
      <c r="J1464">
        <v>1374.7395019999999</v>
      </c>
      <c r="K1464">
        <v>0</v>
      </c>
      <c r="L1464">
        <v>2400</v>
      </c>
      <c r="M1464">
        <v>2400</v>
      </c>
      <c r="N1464">
        <v>0</v>
      </c>
    </row>
    <row r="1465" spans="1:14" x14ac:dyDescent="0.25">
      <c r="A1465">
        <v>957.25805500000001</v>
      </c>
      <c r="B1465" s="1">
        <f>DATE(2012,12,13) + TIME(6,11,35)</f>
        <v>41256.258043981485</v>
      </c>
      <c r="C1465">
        <v>80</v>
      </c>
      <c r="D1465">
        <v>75.177490234000004</v>
      </c>
      <c r="E1465">
        <v>50</v>
      </c>
      <c r="F1465">
        <v>49.972602844000001</v>
      </c>
      <c r="G1465">
        <v>1301.7374268000001</v>
      </c>
      <c r="H1465">
        <v>1289.0045166</v>
      </c>
      <c r="I1465">
        <v>1394.3947754000001</v>
      </c>
      <c r="J1465">
        <v>1374.7114257999999</v>
      </c>
      <c r="K1465">
        <v>0</v>
      </c>
      <c r="L1465">
        <v>2400</v>
      </c>
      <c r="M1465">
        <v>2400</v>
      </c>
      <c r="N1465">
        <v>0</v>
      </c>
    </row>
    <row r="1466" spans="1:14" x14ac:dyDescent="0.25">
      <c r="A1466">
        <v>959.029222</v>
      </c>
      <c r="B1466" s="1">
        <f>DATE(2012,12,15) + TIME(0,42,4)</f>
        <v>41258.02921296296</v>
      </c>
      <c r="C1466">
        <v>80</v>
      </c>
      <c r="D1466">
        <v>75.028465271000002</v>
      </c>
      <c r="E1466">
        <v>50</v>
      </c>
      <c r="F1466">
        <v>49.972637177000003</v>
      </c>
      <c r="G1466">
        <v>1301.6357422000001</v>
      </c>
      <c r="H1466">
        <v>1288.8787841999999</v>
      </c>
      <c r="I1466">
        <v>1394.3591309000001</v>
      </c>
      <c r="J1466">
        <v>1374.6829834</v>
      </c>
      <c r="K1466">
        <v>0</v>
      </c>
      <c r="L1466">
        <v>2400</v>
      </c>
      <c r="M1466">
        <v>2400</v>
      </c>
      <c r="N1466">
        <v>0</v>
      </c>
    </row>
    <row r="1467" spans="1:14" x14ac:dyDescent="0.25">
      <c r="A1467">
        <v>960.82254</v>
      </c>
      <c r="B1467" s="1">
        <f>DATE(2012,12,16) + TIME(19,44,27)</f>
        <v>41259.822534722225</v>
      </c>
      <c r="C1467">
        <v>80</v>
      </c>
      <c r="D1467">
        <v>74.877777100000003</v>
      </c>
      <c r="E1467">
        <v>50</v>
      </c>
      <c r="F1467">
        <v>49.972675322999997</v>
      </c>
      <c r="G1467">
        <v>1301.5285644999999</v>
      </c>
      <c r="H1467">
        <v>1288.7456055</v>
      </c>
      <c r="I1467">
        <v>1394.3236084</v>
      </c>
      <c r="J1467">
        <v>1374.6546631000001</v>
      </c>
      <c r="K1467">
        <v>0</v>
      </c>
      <c r="L1467">
        <v>2400</v>
      </c>
      <c r="M1467">
        <v>2400</v>
      </c>
      <c r="N1467">
        <v>0</v>
      </c>
    </row>
    <row r="1468" spans="1:14" x14ac:dyDescent="0.25">
      <c r="A1468">
        <v>962.64598699999999</v>
      </c>
      <c r="B1468" s="1">
        <f>DATE(2012,12,18) + TIME(15,30,13)</f>
        <v>41261.645983796298</v>
      </c>
      <c r="C1468">
        <v>80</v>
      </c>
      <c r="D1468">
        <v>74.726898192999997</v>
      </c>
      <c r="E1468">
        <v>50</v>
      </c>
      <c r="F1468">
        <v>49.972713470000002</v>
      </c>
      <c r="G1468">
        <v>1301.4176024999999</v>
      </c>
      <c r="H1468">
        <v>1288.6070557</v>
      </c>
      <c r="I1468">
        <v>1394.2888184000001</v>
      </c>
      <c r="J1468">
        <v>1374.6267089999999</v>
      </c>
      <c r="K1468">
        <v>0</v>
      </c>
      <c r="L1468">
        <v>2400</v>
      </c>
      <c r="M1468">
        <v>2400</v>
      </c>
      <c r="N1468">
        <v>0</v>
      </c>
    </row>
    <row r="1469" spans="1:14" x14ac:dyDescent="0.25">
      <c r="A1469">
        <v>964.50584500000002</v>
      </c>
      <c r="B1469" s="1">
        <f>DATE(2012,12,20) + TIME(12,8,25)</f>
        <v>41263.505844907406</v>
      </c>
      <c r="C1469">
        <v>80</v>
      </c>
      <c r="D1469">
        <v>74.575798035000005</v>
      </c>
      <c r="E1469">
        <v>50</v>
      </c>
      <c r="F1469">
        <v>49.972755432</v>
      </c>
      <c r="G1469">
        <v>1301.3023682</v>
      </c>
      <c r="H1469">
        <v>1288.4624022999999</v>
      </c>
      <c r="I1469">
        <v>1394.2545166</v>
      </c>
      <c r="J1469">
        <v>1374.5993652</v>
      </c>
      <c r="K1469">
        <v>0</v>
      </c>
      <c r="L1469">
        <v>2400</v>
      </c>
      <c r="M1469">
        <v>2400</v>
      </c>
      <c r="N1469">
        <v>0</v>
      </c>
    </row>
    <row r="1470" spans="1:14" x14ac:dyDescent="0.25">
      <c r="A1470">
        <v>966.41388900000004</v>
      </c>
      <c r="B1470" s="1">
        <f>DATE(2012,12,22) + TIME(9,56,0)</f>
        <v>41265.413888888892</v>
      </c>
      <c r="C1470">
        <v>80</v>
      </c>
      <c r="D1470">
        <v>74.424003600999995</v>
      </c>
      <c r="E1470">
        <v>50</v>
      </c>
      <c r="F1470">
        <v>49.972793578999998</v>
      </c>
      <c r="G1470">
        <v>1301.182251</v>
      </c>
      <c r="H1470">
        <v>1288.3109131000001</v>
      </c>
      <c r="I1470">
        <v>1394.2205810999999</v>
      </c>
      <c r="J1470">
        <v>1374.5721435999999</v>
      </c>
      <c r="K1470">
        <v>0</v>
      </c>
      <c r="L1470">
        <v>2400</v>
      </c>
      <c r="M1470">
        <v>2400</v>
      </c>
      <c r="N1470">
        <v>0</v>
      </c>
    </row>
    <row r="1471" spans="1:14" x14ac:dyDescent="0.25">
      <c r="A1471">
        <v>968.35713999999996</v>
      </c>
      <c r="B1471" s="1">
        <f>DATE(2012,12,24) + TIME(8,34,16)</f>
        <v>41267.357129629629</v>
      </c>
      <c r="C1471">
        <v>80</v>
      </c>
      <c r="D1471">
        <v>74.271240234000004</v>
      </c>
      <c r="E1471">
        <v>50</v>
      </c>
      <c r="F1471">
        <v>49.972835541000002</v>
      </c>
      <c r="G1471">
        <v>1301.0563964999999</v>
      </c>
      <c r="H1471">
        <v>1288.1513672000001</v>
      </c>
      <c r="I1471">
        <v>1394.1868896000001</v>
      </c>
      <c r="J1471">
        <v>1374.5450439000001</v>
      </c>
      <c r="K1471">
        <v>0</v>
      </c>
      <c r="L1471">
        <v>2400</v>
      </c>
      <c r="M1471">
        <v>2400</v>
      </c>
      <c r="N1471">
        <v>0</v>
      </c>
    </row>
    <row r="1472" spans="1:14" x14ac:dyDescent="0.25">
      <c r="A1472">
        <v>970.33054200000004</v>
      </c>
      <c r="B1472" s="1">
        <f>DATE(2012,12,26) + TIME(7,55,58)</f>
        <v>41269.33053240741</v>
      </c>
      <c r="C1472">
        <v>80</v>
      </c>
      <c r="D1472">
        <v>74.118034363000007</v>
      </c>
      <c r="E1472">
        <v>50</v>
      </c>
      <c r="F1472">
        <v>49.972877502000003</v>
      </c>
      <c r="G1472">
        <v>1300.9251709</v>
      </c>
      <c r="H1472">
        <v>1287.9844971</v>
      </c>
      <c r="I1472">
        <v>1394.1535644999999</v>
      </c>
      <c r="J1472">
        <v>1374.5181885</v>
      </c>
      <c r="K1472">
        <v>0</v>
      </c>
      <c r="L1472">
        <v>2400</v>
      </c>
      <c r="M1472">
        <v>2400</v>
      </c>
      <c r="N1472">
        <v>0</v>
      </c>
    </row>
    <row r="1473" spans="1:14" x14ac:dyDescent="0.25">
      <c r="A1473">
        <v>972.32692299999997</v>
      </c>
      <c r="B1473" s="1">
        <f>DATE(2012,12,28) + TIME(7,50,46)</f>
        <v>41271.326921296299</v>
      </c>
      <c r="C1473">
        <v>80</v>
      </c>
      <c r="D1473">
        <v>73.964836121000005</v>
      </c>
      <c r="E1473">
        <v>50</v>
      </c>
      <c r="F1473">
        <v>49.972919464</v>
      </c>
      <c r="G1473">
        <v>1300.7889404</v>
      </c>
      <c r="H1473">
        <v>1287.8104248</v>
      </c>
      <c r="I1473">
        <v>1394.1206055</v>
      </c>
      <c r="J1473">
        <v>1374.4915771000001</v>
      </c>
      <c r="K1473">
        <v>0</v>
      </c>
      <c r="L1473">
        <v>2400</v>
      </c>
      <c r="M1473">
        <v>2400</v>
      </c>
      <c r="N1473">
        <v>0</v>
      </c>
    </row>
    <row r="1474" spans="1:14" x14ac:dyDescent="0.25">
      <c r="A1474">
        <v>974.35080500000004</v>
      </c>
      <c r="B1474" s="1">
        <f>DATE(2012,12,30) + TIME(8,25,9)</f>
        <v>41273.350798611114</v>
      </c>
      <c r="C1474">
        <v>80</v>
      </c>
      <c r="D1474">
        <v>73.811897278000004</v>
      </c>
      <c r="E1474">
        <v>50</v>
      </c>
      <c r="F1474">
        <v>49.972965240000001</v>
      </c>
      <c r="G1474">
        <v>1300.6479492000001</v>
      </c>
      <c r="H1474">
        <v>1287.6293945</v>
      </c>
      <c r="I1474">
        <v>1394.0883789</v>
      </c>
      <c r="J1474">
        <v>1374.4654541</v>
      </c>
      <c r="K1474">
        <v>0</v>
      </c>
      <c r="L1474">
        <v>2400</v>
      </c>
      <c r="M1474">
        <v>2400</v>
      </c>
      <c r="N1474">
        <v>0</v>
      </c>
    </row>
    <row r="1475" spans="1:14" x14ac:dyDescent="0.25">
      <c r="A1475">
        <v>976</v>
      </c>
      <c r="B1475" s="1">
        <f>DATE(2013,1,1) + TIME(0,0,0)</f>
        <v>41275</v>
      </c>
      <c r="C1475">
        <v>80</v>
      </c>
      <c r="D1475">
        <v>73.668045043999996</v>
      </c>
      <c r="E1475">
        <v>50</v>
      </c>
      <c r="F1475">
        <v>49.972999573000003</v>
      </c>
      <c r="G1475">
        <v>1300.5021973</v>
      </c>
      <c r="H1475">
        <v>1287.4429932</v>
      </c>
      <c r="I1475">
        <v>1394.0561522999999</v>
      </c>
      <c r="J1475">
        <v>1374.4394531</v>
      </c>
      <c r="K1475">
        <v>0</v>
      </c>
      <c r="L1475">
        <v>2400</v>
      </c>
      <c r="M1475">
        <v>2400</v>
      </c>
      <c r="N1475">
        <v>0</v>
      </c>
    </row>
    <row r="1476" spans="1:14" x14ac:dyDescent="0.25">
      <c r="A1476">
        <v>978.055477</v>
      </c>
      <c r="B1476" s="1">
        <f>DATE(2013,1,3) + TIME(1,19,53)</f>
        <v>41277.055474537039</v>
      </c>
      <c r="C1476">
        <v>80</v>
      </c>
      <c r="D1476">
        <v>73.531097411999994</v>
      </c>
      <c r="E1476">
        <v>50</v>
      </c>
      <c r="F1476">
        <v>49.973041533999996</v>
      </c>
      <c r="G1476">
        <v>1300.3782959</v>
      </c>
      <c r="H1476">
        <v>1287.2795410000001</v>
      </c>
      <c r="I1476">
        <v>1394.0311279</v>
      </c>
      <c r="J1476">
        <v>1374.4190673999999</v>
      </c>
      <c r="K1476">
        <v>0</v>
      </c>
      <c r="L1476">
        <v>2400</v>
      </c>
      <c r="M1476">
        <v>2400</v>
      </c>
      <c r="N1476">
        <v>0</v>
      </c>
    </row>
    <row r="1477" spans="1:14" x14ac:dyDescent="0.25">
      <c r="A1477">
        <v>980.15137300000004</v>
      </c>
      <c r="B1477" s="1">
        <f>DATE(2013,1,5) + TIME(3,37,58)</f>
        <v>41279.151365740741</v>
      </c>
      <c r="C1477">
        <v>80</v>
      </c>
      <c r="D1477">
        <v>73.383049010999997</v>
      </c>
      <c r="E1477">
        <v>50</v>
      </c>
      <c r="F1477">
        <v>49.973087311</v>
      </c>
      <c r="G1477">
        <v>1300.2250977000001</v>
      </c>
      <c r="H1477">
        <v>1287.081543</v>
      </c>
      <c r="I1477">
        <v>1394.0002440999999</v>
      </c>
      <c r="J1477">
        <v>1374.3939209</v>
      </c>
      <c r="K1477">
        <v>0</v>
      </c>
      <c r="L1477">
        <v>2400</v>
      </c>
      <c r="M1477">
        <v>2400</v>
      </c>
      <c r="N1477">
        <v>0</v>
      </c>
    </row>
    <row r="1478" spans="1:14" x14ac:dyDescent="0.25">
      <c r="A1478">
        <v>982.27632000000006</v>
      </c>
      <c r="B1478" s="1">
        <f>DATE(2013,1,7) + TIME(6,37,54)</f>
        <v>41281.276319444441</v>
      </c>
      <c r="C1478">
        <v>80</v>
      </c>
      <c r="D1478">
        <v>73.231536864999995</v>
      </c>
      <c r="E1478">
        <v>50</v>
      </c>
      <c r="F1478">
        <v>49.973133087000001</v>
      </c>
      <c r="G1478">
        <v>1300.0643310999999</v>
      </c>
      <c r="H1478">
        <v>1286.8723144999999</v>
      </c>
      <c r="I1478">
        <v>1393.9694824000001</v>
      </c>
      <c r="J1478">
        <v>1374.3688964999999</v>
      </c>
      <c r="K1478">
        <v>0</v>
      </c>
      <c r="L1478">
        <v>2400</v>
      </c>
      <c r="M1478">
        <v>2400</v>
      </c>
      <c r="N1478">
        <v>0</v>
      </c>
    </row>
    <row r="1479" spans="1:14" x14ac:dyDescent="0.25">
      <c r="A1479">
        <v>984.43474900000001</v>
      </c>
      <c r="B1479" s="1">
        <f>DATE(2013,1,9) + TIME(10,26,2)</f>
        <v>41283.434745370374</v>
      </c>
      <c r="C1479">
        <v>80</v>
      </c>
      <c r="D1479">
        <v>73.078788756999998</v>
      </c>
      <c r="E1479">
        <v>50</v>
      </c>
      <c r="F1479">
        <v>49.973178863999998</v>
      </c>
      <c r="G1479">
        <v>1299.8975829999999</v>
      </c>
      <c r="H1479">
        <v>1286.6539307</v>
      </c>
      <c r="I1479">
        <v>1393.9390868999999</v>
      </c>
      <c r="J1479">
        <v>1374.3441161999999</v>
      </c>
      <c r="K1479">
        <v>0</v>
      </c>
      <c r="L1479">
        <v>2400</v>
      </c>
      <c r="M1479">
        <v>2400</v>
      </c>
      <c r="N1479">
        <v>0</v>
      </c>
    </row>
    <row r="1480" spans="1:14" x14ac:dyDescent="0.25">
      <c r="A1480">
        <v>986.63110900000004</v>
      </c>
      <c r="B1480" s="1">
        <f>DATE(2013,1,11) + TIME(15,8,47)</f>
        <v>41285.631099537037</v>
      </c>
      <c r="C1480">
        <v>80</v>
      </c>
      <c r="D1480">
        <v>72.925056458</v>
      </c>
      <c r="E1480">
        <v>50</v>
      </c>
      <c r="F1480">
        <v>49.973224639999998</v>
      </c>
      <c r="G1480">
        <v>1299.7243652</v>
      </c>
      <c r="H1480">
        <v>1286.4263916</v>
      </c>
      <c r="I1480">
        <v>1393.9089355000001</v>
      </c>
      <c r="J1480">
        <v>1374.3194579999999</v>
      </c>
      <c r="K1480">
        <v>0</v>
      </c>
      <c r="L1480">
        <v>2400</v>
      </c>
      <c r="M1480">
        <v>2400</v>
      </c>
      <c r="N1480">
        <v>0</v>
      </c>
    </row>
    <row r="1481" spans="1:14" x14ac:dyDescent="0.25">
      <c r="A1481">
        <v>988.86935000000005</v>
      </c>
      <c r="B1481" s="1">
        <f>DATE(2013,1,13) + TIME(20,51,51)</f>
        <v>41287.869340277779</v>
      </c>
      <c r="C1481">
        <v>80</v>
      </c>
      <c r="D1481">
        <v>72.770080566000004</v>
      </c>
      <c r="E1481">
        <v>50</v>
      </c>
      <c r="F1481">
        <v>49.973274230999998</v>
      </c>
      <c r="G1481">
        <v>1299.5443115</v>
      </c>
      <c r="H1481">
        <v>1286.1888428</v>
      </c>
      <c r="I1481">
        <v>1393.8790283000001</v>
      </c>
      <c r="J1481">
        <v>1374.2949219</v>
      </c>
      <c r="K1481">
        <v>0</v>
      </c>
      <c r="L1481">
        <v>2400</v>
      </c>
      <c r="M1481">
        <v>2400</v>
      </c>
      <c r="N1481">
        <v>0</v>
      </c>
    </row>
    <row r="1482" spans="1:14" x14ac:dyDescent="0.25">
      <c r="A1482">
        <v>991.13583200000005</v>
      </c>
      <c r="B1482" s="1">
        <f>DATE(2013,1,16) + TIME(3,15,35)</f>
        <v>41290.135821759257</v>
      </c>
      <c r="C1482">
        <v>80</v>
      </c>
      <c r="D1482">
        <v>72.613777161000002</v>
      </c>
      <c r="E1482">
        <v>50</v>
      </c>
      <c r="F1482">
        <v>49.973320006999998</v>
      </c>
      <c r="G1482">
        <v>1299.3569336</v>
      </c>
      <c r="H1482">
        <v>1285.9407959</v>
      </c>
      <c r="I1482">
        <v>1393.8492432</v>
      </c>
      <c r="J1482">
        <v>1374.2705077999999</v>
      </c>
      <c r="K1482">
        <v>0</v>
      </c>
      <c r="L1482">
        <v>2400</v>
      </c>
      <c r="M1482">
        <v>2400</v>
      </c>
      <c r="N1482">
        <v>0</v>
      </c>
    </row>
    <row r="1483" spans="1:14" x14ac:dyDescent="0.25">
      <c r="A1483">
        <v>993.42911700000002</v>
      </c>
      <c r="B1483" s="1">
        <f>DATE(2013,1,18) + TIME(10,17,55)</f>
        <v>41292.429108796299</v>
      </c>
      <c r="C1483">
        <v>80</v>
      </c>
      <c r="D1483">
        <v>72.456512450999995</v>
      </c>
      <c r="E1483">
        <v>50</v>
      </c>
      <c r="F1483">
        <v>49.973369597999998</v>
      </c>
      <c r="G1483">
        <v>1299.1629639</v>
      </c>
      <c r="H1483">
        <v>1285.6832274999999</v>
      </c>
      <c r="I1483">
        <v>1393.8197021000001</v>
      </c>
      <c r="J1483">
        <v>1374.2462158000001</v>
      </c>
      <c r="K1483">
        <v>0</v>
      </c>
      <c r="L1483">
        <v>2400</v>
      </c>
      <c r="M1483">
        <v>2400</v>
      </c>
      <c r="N1483">
        <v>0</v>
      </c>
    </row>
    <row r="1484" spans="1:14" x14ac:dyDescent="0.25">
      <c r="A1484">
        <v>995.75402699999995</v>
      </c>
      <c r="B1484" s="1">
        <f>DATE(2013,1,20) + TIME(18,5,47)</f>
        <v>41294.754016203704</v>
      </c>
      <c r="C1484">
        <v>80</v>
      </c>
      <c r="D1484">
        <v>72.298194885000001</v>
      </c>
      <c r="E1484">
        <v>50</v>
      </c>
      <c r="F1484">
        <v>49.973419188999998</v>
      </c>
      <c r="G1484">
        <v>1298.9625243999999</v>
      </c>
      <c r="H1484">
        <v>1285.4160156</v>
      </c>
      <c r="I1484">
        <v>1393.7905272999999</v>
      </c>
      <c r="J1484">
        <v>1374.2220459</v>
      </c>
      <c r="K1484">
        <v>0</v>
      </c>
      <c r="L1484">
        <v>2400</v>
      </c>
      <c r="M1484">
        <v>2400</v>
      </c>
      <c r="N1484">
        <v>0</v>
      </c>
    </row>
    <row r="1485" spans="1:14" x14ac:dyDescent="0.25">
      <c r="A1485">
        <v>998.115182</v>
      </c>
      <c r="B1485" s="1">
        <f>DATE(2013,1,23) + TIME(2,45,51)</f>
        <v>41297.115173611113</v>
      </c>
      <c r="C1485">
        <v>80</v>
      </c>
      <c r="D1485">
        <v>72.138374329000001</v>
      </c>
      <c r="E1485">
        <v>50</v>
      </c>
      <c r="F1485">
        <v>49.973468781000001</v>
      </c>
      <c r="G1485">
        <v>1298.7551269999999</v>
      </c>
      <c r="H1485">
        <v>1285.1385498</v>
      </c>
      <c r="I1485">
        <v>1393.7614745999999</v>
      </c>
      <c r="J1485">
        <v>1374.1981201000001</v>
      </c>
      <c r="K1485">
        <v>0</v>
      </c>
      <c r="L1485">
        <v>2400</v>
      </c>
      <c r="M1485">
        <v>2400</v>
      </c>
      <c r="N1485">
        <v>0</v>
      </c>
    </row>
    <row r="1486" spans="1:14" x14ac:dyDescent="0.25">
      <c r="A1486">
        <v>1000.515035</v>
      </c>
      <c r="B1486" s="1">
        <f>DATE(2013,1,25) + TIME(12,21,39)</f>
        <v>41299.515034722222</v>
      </c>
      <c r="C1486">
        <v>80</v>
      </c>
      <c r="D1486">
        <v>71.976554871000005</v>
      </c>
      <c r="E1486">
        <v>50</v>
      </c>
      <c r="F1486">
        <v>49.973518372000001</v>
      </c>
      <c r="G1486">
        <v>1298.5401611</v>
      </c>
      <c r="H1486">
        <v>1284.8500977000001</v>
      </c>
      <c r="I1486">
        <v>1393.7325439000001</v>
      </c>
      <c r="J1486">
        <v>1374.1741943</v>
      </c>
      <c r="K1486">
        <v>0</v>
      </c>
      <c r="L1486">
        <v>2400</v>
      </c>
      <c r="M1486">
        <v>2400</v>
      </c>
      <c r="N1486">
        <v>0</v>
      </c>
    </row>
    <row r="1487" spans="1:14" x14ac:dyDescent="0.25">
      <c r="A1487">
        <v>1002.947278</v>
      </c>
      <c r="B1487" s="1">
        <f>DATE(2013,1,27) + TIME(22,44,4)</f>
        <v>41301.947268518517</v>
      </c>
      <c r="C1487">
        <v>80</v>
      </c>
      <c r="D1487">
        <v>71.812385559000006</v>
      </c>
      <c r="E1487">
        <v>50</v>
      </c>
      <c r="F1487">
        <v>49.973567963000001</v>
      </c>
      <c r="G1487">
        <v>1298.3172606999999</v>
      </c>
      <c r="H1487">
        <v>1284.5500488</v>
      </c>
      <c r="I1487">
        <v>1393.7037353999999</v>
      </c>
      <c r="J1487">
        <v>1374.1502685999999</v>
      </c>
      <c r="K1487">
        <v>0</v>
      </c>
      <c r="L1487">
        <v>2400</v>
      </c>
      <c r="M1487">
        <v>2400</v>
      </c>
      <c r="N1487">
        <v>0</v>
      </c>
    </row>
    <row r="1488" spans="1:14" x14ac:dyDescent="0.25">
      <c r="A1488">
        <v>1005.417028</v>
      </c>
      <c r="B1488" s="1">
        <f>DATE(2013,1,30) + TIME(10,0,31)</f>
        <v>41304.417025462964</v>
      </c>
      <c r="C1488">
        <v>80</v>
      </c>
      <c r="D1488">
        <v>71.645713806000003</v>
      </c>
      <c r="E1488">
        <v>50</v>
      </c>
      <c r="F1488">
        <v>49.973617554</v>
      </c>
      <c r="G1488">
        <v>1298.0869141000001</v>
      </c>
      <c r="H1488">
        <v>1284.2387695</v>
      </c>
      <c r="I1488">
        <v>1393.6751709</v>
      </c>
      <c r="J1488">
        <v>1374.1264647999999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1007</v>
      </c>
      <c r="B1489" s="1">
        <f>DATE(2013,2,1) + TIME(0,0,0)</f>
        <v>41306</v>
      </c>
      <c r="C1489">
        <v>80</v>
      </c>
      <c r="D1489">
        <v>71.494819641000007</v>
      </c>
      <c r="E1489">
        <v>50</v>
      </c>
      <c r="F1489">
        <v>49.973648071</v>
      </c>
      <c r="G1489">
        <v>1297.8514404</v>
      </c>
      <c r="H1489">
        <v>1283.9241943</v>
      </c>
      <c r="I1489">
        <v>1393.6461182</v>
      </c>
      <c r="J1489">
        <v>1374.1021728999999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1009.509083</v>
      </c>
      <c r="B1490" s="1">
        <f>DATE(2013,2,3) + TIME(12,13,4)</f>
        <v>41308.509074074071</v>
      </c>
      <c r="C1490">
        <v>80</v>
      </c>
      <c r="D1490">
        <v>71.357482910000002</v>
      </c>
      <c r="E1490">
        <v>50</v>
      </c>
      <c r="F1490">
        <v>49.973701476999999</v>
      </c>
      <c r="G1490">
        <v>1297.6849365</v>
      </c>
      <c r="H1490">
        <v>1283.6894531</v>
      </c>
      <c r="I1490">
        <v>1393.6285399999999</v>
      </c>
      <c r="J1490">
        <v>1374.0876464999999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1012.072857</v>
      </c>
      <c r="B1491" s="1">
        <f>DATE(2013,2,6) + TIME(1,44,54)</f>
        <v>41311.072847222225</v>
      </c>
      <c r="C1491">
        <v>80</v>
      </c>
      <c r="D1491">
        <v>71.190223693999997</v>
      </c>
      <c r="E1491">
        <v>50</v>
      </c>
      <c r="F1491">
        <v>49.973754882999998</v>
      </c>
      <c r="G1491">
        <v>1297.440918</v>
      </c>
      <c r="H1491">
        <v>1283.3599853999999</v>
      </c>
      <c r="I1491">
        <v>1393.6003418</v>
      </c>
      <c r="J1491">
        <v>1374.0640868999999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1014.657387</v>
      </c>
      <c r="B1492" s="1">
        <f>DATE(2013,2,8) + TIME(15,46,38)</f>
        <v>41313.657384259262</v>
      </c>
      <c r="C1492">
        <v>80</v>
      </c>
      <c r="D1492">
        <v>71.012619018999999</v>
      </c>
      <c r="E1492">
        <v>50</v>
      </c>
      <c r="F1492">
        <v>49.973808288999997</v>
      </c>
      <c r="G1492">
        <v>1297.182251</v>
      </c>
      <c r="H1492">
        <v>1283.0073242000001</v>
      </c>
      <c r="I1492">
        <v>1393.5718993999999</v>
      </c>
      <c r="J1492">
        <v>1374.0402832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1017.269088</v>
      </c>
      <c r="B1493" s="1">
        <f>DATE(2013,2,11) + TIME(6,27,29)</f>
        <v>41316.269085648149</v>
      </c>
      <c r="C1493">
        <v>80</v>
      </c>
      <c r="D1493">
        <v>70.829849242999998</v>
      </c>
      <c r="E1493">
        <v>50</v>
      </c>
      <c r="F1493">
        <v>49.973857879999997</v>
      </c>
      <c r="G1493">
        <v>1296.9154053</v>
      </c>
      <c r="H1493">
        <v>1282.6417236</v>
      </c>
      <c r="I1493">
        <v>1393.5437012</v>
      </c>
      <c r="J1493">
        <v>1374.0166016000001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1019.913742</v>
      </c>
      <c r="B1494" s="1">
        <f>DATE(2013,2,13) + TIME(21,55,47)</f>
        <v>41318.913738425923</v>
      </c>
      <c r="C1494">
        <v>80</v>
      </c>
      <c r="D1494">
        <v>70.642211914000001</v>
      </c>
      <c r="E1494">
        <v>50</v>
      </c>
      <c r="F1494">
        <v>49.973911285</v>
      </c>
      <c r="G1494">
        <v>1296.6408690999999</v>
      </c>
      <c r="H1494">
        <v>1282.2641602000001</v>
      </c>
      <c r="I1494">
        <v>1393.515625</v>
      </c>
      <c r="J1494">
        <v>1373.9929199000001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1022.597031</v>
      </c>
      <c r="B1495" s="1">
        <f>DATE(2013,2,16) + TIME(14,19,43)</f>
        <v>41321.597025462965</v>
      </c>
      <c r="C1495">
        <v>80</v>
      </c>
      <c r="D1495">
        <v>70.448966979999994</v>
      </c>
      <c r="E1495">
        <v>50</v>
      </c>
      <c r="F1495">
        <v>49.973964690999999</v>
      </c>
      <c r="G1495">
        <v>1296.3580322</v>
      </c>
      <c r="H1495">
        <v>1281.8741454999999</v>
      </c>
      <c r="I1495">
        <v>1393.4876709</v>
      </c>
      <c r="J1495">
        <v>1373.9692382999999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1025.321385</v>
      </c>
      <c r="B1496" s="1">
        <f>DATE(2013,2,19) + TIME(7,42,47)</f>
        <v>41324.321377314816</v>
      </c>
      <c r="C1496">
        <v>80</v>
      </c>
      <c r="D1496">
        <v>70.249145507999998</v>
      </c>
      <c r="E1496">
        <v>50</v>
      </c>
      <c r="F1496">
        <v>49.974021911999998</v>
      </c>
      <c r="G1496">
        <v>1296.0665283000001</v>
      </c>
      <c r="H1496">
        <v>1281.4707031</v>
      </c>
      <c r="I1496">
        <v>1393.4594727000001</v>
      </c>
      <c r="J1496">
        <v>1373.9454346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1028.074124</v>
      </c>
      <c r="B1497" s="1">
        <f>DATE(2013,2,22) + TIME(1,46,44)</f>
        <v>41327.074120370373</v>
      </c>
      <c r="C1497">
        <v>80</v>
      </c>
      <c r="D1497">
        <v>70.042137146000002</v>
      </c>
      <c r="E1497">
        <v>50</v>
      </c>
      <c r="F1497">
        <v>49.974075317</v>
      </c>
      <c r="G1497">
        <v>1295.7659911999999</v>
      </c>
      <c r="H1497">
        <v>1281.0534668</v>
      </c>
      <c r="I1497">
        <v>1393.4312743999999</v>
      </c>
      <c r="J1497">
        <v>1373.9215088000001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1030.860062</v>
      </c>
      <c r="B1498" s="1">
        <f>DATE(2013,2,24) + TIME(20,38,29)</f>
        <v>41329.86005787037</v>
      </c>
      <c r="C1498">
        <v>80</v>
      </c>
      <c r="D1498">
        <v>69.82749939</v>
      </c>
      <c r="E1498">
        <v>50</v>
      </c>
      <c r="F1498">
        <v>49.974128723</v>
      </c>
      <c r="G1498">
        <v>1295.4573975000001</v>
      </c>
      <c r="H1498">
        <v>1280.6239014</v>
      </c>
      <c r="I1498">
        <v>1393.4029541</v>
      </c>
      <c r="J1498">
        <v>1373.8974608999999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1033.685455</v>
      </c>
      <c r="B1499" s="1">
        <f>DATE(2013,2,27) + TIME(16,27,3)</f>
        <v>41332.68545138889</v>
      </c>
      <c r="C1499">
        <v>80</v>
      </c>
      <c r="D1499">
        <v>69.604209900000001</v>
      </c>
      <c r="E1499">
        <v>50</v>
      </c>
      <c r="F1499">
        <v>49.974185943999998</v>
      </c>
      <c r="G1499">
        <v>1295.1407471</v>
      </c>
      <c r="H1499">
        <v>1280.1813964999999</v>
      </c>
      <c r="I1499">
        <v>1393.3746338000001</v>
      </c>
      <c r="J1499">
        <v>1373.8734131000001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1035</v>
      </c>
      <c r="B1500" s="1">
        <f>DATE(2013,3,1) + TIME(0,0,0)</f>
        <v>41334</v>
      </c>
      <c r="C1500">
        <v>80</v>
      </c>
      <c r="D1500">
        <v>69.412750243999994</v>
      </c>
      <c r="E1500">
        <v>50</v>
      </c>
      <c r="F1500">
        <v>49.974205017000003</v>
      </c>
      <c r="G1500">
        <v>1294.8236084</v>
      </c>
      <c r="H1500">
        <v>1279.7484131000001</v>
      </c>
      <c r="I1500">
        <v>1393.3454589999999</v>
      </c>
      <c r="J1500">
        <v>1373.8482666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1037.8711479999999</v>
      </c>
      <c r="B1501" s="1">
        <f>DATE(2013,3,3) + TIME(20,54,27)</f>
        <v>41336.871145833335</v>
      </c>
      <c r="C1501">
        <v>80</v>
      </c>
      <c r="D1501">
        <v>69.243759155000006</v>
      </c>
      <c r="E1501">
        <v>50</v>
      </c>
      <c r="F1501">
        <v>49.974266051999997</v>
      </c>
      <c r="G1501">
        <v>1294.6459961</v>
      </c>
      <c r="H1501">
        <v>1279.4797363</v>
      </c>
      <c r="I1501">
        <v>1393.3330077999999</v>
      </c>
      <c r="J1501">
        <v>1373.8377685999999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1040.8148779999999</v>
      </c>
      <c r="B1502" s="1">
        <f>DATE(2013,3,6) + TIME(19,33,25)</f>
        <v>41339.814872685187</v>
      </c>
      <c r="C1502">
        <v>80</v>
      </c>
      <c r="D1502">
        <v>69.007850646999998</v>
      </c>
      <c r="E1502">
        <v>50</v>
      </c>
      <c r="F1502">
        <v>49.974323273000003</v>
      </c>
      <c r="G1502">
        <v>1294.3221435999999</v>
      </c>
      <c r="H1502">
        <v>1279.0296631000001</v>
      </c>
      <c r="I1502">
        <v>1393.3043213000001</v>
      </c>
      <c r="J1502">
        <v>1373.8131103999999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1043.804347</v>
      </c>
      <c r="B1503" s="1">
        <f>DATE(2013,3,9) + TIME(19,18,15)</f>
        <v>41342.804340277777</v>
      </c>
      <c r="C1503">
        <v>80</v>
      </c>
      <c r="D1503">
        <v>68.747184752999999</v>
      </c>
      <c r="E1503">
        <v>50</v>
      </c>
      <c r="F1503">
        <v>49.974376677999999</v>
      </c>
      <c r="G1503">
        <v>1293.9757079999999</v>
      </c>
      <c r="H1503">
        <v>1278.5413818</v>
      </c>
      <c r="I1503">
        <v>1393.2750243999999</v>
      </c>
      <c r="J1503">
        <v>1373.7879639</v>
      </c>
      <c r="K1503">
        <v>0</v>
      </c>
      <c r="L1503">
        <v>2400</v>
      </c>
      <c r="M1503">
        <v>2400</v>
      </c>
      <c r="N1503">
        <v>0</v>
      </c>
    </row>
    <row r="1504" spans="1:14" x14ac:dyDescent="0.25">
      <c r="A1504">
        <v>1046.833883</v>
      </c>
      <c r="B1504" s="1">
        <f>DATE(2013,3,12) + TIME(20,0,47)</f>
        <v>41345.833877314813</v>
      </c>
      <c r="C1504">
        <v>80</v>
      </c>
      <c r="D1504">
        <v>68.470809936999999</v>
      </c>
      <c r="E1504">
        <v>50</v>
      </c>
      <c r="F1504">
        <v>49.974433898999997</v>
      </c>
      <c r="G1504">
        <v>1293.6177978999999</v>
      </c>
      <c r="H1504">
        <v>1278.0343018000001</v>
      </c>
      <c r="I1504">
        <v>1393.2454834</v>
      </c>
      <c r="J1504">
        <v>1373.7624512</v>
      </c>
      <c r="K1504">
        <v>0</v>
      </c>
      <c r="L1504">
        <v>2400</v>
      </c>
      <c r="M1504">
        <v>2400</v>
      </c>
      <c r="N1504">
        <v>0</v>
      </c>
    </row>
    <row r="1505" spans="1:14" x14ac:dyDescent="0.25">
      <c r="A1505">
        <v>1049.9114509999999</v>
      </c>
      <c r="B1505" s="1">
        <f>DATE(2013,3,15) + TIME(21,52,29)</f>
        <v>41348.911446759259</v>
      </c>
      <c r="C1505">
        <v>80</v>
      </c>
      <c r="D1505">
        <v>68.179580688000001</v>
      </c>
      <c r="E1505">
        <v>50</v>
      </c>
      <c r="F1505">
        <v>49.974494933999999</v>
      </c>
      <c r="G1505">
        <v>1293.2510986</v>
      </c>
      <c r="H1505">
        <v>1277.5125731999999</v>
      </c>
      <c r="I1505">
        <v>1393.2155762</v>
      </c>
      <c r="J1505">
        <v>1373.7365723</v>
      </c>
      <c r="K1505">
        <v>0</v>
      </c>
      <c r="L1505">
        <v>2400</v>
      </c>
      <c r="M1505">
        <v>2400</v>
      </c>
      <c r="N1505">
        <v>0</v>
      </c>
    </row>
    <row r="1506" spans="1:14" x14ac:dyDescent="0.25">
      <c r="A1506">
        <v>1053.0292910000001</v>
      </c>
      <c r="B1506" s="1">
        <f>DATE(2013,3,19) + TIME(0,42,10)</f>
        <v>41352.029282407406</v>
      </c>
      <c r="C1506">
        <v>80</v>
      </c>
      <c r="D1506">
        <v>67.872627257999994</v>
      </c>
      <c r="E1506">
        <v>50</v>
      </c>
      <c r="F1506">
        <v>49.974552154999998</v>
      </c>
      <c r="G1506">
        <v>1292.8756103999999</v>
      </c>
      <c r="H1506">
        <v>1276.9763184000001</v>
      </c>
      <c r="I1506">
        <v>1393.1851807</v>
      </c>
      <c r="J1506">
        <v>1373.7103271000001</v>
      </c>
      <c r="K1506">
        <v>0</v>
      </c>
      <c r="L1506">
        <v>2400</v>
      </c>
      <c r="M1506">
        <v>2400</v>
      </c>
      <c r="N1506">
        <v>0</v>
      </c>
    </row>
    <row r="1507" spans="1:14" x14ac:dyDescent="0.25">
      <c r="A1507">
        <v>1056.195365</v>
      </c>
      <c r="B1507" s="1">
        <f>DATE(2013,3,22) + TIME(4,41,19)</f>
        <v>41355.1953587963</v>
      </c>
      <c r="C1507">
        <v>80</v>
      </c>
      <c r="D1507">
        <v>67.549385071000003</v>
      </c>
      <c r="E1507">
        <v>50</v>
      </c>
      <c r="F1507">
        <v>49.974609375</v>
      </c>
      <c r="G1507">
        <v>1292.4921875</v>
      </c>
      <c r="H1507">
        <v>1276.4268798999999</v>
      </c>
      <c r="I1507">
        <v>1393.1544189000001</v>
      </c>
      <c r="J1507">
        <v>1373.6835937999999</v>
      </c>
      <c r="K1507">
        <v>0</v>
      </c>
      <c r="L1507">
        <v>2400</v>
      </c>
      <c r="M1507">
        <v>2400</v>
      </c>
      <c r="N1507">
        <v>0</v>
      </c>
    </row>
    <row r="1508" spans="1:14" x14ac:dyDescent="0.25">
      <c r="A1508">
        <v>1059.4188449999999</v>
      </c>
      <c r="B1508" s="1">
        <f>DATE(2013,3,25) + TIME(10,3,8)</f>
        <v>41358.418842592589</v>
      </c>
      <c r="C1508">
        <v>80</v>
      </c>
      <c r="D1508">
        <v>67.208419800000001</v>
      </c>
      <c r="E1508">
        <v>50</v>
      </c>
      <c r="F1508">
        <v>49.974670410000002</v>
      </c>
      <c r="G1508">
        <v>1292.1007079999999</v>
      </c>
      <c r="H1508">
        <v>1275.8636475000001</v>
      </c>
      <c r="I1508">
        <v>1393.1232910000001</v>
      </c>
      <c r="J1508">
        <v>1373.6563721</v>
      </c>
      <c r="K1508">
        <v>0</v>
      </c>
      <c r="L1508">
        <v>2400</v>
      </c>
      <c r="M1508">
        <v>2400</v>
      </c>
      <c r="N1508">
        <v>0</v>
      </c>
    </row>
    <row r="1509" spans="1:14" x14ac:dyDescent="0.25">
      <c r="A1509">
        <v>1062.708983</v>
      </c>
      <c r="B1509" s="1">
        <f>DATE(2013,3,28) + TIME(17,0,56)</f>
        <v>41361.708981481483</v>
      </c>
      <c r="C1509">
        <v>80</v>
      </c>
      <c r="D1509">
        <v>66.847969054999993</v>
      </c>
      <c r="E1509">
        <v>50</v>
      </c>
      <c r="F1509">
        <v>49.974727631</v>
      </c>
      <c r="G1509">
        <v>1291.7004394999999</v>
      </c>
      <c r="H1509">
        <v>1275.2856445</v>
      </c>
      <c r="I1509">
        <v>1393.0914307</v>
      </c>
      <c r="J1509">
        <v>1373.6285399999999</v>
      </c>
      <c r="K1509">
        <v>0</v>
      </c>
      <c r="L1509">
        <v>2400</v>
      </c>
      <c r="M1509">
        <v>2400</v>
      </c>
      <c r="N1509">
        <v>0</v>
      </c>
    </row>
    <row r="1510" spans="1:14" x14ac:dyDescent="0.25">
      <c r="A1510">
        <v>1066</v>
      </c>
      <c r="B1510" s="1">
        <f>DATE(2013,4,1) + TIME(0,0,0)</f>
        <v>41365</v>
      </c>
      <c r="C1510">
        <v>80</v>
      </c>
      <c r="D1510">
        <v>66.467597960999996</v>
      </c>
      <c r="E1510">
        <v>50</v>
      </c>
      <c r="F1510">
        <v>49.974788666000002</v>
      </c>
      <c r="G1510">
        <v>1291.2908935999999</v>
      </c>
      <c r="H1510">
        <v>1274.6925048999999</v>
      </c>
      <c r="I1510">
        <v>1393.0587158000001</v>
      </c>
      <c r="J1510">
        <v>1373.5998535000001</v>
      </c>
      <c r="K1510">
        <v>0</v>
      </c>
      <c r="L1510">
        <v>2400</v>
      </c>
      <c r="M1510">
        <v>2400</v>
      </c>
      <c r="N1510">
        <v>0</v>
      </c>
    </row>
    <row r="1511" spans="1:14" x14ac:dyDescent="0.25">
      <c r="A1511">
        <v>1069.3520390000001</v>
      </c>
      <c r="B1511" s="1">
        <f>DATE(2013,4,4) + TIME(8,26,56)</f>
        <v>41368.352037037039</v>
      </c>
      <c r="C1511">
        <v>80</v>
      </c>
      <c r="D1511">
        <v>66.071060181000007</v>
      </c>
      <c r="E1511">
        <v>50</v>
      </c>
      <c r="F1511">
        <v>49.974849700999997</v>
      </c>
      <c r="G1511">
        <v>1290.8795166</v>
      </c>
      <c r="H1511">
        <v>1274.09375</v>
      </c>
      <c r="I1511">
        <v>1393.026001</v>
      </c>
      <c r="J1511">
        <v>1373.5709228999999</v>
      </c>
      <c r="K1511">
        <v>0</v>
      </c>
      <c r="L1511">
        <v>2400</v>
      </c>
      <c r="M1511">
        <v>2400</v>
      </c>
      <c r="N1511">
        <v>0</v>
      </c>
    </row>
    <row r="1512" spans="1:14" x14ac:dyDescent="0.25">
      <c r="A1512">
        <v>1072.829774</v>
      </c>
      <c r="B1512" s="1">
        <f>DATE(2013,4,7) + TIME(19,54,52)</f>
        <v>41371.829768518517</v>
      </c>
      <c r="C1512">
        <v>80</v>
      </c>
      <c r="D1512">
        <v>65.652839661000002</v>
      </c>
      <c r="E1512">
        <v>50</v>
      </c>
      <c r="F1512">
        <v>49.974910735999998</v>
      </c>
      <c r="G1512">
        <v>1290.4611815999999</v>
      </c>
      <c r="H1512">
        <v>1273.4824219</v>
      </c>
      <c r="I1512">
        <v>1392.9924315999999</v>
      </c>
      <c r="J1512">
        <v>1373.5412598</v>
      </c>
      <c r="K1512">
        <v>0</v>
      </c>
      <c r="L1512">
        <v>2400</v>
      </c>
      <c r="M1512">
        <v>2400</v>
      </c>
      <c r="N1512">
        <v>0</v>
      </c>
    </row>
    <row r="1513" spans="1:14" x14ac:dyDescent="0.25">
      <c r="A1513">
        <v>1076.3750709999999</v>
      </c>
      <c r="B1513" s="1">
        <f>DATE(2013,4,11) + TIME(9,0,6)</f>
        <v>41375.375069444446</v>
      </c>
      <c r="C1513">
        <v>80</v>
      </c>
      <c r="D1513">
        <v>65.206771850999999</v>
      </c>
      <c r="E1513">
        <v>50</v>
      </c>
      <c r="F1513">
        <v>49.974971771</v>
      </c>
      <c r="G1513">
        <v>1290.0288086</v>
      </c>
      <c r="H1513">
        <v>1272.8492432</v>
      </c>
      <c r="I1513">
        <v>1392.9573975000001</v>
      </c>
      <c r="J1513">
        <v>1373.5102539</v>
      </c>
      <c r="K1513">
        <v>0</v>
      </c>
      <c r="L1513">
        <v>2400</v>
      </c>
      <c r="M1513">
        <v>2400</v>
      </c>
      <c r="N1513">
        <v>0</v>
      </c>
    </row>
    <row r="1514" spans="1:14" x14ac:dyDescent="0.25">
      <c r="A1514">
        <v>1079.955281</v>
      </c>
      <c r="B1514" s="1">
        <f>DATE(2013,4,14) + TIME(22,55,36)</f>
        <v>41378.955277777779</v>
      </c>
      <c r="C1514">
        <v>80</v>
      </c>
      <c r="D1514">
        <v>64.737785338999998</v>
      </c>
      <c r="E1514">
        <v>50</v>
      </c>
      <c r="F1514">
        <v>49.975036621000001</v>
      </c>
      <c r="G1514">
        <v>1289.5891113</v>
      </c>
      <c r="H1514">
        <v>1272.2022704999999</v>
      </c>
      <c r="I1514">
        <v>1392.9215088000001</v>
      </c>
      <c r="J1514">
        <v>1373.4782714999999</v>
      </c>
      <c r="K1514">
        <v>0</v>
      </c>
      <c r="L1514">
        <v>2400</v>
      </c>
      <c r="M1514">
        <v>2400</v>
      </c>
      <c r="N1514">
        <v>0</v>
      </c>
    </row>
    <row r="1515" spans="1:14" x14ac:dyDescent="0.25">
      <c r="A1515">
        <v>1083.594613</v>
      </c>
      <c r="B1515" s="1">
        <f>DATE(2013,4,18) + TIME(14,16,14)</f>
        <v>41382.594606481478</v>
      </c>
      <c r="C1515">
        <v>80</v>
      </c>
      <c r="D1515">
        <v>64.24937439</v>
      </c>
      <c r="E1515">
        <v>50</v>
      </c>
      <c r="F1515">
        <v>49.975097656000003</v>
      </c>
      <c r="G1515">
        <v>1289.1467285000001</v>
      </c>
      <c r="H1515">
        <v>1271.5484618999999</v>
      </c>
      <c r="I1515">
        <v>1392.8848877</v>
      </c>
      <c r="J1515">
        <v>1373.4455565999999</v>
      </c>
      <c r="K1515">
        <v>0</v>
      </c>
      <c r="L1515">
        <v>2400</v>
      </c>
      <c r="M1515">
        <v>2400</v>
      </c>
      <c r="N1515">
        <v>0</v>
      </c>
    </row>
    <row r="1516" spans="1:14" x14ac:dyDescent="0.25">
      <c r="A1516">
        <v>1087.2874589999999</v>
      </c>
      <c r="B1516" s="1">
        <f>DATE(2013,4,22) + TIME(6,53,56)</f>
        <v>41386.287453703706</v>
      </c>
      <c r="C1516">
        <v>80</v>
      </c>
      <c r="D1516">
        <v>63.740337371999999</v>
      </c>
      <c r="E1516">
        <v>50</v>
      </c>
      <c r="F1516">
        <v>49.975162505999997</v>
      </c>
      <c r="G1516">
        <v>1288.7006836</v>
      </c>
      <c r="H1516">
        <v>1270.8867187999999</v>
      </c>
      <c r="I1516">
        <v>1392.8472899999999</v>
      </c>
      <c r="J1516">
        <v>1373.4119873</v>
      </c>
      <c r="K1516">
        <v>0</v>
      </c>
      <c r="L1516">
        <v>2400</v>
      </c>
      <c r="M1516">
        <v>2400</v>
      </c>
      <c r="N1516">
        <v>0</v>
      </c>
    </row>
    <row r="1517" spans="1:14" x14ac:dyDescent="0.25">
      <c r="A1517">
        <v>1091.054564</v>
      </c>
      <c r="B1517" s="1">
        <f>DATE(2013,4,26) + TIME(1,18,34)</f>
        <v>41390.054560185185</v>
      </c>
      <c r="C1517">
        <v>80</v>
      </c>
      <c r="D1517">
        <v>63.211200714</v>
      </c>
      <c r="E1517">
        <v>50</v>
      </c>
      <c r="F1517">
        <v>49.975227355999998</v>
      </c>
      <c r="G1517">
        <v>1288.2520752</v>
      </c>
      <c r="H1517">
        <v>1270.2183838000001</v>
      </c>
      <c r="I1517">
        <v>1392.8089600000001</v>
      </c>
      <c r="J1517">
        <v>1373.3774414</v>
      </c>
      <c r="K1517">
        <v>0</v>
      </c>
      <c r="L1517">
        <v>2400</v>
      </c>
      <c r="M1517">
        <v>2400</v>
      </c>
      <c r="N1517">
        <v>0</v>
      </c>
    </row>
    <row r="1518" spans="1:14" x14ac:dyDescent="0.25">
      <c r="A1518">
        <v>1094.9085660000001</v>
      </c>
      <c r="B1518" s="1">
        <f>DATE(2013,4,29) + TIME(21,48,20)</f>
        <v>41393.908564814818</v>
      </c>
      <c r="C1518">
        <v>80</v>
      </c>
      <c r="D1518">
        <v>62.66078186</v>
      </c>
      <c r="E1518">
        <v>50</v>
      </c>
      <c r="F1518">
        <v>49.975292205999999</v>
      </c>
      <c r="G1518">
        <v>1287.7999268000001</v>
      </c>
      <c r="H1518">
        <v>1269.5423584</v>
      </c>
      <c r="I1518">
        <v>1392.7694091999999</v>
      </c>
      <c r="J1518">
        <v>1373.3417969</v>
      </c>
      <c r="K1518">
        <v>0</v>
      </c>
      <c r="L1518">
        <v>2400</v>
      </c>
      <c r="M1518">
        <v>2400</v>
      </c>
      <c r="N1518">
        <v>0</v>
      </c>
    </row>
    <row r="1519" spans="1:14" x14ac:dyDescent="0.25">
      <c r="A1519">
        <v>1096</v>
      </c>
      <c r="B1519" s="1">
        <f>DATE(2013,5,1) + TIME(0,0,0)</f>
        <v>41395</v>
      </c>
      <c r="C1519">
        <v>80</v>
      </c>
      <c r="D1519">
        <v>62.232810974000003</v>
      </c>
      <c r="E1519">
        <v>50</v>
      </c>
      <c r="F1519">
        <v>49.975307465</v>
      </c>
      <c r="G1519">
        <v>1287.3552245999999</v>
      </c>
      <c r="H1519">
        <v>1268.9183350000001</v>
      </c>
      <c r="I1519">
        <v>1392.7279053</v>
      </c>
      <c r="J1519">
        <v>1373.3041992000001</v>
      </c>
      <c r="K1519">
        <v>0</v>
      </c>
      <c r="L1519">
        <v>2400</v>
      </c>
      <c r="M1519">
        <v>2400</v>
      </c>
      <c r="N1519">
        <v>0</v>
      </c>
    </row>
    <row r="1520" spans="1:14" x14ac:dyDescent="0.25">
      <c r="A1520">
        <v>1096.0000010000001</v>
      </c>
      <c r="B1520" s="1">
        <f>DATE(2013,5,1) + TIME(0,0,0)</f>
        <v>41395</v>
      </c>
      <c r="C1520">
        <v>80</v>
      </c>
      <c r="D1520">
        <v>62.233009338000002</v>
      </c>
      <c r="E1520">
        <v>50</v>
      </c>
      <c r="F1520">
        <v>49.975170134999999</v>
      </c>
      <c r="G1520">
        <v>1307.2706298999999</v>
      </c>
      <c r="H1520">
        <v>1288.3840332</v>
      </c>
      <c r="I1520">
        <v>1372.4278564000001</v>
      </c>
      <c r="J1520">
        <v>1353.5107422000001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1096.000004</v>
      </c>
      <c r="B1521" s="1">
        <f>DATE(2013,5,1) + TIME(0,0,0)</f>
        <v>41395</v>
      </c>
      <c r="C1521">
        <v>80</v>
      </c>
      <c r="D1521">
        <v>62.233531952</v>
      </c>
      <c r="E1521">
        <v>50</v>
      </c>
      <c r="F1521">
        <v>49.974811553999999</v>
      </c>
      <c r="G1521">
        <v>1309.6604004000001</v>
      </c>
      <c r="H1521">
        <v>1291.0495605000001</v>
      </c>
      <c r="I1521">
        <v>1370.0908202999999</v>
      </c>
      <c r="J1521">
        <v>1351.1730957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1096.0000130000001</v>
      </c>
      <c r="B1522" s="1">
        <f>DATE(2013,5,1) + TIME(0,0,1)</f>
        <v>41395.000011574077</v>
      </c>
      <c r="C1522">
        <v>80</v>
      </c>
      <c r="D1522">
        <v>62.234714508000003</v>
      </c>
      <c r="E1522">
        <v>50</v>
      </c>
      <c r="F1522">
        <v>49.974010468000003</v>
      </c>
      <c r="G1522">
        <v>1314.9414062000001</v>
      </c>
      <c r="H1522">
        <v>1296.7073975000001</v>
      </c>
      <c r="I1522">
        <v>1364.8510742000001</v>
      </c>
      <c r="J1522">
        <v>1345.932251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1096.0000399999999</v>
      </c>
      <c r="B1523" s="1">
        <f>DATE(2013,5,1) + TIME(0,0,3)</f>
        <v>41395.000034722223</v>
      </c>
      <c r="C1523">
        <v>80</v>
      </c>
      <c r="D1523">
        <v>62.236961364999999</v>
      </c>
      <c r="E1523">
        <v>50</v>
      </c>
      <c r="F1523">
        <v>49.972667694000002</v>
      </c>
      <c r="G1523">
        <v>1323.6488036999999</v>
      </c>
      <c r="H1523">
        <v>1305.5722656</v>
      </c>
      <c r="I1523">
        <v>1356.1021728999999</v>
      </c>
      <c r="J1523">
        <v>1337.1831055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1096.000121</v>
      </c>
      <c r="B1524" s="1">
        <f>DATE(2013,5,1) + TIME(0,0,10)</f>
        <v>41395.000115740739</v>
      </c>
      <c r="C1524">
        <v>80</v>
      </c>
      <c r="D1524">
        <v>62.241081238</v>
      </c>
      <c r="E1524">
        <v>50</v>
      </c>
      <c r="F1524">
        <v>49.971023559999999</v>
      </c>
      <c r="G1524">
        <v>1334.1893310999999</v>
      </c>
      <c r="H1524">
        <v>1316.0069579999999</v>
      </c>
      <c r="I1524">
        <v>1345.4259033000001</v>
      </c>
      <c r="J1524">
        <v>1326.5119629000001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1096.000364</v>
      </c>
      <c r="B1525" s="1">
        <f>DATE(2013,5,1) + TIME(0,0,31)</f>
        <v>41395.000358796293</v>
      </c>
      <c r="C1525">
        <v>80</v>
      </c>
      <c r="D1525">
        <v>62.250179291000002</v>
      </c>
      <c r="E1525">
        <v>50</v>
      </c>
      <c r="F1525">
        <v>49.969306946000003</v>
      </c>
      <c r="G1525">
        <v>1345.1446533000001</v>
      </c>
      <c r="H1525">
        <v>1326.8017577999999</v>
      </c>
      <c r="I1525">
        <v>1334.4387207</v>
      </c>
      <c r="J1525">
        <v>1315.5335693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1096.0010930000001</v>
      </c>
      <c r="B1526" s="1">
        <f>DATE(2013,5,1) + TIME(0,1,34)</f>
        <v>41395.001087962963</v>
      </c>
      <c r="C1526">
        <v>80</v>
      </c>
      <c r="D1526">
        <v>62.274192810000002</v>
      </c>
      <c r="E1526">
        <v>50</v>
      </c>
      <c r="F1526">
        <v>49.967529296999999</v>
      </c>
      <c r="G1526">
        <v>1356.3402100000001</v>
      </c>
      <c r="H1526">
        <v>1337.8237305</v>
      </c>
      <c r="I1526">
        <v>1323.4636230000001</v>
      </c>
      <c r="J1526">
        <v>1304.5695800999999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1096.0032799999999</v>
      </c>
      <c r="B1527" s="1">
        <f>DATE(2013,5,1) + TIME(0,4,43)</f>
        <v>41395.003275462965</v>
      </c>
      <c r="C1527">
        <v>80</v>
      </c>
      <c r="D1527">
        <v>62.343276977999999</v>
      </c>
      <c r="E1527">
        <v>50</v>
      </c>
      <c r="F1527">
        <v>49.965549469000003</v>
      </c>
      <c r="G1527">
        <v>1368.0279541</v>
      </c>
      <c r="H1527">
        <v>1349.3076172000001</v>
      </c>
      <c r="I1527">
        <v>1312.4636230000001</v>
      </c>
      <c r="J1527">
        <v>1293.5562743999999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1096.0098410000001</v>
      </c>
      <c r="B1528" s="1">
        <f>DATE(2013,5,1) + TIME(0,14,10)</f>
        <v>41395.009837962964</v>
      </c>
      <c r="C1528">
        <v>80</v>
      </c>
      <c r="D1528">
        <v>62.546722412000001</v>
      </c>
      <c r="E1528">
        <v>50</v>
      </c>
      <c r="F1528">
        <v>49.963043212999999</v>
      </c>
      <c r="G1528">
        <v>1379.5697021000001</v>
      </c>
      <c r="H1528">
        <v>1360.6931152</v>
      </c>
      <c r="I1528">
        <v>1301.8389893000001</v>
      </c>
      <c r="J1528">
        <v>1282.8729248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1096.029524</v>
      </c>
      <c r="B1529" s="1">
        <f>DATE(2013,5,1) + TIME(0,42,30)</f>
        <v>41395.029513888891</v>
      </c>
      <c r="C1529">
        <v>80</v>
      </c>
      <c r="D1529">
        <v>63.136104584000002</v>
      </c>
      <c r="E1529">
        <v>50</v>
      </c>
      <c r="F1529">
        <v>49.959175109999997</v>
      </c>
      <c r="G1529">
        <v>1388.5964355000001</v>
      </c>
      <c r="H1529">
        <v>1369.7669678</v>
      </c>
      <c r="I1529">
        <v>1293.5377197</v>
      </c>
      <c r="J1529">
        <v>1274.5173339999999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1096.051215</v>
      </c>
      <c r="B1530" s="1">
        <f>DATE(2013,5,1) + TIME(1,13,44)</f>
        <v>41395.051203703704</v>
      </c>
      <c r="C1530">
        <v>80</v>
      </c>
      <c r="D1530">
        <v>63.761821746999999</v>
      </c>
      <c r="E1530">
        <v>50</v>
      </c>
      <c r="F1530">
        <v>49.955871582</v>
      </c>
      <c r="G1530">
        <v>1391.902832</v>
      </c>
      <c r="H1530">
        <v>1373.2072754000001</v>
      </c>
      <c r="I1530">
        <v>1290.6436768000001</v>
      </c>
      <c r="J1530">
        <v>1271.605957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1096.073406</v>
      </c>
      <c r="B1531" s="1">
        <f>DATE(2013,5,1) + TIME(1,45,42)</f>
        <v>41395.07340277778</v>
      </c>
      <c r="C1531">
        <v>80</v>
      </c>
      <c r="D1531">
        <v>64.377975464000002</v>
      </c>
      <c r="E1531">
        <v>50</v>
      </c>
      <c r="F1531">
        <v>49.952819824000002</v>
      </c>
      <c r="G1531">
        <v>1393.1441649999999</v>
      </c>
      <c r="H1531">
        <v>1374.598999</v>
      </c>
      <c r="I1531">
        <v>1289.6606445</v>
      </c>
      <c r="J1531">
        <v>1270.6169434000001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1096.096057</v>
      </c>
      <c r="B1532" s="1">
        <f>DATE(2013,5,1) + TIME(2,18,19)</f>
        <v>41395.096053240741</v>
      </c>
      <c r="C1532">
        <v>80</v>
      </c>
      <c r="D1532">
        <v>64.982841492000006</v>
      </c>
      <c r="E1532">
        <v>50</v>
      </c>
      <c r="F1532">
        <v>49.949832915999998</v>
      </c>
      <c r="G1532">
        <v>1393.5809326000001</v>
      </c>
      <c r="H1532">
        <v>1375.1870117000001</v>
      </c>
      <c r="I1532">
        <v>1289.3535156</v>
      </c>
      <c r="J1532">
        <v>1270.3074951000001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1096.119173</v>
      </c>
      <c r="B1533" s="1">
        <f>DATE(2013,5,1) + TIME(2,51,36)</f>
        <v>41395.119166666664</v>
      </c>
      <c r="C1533">
        <v>80</v>
      </c>
      <c r="D1533">
        <v>65.576156616000006</v>
      </c>
      <c r="E1533">
        <v>50</v>
      </c>
      <c r="F1533">
        <v>49.946849823000001</v>
      </c>
      <c r="G1533">
        <v>1393.6723632999999</v>
      </c>
      <c r="H1533">
        <v>1375.4265137</v>
      </c>
      <c r="I1533">
        <v>1289.2844238</v>
      </c>
      <c r="J1533">
        <v>1270.2374268000001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1096.1427719999999</v>
      </c>
      <c r="B1534" s="1">
        <f>DATE(2013,5,1) + TIME(3,25,35)</f>
        <v>41395.142766203702</v>
      </c>
      <c r="C1534">
        <v>80</v>
      </c>
      <c r="D1534">
        <v>66.157699585000003</v>
      </c>
      <c r="E1534">
        <v>50</v>
      </c>
      <c r="F1534">
        <v>49.943843842</v>
      </c>
      <c r="G1534">
        <v>1393.6072998</v>
      </c>
      <c r="H1534">
        <v>1375.5050048999999</v>
      </c>
      <c r="I1534">
        <v>1289.2912598</v>
      </c>
      <c r="J1534">
        <v>1270.2437743999999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1096.1668749999999</v>
      </c>
      <c r="B1535" s="1">
        <f>DATE(2013,5,1) + TIME(4,0,17)</f>
        <v>41395.166863425926</v>
      </c>
      <c r="C1535">
        <v>80</v>
      </c>
      <c r="D1535">
        <v>66.727500915999997</v>
      </c>
      <c r="E1535">
        <v>50</v>
      </c>
      <c r="F1535">
        <v>49.940807343000003</v>
      </c>
      <c r="G1535">
        <v>1393.4693603999999</v>
      </c>
      <c r="H1535">
        <v>1375.5057373</v>
      </c>
      <c r="I1535">
        <v>1289.3156738</v>
      </c>
      <c r="J1535">
        <v>1270.2679443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1096.191503</v>
      </c>
      <c r="B1536" s="1">
        <f>DATE(2013,5,1) + TIME(4,35,45)</f>
        <v>41395.191493055558</v>
      </c>
      <c r="C1536">
        <v>80</v>
      </c>
      <c r="D1536">
        <v>67.285484314000001</v>
      </c>
      <c r="E1536">
        <v>50</v>
      </c>
      <c r="F1536">
        <v>49.937736510999997</v>
      </c>
      <c r="G1536">
        <v>1393.2974853999999</v>
      </c>
      <c r="H1536">
        <v>1375.4676514</v>
      </c>
      <c r="I1536">
        <v>1289.3389893000001</v>
      </c>
      <c r="J1536">
        <v>1270.2908935999999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1096.2166910000001</v>
      </c>
      <c r="B1537" s="1">
        <f>DATE(2013,5,1) + TIME(5,12,2)</f>
        <v>41395.216689814813</v>
      </c>
      <c r="C1537">
        <v>80</v>
      </c>
      <c r="D1537">
        <v>67.831871032999999</v>
      </c>
      <c r="E1537">
        <v>50</v>
      </c>
      <c r="F1537">
        <v>49.934623717999997</v>
      </c>
      <c r="G1537">
        <v>1393.1105957</v>
      </c>
      <c r="H1537">
        <v>1375.4097899999999</v>
      </c>
      <c r="I1537">
        <v>1289.3565673999999</v>
      </c>
      <c r="J1537">
        <v>1270.3082274999999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1096.2424719999999</v>
      </c>
      <c r="B1538" s="1">
        <f>DATE(2013,5,1) + TIME(5,49,9)</f>
        <v>41395.242465277777</v>
      </c>
      <c r="C1538">
        <v>80</v>
      </c>
      <c r="D1538">
        <v>68.366752625000004</v>
      </c>
      <c r="E1538">
        <v>50</v>
      </c>
      <c r="F1538">
        <v>49.931465148999997</v>
      </c>
      <c r="G1538">
        <v>1392.9182129000001</v>
      </c>
      <c r="H1538">
        <v>1375.3420410000001</v>
      </c>
      <c r="I1538">
        <v>1289.3685303</v>
      </c>
      <c r="J1538">
        <v>1270.3199463000001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1096.2688780000001</v>
      </c>
      <c r="B1539" s="1">
        <f>DATE(2013,5,1) + TIME(6,27,11)</f>
        <v>41395.268877314818</v>
      </c>
      <c r="C1539">
        <v>80</v>
      </c>
      <c r="D1539">
        <v>68.890197753999999</v>
      </c>
      <c r="E1539">
        <v>50</v>
      </c>
      <c r="F1539">
        <v>49.928260803000001</v>
      </c>
      <c r="G1539">
        <v>1392.7255858999999</v>
      </c>
      <c r="H1539">
        <v>1375.2695312000001</v>
      </c>
      <c r="I1539">
        <v>1289.3763428</v>
      </c>
      <c r="J1539">
        <v>1270.3275146000001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1096.2959470000001</v>
      </c>
      <c r="B1540" s="1">
        <f>DATE(2013,5,1) + TIME(7,6,9)</f>
        <v>41395.295937499999</v>
      </c>
      <c r="C1540">
        <v>80</v>
      </c>
      <c r="D1540">
        <v>69.402259826999995</v>
      </c>
      <c r="E1540">
        <v>50</v>
      </c>
      <c r="F1540">
        <v>49.925010681000003</v>
      </c>
      <c r="G1540">
        <v>1392.5352783000001</v>
      </c>
      <c r="H1540">
        <v>1375.1950684000001</v>
      </c>
      <c r="I1540">
        <v>1289.3812256000001</v>
      </c>
      <c r="J1540">
        <v>1270.3320312000001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1096.3237200000001</v>
      </c>
      <c r="B1541" s="1">
        <f>DATE(2013,5,1) + TIME(7,46,9)</f>
        <v>41395.32371527778</v>
      </c>
      <c r="C1541">
        <v>80</v>
      </c>
      <c r="D1541">
        <v>69.902999878000003</v>
      </c>
      <c r="E1541">
        <v>50</v>
      </c>
      <c r="F1541">
        <v>49.921707153</v>
      </c>
      <c r="G1541">
        <v>1392.3486327999999</v>
      </c>
      <c r="H1541">
        <v>1375.1202393000001</v>
      </c>
      <c r="I1541">
        <v>1289.3841553</v>
      </c>
      <c r="J1541">
        <v>1270.3347168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1096.3522390000001</v>
      </c>
      <c r="B1542" s="1">
        <f>DATE(2013,5,1) + TIME(8,27,13)</f>
        <v>41395.352233796293</v>
      </c>
      <c r="C1542">
        <v>80</v>
      </c>
      <c r="D1542">
        <v>70.392105103000006</v>
      </c>
      <c r="E1542">
        <v>50</v>
      </c>
      <c r="F1542">
        <v>49.918346405000001</v>
      </c>
      <c r="G1542">
        <v>1392.1663818</v>
      </c>
      <c r="H1542">
        <v>1375.0458983999999</v>
      </c>
      <c r="I1542">
        <v>1289.3858643000001</v>
      </c>
      <c r="J1542">
        <v>1270.3361815999999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1096.3815520000001</v>
      </c>
      <c r="B1543" s="1">
        <f>DATE(2013,5,1) + TIME(9,9,26)</f>
        <v>41395.381550925929</v>
      </c>
      <c r="C1543">
        <v>80</v>
      </c>
      <c r="D1543">
        <v>70.869873046999999</v>
      </c>
      <c r="E1543">
        <v>50</v>
      </c>
      <c r="F1543">
        <v>49.914924622000001</v>
      </c>
      <c r="G1543">
        <v>1391.9888916</v>
      </c>
      <c r="H1543">
        <v>1374.9724120999999</v>
      </c>
      <c r="I1543">
        <v>1289.3869629000001</v>
      </c>
      <c r="J1543">
        <v>1270.3369141000001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1096.4117100000001</v>
      </c>
      <c r="B1544" s="1">
        <f>DATE(2013,5,1) + TIME(9,52,51)</f>
        <v>41395.41170138889</v>
      </c>
      <c r="C1544">
        <v>80</v>
      </c>
      <c r="D1544">
        <v>71.336402892999999</v>
      </c>
      <c r="E1544">
        <v>50</v>
      </c>
      <c r="F1544">
        <v>49.911437988000003</v>
      </c>
      <c r="G1544">
        <v>1391.8161620999999</v>
      </c>
      <c r="H1544">
        <v>1374.9001464999999</v>
      </c>
      <c r="I1544">
        <v>1289.3874512</v>
      </c>
      <c r="J1544">
        <v>1270.3371582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1096.442769</v>
      </c>
      <c r="B1545" s="1">
        <f>DATE(2013,5,1) + TIME(10,37,35)</f>
        <v>41395.442766203705</v>
      </c>
      <c r="C1545">
        <v>80</v>
      </c>
      <c r="D1545">
        <v>71.791709900000001</v>
      </c>
      <c r="E1545">
        <v>50</v>
      </c>
      <c r="F1545">
        <v>49.907886505</v>
      </c>
      <c r="G1545">
        <v>1391.6480713000001</v>
      </c>
      <c r="H1545">
        <v>1374.8289795000001</v>
      </c>
      <c r="I1545">
        <v>1289.3876952999999</v>
      </c>
      <c r="J1545">
        <v>1270.3371582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1096.4748039999999</v>
      </c>
      <c r="B1546" s="1">
        <f>DATE(2013,5,1) + TIME(11,23,43)</f>
        <v>41395.474803240744</v>
      </c>
      <c r="C1546">
        <v>80</v>
      </c>
      <c r="D1546">
        <v>72.235969542999996</v>
      </c>
      <c r="E1546">
        <v>50</v>
      </c>
      <c r="F1546">
        <v>49.904258728000002</v>
      </c>
      <c r="G1546">
        <v>1391.4844971</v>
      </c>
      <c r="H1546">
        <v>1374.7590332</v>
      </c>
      <c r="I1546">
        <v>1289.3878173999999</v>
      </c>
      <c r="J1546">
        <v>1270.3369141000001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1096.507875</v>
      </c>
      <c r="B1547" s="1">
        <f>DATE(2013,5,1) + TIME(12,11,20)</f>
        <v>41395.507870370369</v>
      </c>
      <c r="C1547">
        <v>80</v>
      </c>
      <c r="D1547">
        <v>72.669059752999999</v>
      </c>
      <c r="E1547">
        <v>50</v>
      </c>
      <c r="F1547">
        <v>49.900547027999998</v>
      </c>
      <c r="G1547">
        <v>1391.3253173999999</v>
      </c>
      <c r="H1547">
        <v>1374.6901855000001</v>
      </c>
      <c r="I1547">
        <v>1289.3876952999999</v>
      </c>
      <c r="J1547">
        <v>1270.3364257999999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1096.542052</v>
      </c>
      <c r="B1548" s="1">
        <f>DATE(2013,5,1) + TIME(13,0,33)</f>
        <v>41395.542048611111</v>
      </c>
      <c r="C1548">
        <v>80</v>
      </c>
      <c r="D1548">
        <v>73.090904236</v>
      </c>
      <c r="E1548">
        <v>50</v>
      </c>
      <c r="F1548">
        <v>49.896755218999999</v>
      </c>
      <c r="G1548">
        <v>1391.1704102000001</v>
      </c>
      <c r="H1548">
        <v>1374.6224365</v>
      </c>
      <c r="I1548">
        <v>1289.3875731999999</v>
      </c>
      <c r="J1548">
        <v>1270.3359375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1096.577417</v>
      </c>
      <c r="B1549" s="1">
        <f>DATE(2013,5,1) + TIME(13,51,28)</f>
        <v>41395.577407407407</v>
      </c>
      <c r="C1549">
        <v>80</v>
      </c>
      <c r="D1549">
        <v>73.501464843999997</v>
      </c>
      <c r="E1549">
        <v>50</v>
      </c>
      <c r="F1549">
        <v>49.892868042000003</v>
      </c>
      <c r="G1549">
        <v>1391.0194091999999</v>
      </c>
      <c r="H1549">
        <v>1374.5556641000001</v>
      </c>
      <c r="I1549">
        <v>1289.3873291</v>
      </c>
      <c r="J1549">
        <v>1270.3353271000001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1096.6140620000001</v>
      </c>
      <c r="B1550" s="1">
        <f>DATE(2013,5,1) + TIME(14,44,14)</f>
        <v>41395.614050925928</v>
      </c>
      <c r="C1550">
        <v>80</v>
      </c>
      <c r="D1550">
        <v>73.900703429999993</v>
      </c>
      <c r="E1550">
        <v>50</v>
      </c>
      <c r="F1550">
        <v>49.888877868999998</v>
      </c>
      <c r="G1550">
        <v>1390.8721923999999</v>
      </c>
      <c r="H1550">
        <v>1374.4897461</v>
      </c>
      <c r="I1550">
        <v>1289.3869629000001</v>
      </c>
      <c r="J1550">
        <v>1270.3347168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1096.6520869999999</v>
      </c>
      <c r="B1551" s="1">
        <f>DATE(2013,5,1) + TIME(15,39,0)</f>
        <v>41395.652083333334</v>
      </c>
      <c r="C1551">
        <v>80</v>
      </c>
      <c r="D1551">
        <v>74.288581848000007</v>
      </c>
      <c r="E1551">
        <v>50</v>
      </c>
      <c r="F1551">
        <v>49.884784697999997</v>
      </c>
      <c r="G1551">
        <v>1390.7286377</v>
      </c>
      <c r="H1551">
        <v>1374.4245605000001</v>
      </c>
      <c r="I1551">
        <v>1289.3865966999999</v>
      </c>
      <c r="J1551">
        <v>1270.3339844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1096.6916060000001</v>
      </c>
      <c r="B1552" s="1">
        <f>DATE(2013,5,1) + TIME(16,35,54)</f>
        <v>41395.69159722222</v>
      </c>
      <c r="C1552">
        <v>80</v>
      </c>
      <c r="D1552">
        <v>74.665039062000005</v>
      </c>
      <c r="E1552">
        <v>50</v>
      </c>
      <c r="F1552">
        <v>49.880569457999997</v>
      </c>
      <c r="G1552">
        <v>1390.588501</v>
      </c>
      <c r="H1552">
        <v>1374.3599853999999</v>
      </c>
      <c r="I1552">
        <v>1289.3862305</v>
      </c>
      <c r="J1552">
        <v>1270.3332519999999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1096.7327459999999</v>
      </c>
      <c r="B1553" s="1">
        <f>DATE(2013,5,1) + TIME(17,35,9)</f>
        <v>41395.732743055552</v>
      </c>
      <c r="C1553">
        <v>80</v>
      </c>
      <c r="D1553">
        <v>75.029975891000007</v>
      </c>
      <c r="E1553">
        <v>50</v>
      </c>
      <c r="F1553">
        <v>49.876232147000003</v>
      </c>
      <c r="G1553">
        <v>1390.4514160000001</v>
      </c>
      <c r="H1553">
        <v>1374.2960204999999</v>
      </c>
      <c r="I1553">
        <v>1289.3857422000001</v>
      </c>
      <c r="J1553">
        <v>1270.3323975000001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1096.77565</v>
      </c>
      <c r="B1554" s="1">
        <f>DATE(2013,5,1) + TIME(18,36,56)</f>
        <v>41395.775648148148</v>
      </c>
      <c r="C1554">
        <v>80</v>
      </c>
      <c r="D1554">
        <v>75.383056640999996</v>
      </c>
      <c r="E1554">
        <v>50</v>
      </c>
      <c r="F1554">
        <v>49.871749878000003</v>
      </c>
      <c r="G1554">
        <v>1390.3173827999999</v>
      </c>
      <c r="H1554">
        <v>1374.2322998</v>
      </c>
      <c r="I1554">
        <v>1289.3852539</v>
      </c>
      <c r="J1554">
        <v>1270.331543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1096.8204820000001</v>
      </c>
      <c r="B1555" s="1">
        <f>DATE(2013,5,1) + TIME(19,41,29)</f>
        <v>41395.820474537039</v>
      </c>
      <c r="C1555">
        <v>80</v>
      </c>
      <c r="D1555">
        <v>75.724472046000002</v>
      </c>
      <c r="E1555">
        <v>50</v>
      </c>
      <c r="F1555">
        <v>49.867118834999999</v>
      </c>
      <c r="G1555">
        <v>1390.1861572</v>
      </c>
      <c r="H1555">
        <v>1374.1689452999999</v>
      </c>
      <c r="I1555">
        <v>1289.3846435999999</v>
      </c>
      <c r="J1555">
        <v>1270.3305664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1096.8674410000001</v>
      </c>
      <c r="B1556" s="1">
        <f>DATE(2013,5,1) + TIME(20,49,6)</f>
        <v>41395.867430555554</v>
      </c>
      <c r="C1556">
        <v>80</v>
      </c>
      <c r="D1556">
        <v>76.054222107000001</v>
      </c>
      <c r="E1556">
        <v>50</v>
      </c>
      <c r="F1556">
        <v>49.862323760999999</v>
      </c>
      <c r="G1556">
        <v>1390.0573730000001</v>
      </c>
      <c r="H1556">
        <v>1374.1057129000001</v>
      </c>
      <c r="I1556">
        <v>1289.3841553</v>
      </c>
      <c r="J1556">
        <v>1270.3295897999999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1096.916755</v>
      </c>
      <c r="B1557" s="1">
        <f>DATE(2013,5,1) + TIME(22,0,7)</f>
        <v>41395.916747685187</v>
      </c>
      <c r="C1557">
        <v>80</v>
      </c>
      <c r="D1557">
        <v>76.372261046999995</v>
      </c>
      <c r="E1557">
        <v>50</v>
      </c>
      <c r="F1557">
        <v>49.857337952000002</v>
      </c>
      <c r="G1557">
        <v>1389.9309082</v>
      </c>
      <c r="H1557">
        <v>1374.0424805</v>
      </c>
      <c r="I1557">
        <v>1289.3834228999999</v>
      </c>
      <c r="J1557">
        <v>1270.3284911999999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1096.968646</v>
      </c>
      <c r="B1558" s="1">
        <f>DATE(2013,5,1) + TIME(23,14,50)</f>
        <v>41395.968634259261</v>
      </c>
      <c r="C1558">
        <v>80</v>
      </c>
      <c r="D1558">
        <v>76.678306579999997</v>
      </c>
      <c r="E1558">
        <v>50</v>
      </c>
      <c r="F1558">
        <v>49.852149963000002</v>
      </c>
      <c r="G1558">
        <v>1389.8065185999999</v>
      </c>
      <c r="H1558">
        <v>1373.979126</v>
      </c>
      <c r="I1558">
        <v>1289.3828125</v>
      </c>
      <c r="J1558">
        <v>1270.3273925999999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1097.023398</v>
      </c>
      <c r="B1559" s="1">
        <f>DATE(2013,5,2) + TIME(0,33,41)</f>
        <v>41396.0233912037</v>
      </c>
      <c r="C1559">
        <v>80</v>
      </c>
      <c r="D1559">
        <v>76.972213745000005</v>
      </c>
      <c r="E1559">
        <v>50</v>
      </c>
      <c r="F1559">
        <v>49.846736907999997</v>
      </c>
      <c r="G1559">
        <v>1389.6839600000001</v>
      </c>
      <c r="H1559">
        <v>1373.9154053</v>
      </c>
      <c r="I1559">
        <v>1289.3820800999999</v>
      </c>
      <c r="J1559">
        <v>1270.3261719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1097.0813470000001</v>
      </c>
      <c r="B1560" s="1">
        <f>DATE(2013,5,2) + TIME(1,57,8)</f>
        <v>41396.081342592595</v>
      </c>
      <c r="C1560">
        <v>80</v>
      </c>
      <c r="D1560">
        <v>77.253837584999999</v>
      </c>
      <c r="E1560">
        <v>50</v>
      </c>
      <c r="F1560">
        <v>49.841075897000003</v>
      </c>
      <c r="G1560">
        <v>1389.5632324000001</v>
      </c>
      <c r="H1560">
        <v>1373.8513184000001</v>
      </c>
      <c r="I1560">
        <v>1289.3812256000001</v>
      </c>
      <c r="J1560">
        <v>1270.3249512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1097.142885</v>
      </c>
      <c r="B1561" s="1">
        <f>DATE(2013,5,2) + TIME(3,25,45)</f>
        <v>41396.142881944441</v>
      </c>
      <c r="C1561">
        <v>80</v>
      </c>
      <c r="D1561">
        <v>77.523010253999999</v>
      </c>
      <c r="E1561">
        <v>50</v>
      </c>
      <c r="F1561">
        <v>49.835128783999998</v>
      </c>
      <c r="G1561">
        <v>1389.4437256000001</v>
      </c>
      <c r="H1561">
        <v>1373.786499</v>
      </c>
      <c r="I1561">
        <v>1289.3803711</v>
      </c>
      <c r="J1561">
        <v>1270.3234863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1097.208466</v>
      </c>
      <c r="B1562" s="1">
        <f>DATE(2013,5,2) + TIME(5,0,11)</f>
        <v>41396.208460648151</v>
      </c>
      <c r="C1562">
        <v>80</v>
      </c>
      <c r="D1562">
        <v>77.779502868999998</v>
      </c>
      <c r="E1562">
        <v>50</v>
      </c>
      <c r="F1562">
        <v>49.828872681</v>
      </c>
      <c r="G1562">
        <v>1389.3255615</v>
      </c>
      <c r="H1562">
        <v>1373.7209473</v>
      </c>
      <c r="I1562">
        <v>1289.3795166</v>
      </c>
      <c r="J1562">
        <v>1270.3221435999999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1097.2786719999999</v>
      </c>
      <c r="B1563" s="1">
        <f>DATE(2013,5,2) + TIME(6,41,17)</f>
        <v>41396.278668981482</v>
      </c>
      <c r="C1563">
        <v>80</v>
      </c>
      <c r="D1563">
        <v>78.023193359000004</v>
      </c>
      <c r="E1563">
        <v>50</v>
      </c>
      <c r="F1563">
        <v>49.822254180999998</v>
      </c>
      <c r="G1563">
        <v>1389.2081298999999</v>
      </c>
      <c r="H1563">
        <v>1373.6542969</v>
      </c>
      <c r="I1563">
        <v>1289.3785399999999</v>
      </c>
      <c r="J1563">
        <v>1270.3205565999999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1097.35419</v>
      </c>
      <c r="B1564" s="1">
        <f>DATE(2013,5,2) + TIME(8,30,1)</f>
        <v>41396.354178240741</v>
      </c>
      <c r="C1564">
        <v>80</v>
      </c>
      <c r="D1564">
        <v>78.253868103000002</v>
      </c>
      <c r="E1564">
        <v>50</v>
      </c>
      <c r="F1564">
        <v>49.815227509000003</v>
      </c>
      <c r="G1564">
        <v>1389.0913086</v>
      </c>
      <c r="H1564">
        <v>1373.5863036999999</v>
      </c>
      <c r="I1564">
        <v>1289.3774414</v>
      </c>
      <c r="J1564">
        <v>1270.3189697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1097.4358709999999</v>
      </c>
      <c r="B1565" s="1">
        <f>DATE(2013,5,2) + TIME(10,27,39)</f>
        <v>41396.435868055552</v>
      </c>
      <c r="C1565">
        <v>80</v>
      </c>
      <c r="D1565">
        <v>78.471313476999995</v>
      </c>
      <c r="E1565">
        <v>50</v>
      </c>
      <c r="F1565">
        <v>49.807727814000003</v>
      </c>
      <c r="G1565">
        <v>1388.9746094</v>
      </c>
      <c r="H1565">
        <v>1373.5167236</v>
      </c>
      <c r="I1565">
        <v>1289.3763428</v>
      </c>
      <c r="J1565">
        <v>1270.3171387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1097.5247810000001</v>
      </c>
      <c r="B1566" s="1">
        <f>DATE(2013,5,2) + TIME(12,35,41)</f>
        <v>41396.524780092594</v>
      </c>
      <c r="C1566">
        <v>80</v>
      </c>
      <c r="D1566">
        <v>78.675270080999994</v>
      </c>
      <c r="E1566">
        <v>50</v>
      </c>
      <c r="F1566">
        <v>49.799678802000003</v>
      </c>
      <c r="G1566">
        <v>1388.8576660000001</v>
      </c>
      <c r="H1566">
        <v>1373.4451904</v>
      </c>
      <c r="I1566">
        <v>1289.3751221</v>
      </c>
      <c r="J1566">
        <v>1270.3153076000001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1097.6156229999999</v>
      </c>
      <c r="B1567" s="1">
        <f>DATE(2013,5,2) + TIME(14,46,29)</f>
        <v>41396.615613425929</v>
      </c>
      <c r="C1567">
        <v>80</v>
      </c>
      <c r="D1567">
        <v>78.854324340999995</v>
      </c>
      <c r="E1567">
        <v>50</v>
      </c>
      <c r="F1567">
        <v>49.791503906000003</v>
      </c>
      <c r="G1567">
        <v>1388.7460937999999</v>
      </c>
      <c r="H1567">
        <v>1373.3743896000001</v>
      </c>
      <c r="I1567">
        <v>1289.3737793</v>
      </c>
      <c r="J1567">
        <v>1270.3132324000001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1097.7069750000001</v>
      </c>
      <c r="B1568" s="1">
        <f>DATE(2013,5,2) + TIME(16,58,2)</f>
        <v>41396.706967592596</v>
      </c>
      <c r="C1568">
        <v>80</v>
      </c>
      <c r="D1568">
        <v>79.008926392000006</v>
      </c>
      <c r="E1568">
        <v>50</v>
      </c>
      <c r="F1568">
        <v>49.783321381</v>
      </c>
      <c r="G1568">
        <v>1388.6413574000001</v>
      </c>
      <c r="H1568">
        <v>1373.3061522999999</v>
      </c>
      <c r="I1568">
        <v>1289.3723144999999</v>
      </c>
      <c r="J1568">
        <v>1270.3111572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1097.7991649999999</v>
      </c>
      <c r="B1569" s="1">
        <f>DATE(2013,5,2) + TIME(19,10,47)</f>
        <v>41396.799155092594</v>
      </c>
      <c r="C1569">
        <v>80</v>
      </c>
      <c r="D1569">
        <v>79.142730713000006</v>
      </c>
      <c r="E1569">
        <v>50</v>
      </c>
      <c r="F1569">
        <v>49.775104523000003</v>
      </c>
      <c r="G1569">
        <v>1388.5424805</v>
      </c>
      <c r="H1569">
        <v>1373.2403564000001</v>
      </c>
      <c r="I1569">
        <v>1289.3708495999999</v>
      </c>
      <c r="J1569">
        <v>1270.309082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1097.8924380000001</v>
      </c>
      <c r="B1570" s="1">
        <f>DATE(2013,5,2) + TIME(21,25,6)</f>
        <v>41396.892430555556</v>
      </c>
      <c r="C1570">
        <v>80</v>
      </c>
      <c r="D1570">
        <v>79.258651732999994</v>
      </c>
      <c r="E1570">
        <v>50</v>
      </c>
      <c r="F1570">
        <v>49.766830444</v>
      </c>
      <c r="G1570">
        <v>1388.4487305</v>
      </c>
      <c r="H1570">
        <v>1373.1766356999999</v>
      </c>
      <c r="I1570">
        <v>1289.3692627</v>
      </c>
      <c r="J1570">
        <v>1270.3070068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1097.986942</v>
      </c>
      <c r="B1571" s="1">
        <f>DATE(2013,5,2) + TIME(23,41,11)</f>
        <v>41396.986932870372</v>
      </c>
      <c r="C1571">
        <v>80</v>
      </c>
      <c r="D1571">
        <v>79.359046935999999</v>
      </c>
      <c r="E1571">
        <v>50</v>
      </c>
      <c r="F1571">
        <v>49.758487701</v>
      </c>
      <c r="G1571">
        <v>1388.3594971</v>
      </c>
      <c r="H1571">
        <v>1373.1149902</v>
      </c>
      <c r="I1571">
        <v>1289.3677978999999</v>
      </c>
      <c r="J1571">
        <v>1270.3048096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1098.0826649999999</v>
      </c>
      <c r="B1572" s="1">
        <f>DATE(2013,5,3) + TIME(1,59,2)</f>
        <v>41397.082662037035</v>
      </c>
      <c r="C1572">
        <v>80</v>
      </c>
      <c r="D1572">
        <v>79.445823669000006</v>
      </c>
      <c r="E1572">
        <v>50</v>
      </c>
      <c r="F1572">
        <v>49.750080109000002</v>
      </c>
      <c r="G1572">
        <v>1388.2742920000001</v>
      </c>
      <c r="H1572">
        <v>1373.0549315999999</v>
      </c>
      <c r="I1572">
        <v>1289.3663329999999</v>
      </c>
      <c r="J1572">
        <v>1270.3026123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1098.179838</v>
      </c>
      <c r="B1573" s="1">
        <f>DATE(2013,5,3) + TIME(4,18,57)</f>
        <v>41397.179826388892</v>
      </c>
      <c r="C1573">
        <v>80</v>
      </c>
      <c r="D1573">
        <v>79.520843506000006</v>
      </c>
      <c r="E1573">
        <v>50</v>
      </c>
      <c r="F1573">
        <v>49.741584778000004</v>
      </c>
      <c r="G1573">
        <v>1388.1925048999999</v>
      </c>
      <c r="H1573">
        <v>1372.9964600000001</v>
      </c>
      <c r="I1573">
        <v>1289.3647461</v>
      </c>
      <c r="J1573">
        <v>1270.3004149999999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1098.2787350000001</v>
      </c>
      <c r="B1574" s="1">
        <f>DATE(2013,5,3) + TIME(6,41,22)</f>
        <v>41397.278726851851</v>
      </c>
      <c r="C1574">
        <v>80</v>
      </c>
      <c r="D1574">
        <v>79.585708617999998</v>
      </c>
      <c r="E1574">
        <v>50</v>
      </c>
      <c r="F1574">
        <v>49.732986449999999</v>
      </c>
      <c r="G1574">
        <v>1388.1138916</v>
      </c>
      <c r="H1574">
        <v>1372.9394531</v>
      </c>
      <c r="I1574">
        <v>1289.3631591999999</v>
      </c>
      <c r="J1574">
        <v>1270.2980957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1098.3795379999999</v>
      </c>
      <c r="B1575" s="1">
        <f>DATE(2013,5,3) + TIME(9,6,32)</f>
        <v>41397.379537037035</v>
      </c>
      <c r="C1575">
        <v>80</v>
      </c>
      <c r="D1575">
        <v>79.641731261999993</v>
      </c>
      <c r="E1575">
        <v>50</v>
      </c>
      <c r="F1575">
        <v>49.724269866999997</v>
      </c>
      <c r="G1575">
        <v>1388.0378418</v>
      </c>
      <c r="H1575">
        <v>1372.8835449000001</v>
      </c>
      <c r="I1575">
        <v>1289.3615723</v>
      </c>
      <c r="J1575">
        <v>1270.2958983999999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1098.482489</v>
      </c>
      <c r="B1576" s="1">
        <f>DATE(2013,5,3) + TIME(11,34,47)</f>
        <v>41397.482488425929</v>
      </c>
      <c r="C1576">
        <v>80</v>
      </c>
      <c r="D1576">
        <v>79.690071106000005</v>
      </c>
      <c r="E1576">
        <v>50</v>
      </c>
      <c r="F1576">
        <v>49.715412139999998</v>
      </c>
      <c r="G1576">
        <v>1387.9641113</v>
      </c>
      <c r="H1576">
        <v>1372.8286132999999</v>
      </c>
      <c r="I1576">
        <v>1289.3598632999999</v>
      </c>
      <c r="J1576">
        <v>1270.293457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1098.587841</v>
      </c>
      <c r="B1577" s="1">
        <f>DATE(2013,5,3) + TIME(14,6,29)</f>
        <v>41397.587835648148</v>
      </c>
      <c r="C1577">
        <v>80</v>
      </c>
      <c r="D1577">
        <v>79.731620789000004</v>
      </c>
      <c r="E1577">
        <v>50</v>
      </c>
      <c r="F1577">
        <v>49.706401825</v>
      </c>
      <c r="G1577">
        <v>1387.8914795000001</v>
      </c>
      <c r="H1577">
        <v>1372.7739257999999</v>
      </c>
      <c r="I1577">
        <v>1289.3580322</v>
      </c>
      <c r="J1577">
        <v>1270.2908935999999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1098.6958870000001</v>
      </c>
      <c r="B1578" s="1">
        <f>DATE(2013,5,3) + TIME(16,42,4)</f>
        <v>41397.695879629631</v>
      </c>
      <c r="C1578">
        <v>80</v>
      </c>
      <c r="D1578">
        <v>79.767379761000001</v>
      </c>
      <c r="E1578">
        <v>50</v>
      </c>
      <c r="F1578">
        <v>49.697212219000001</v>
      </c>
      <c r="G1578">
        <v>1387.8222656</v>
      </c>
      <c r="H1578">
        <v>1372.7214355000001</v>
      </c>
      <c r="I1578">
        <v>1289.3563231999999</v>
      </c>
      <c r="J1578">
        <v>1270.2885742000001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1098.806816</v>
      </c>
      <c r="B1579" s="1">
        <f>DATE(2013,5,3) + TIME(19,21,48)</f>
        <v>41397.806805555556</v>
      </c>
      <c r="C1579">
        <v>80</v>
      </c>
      <c r="D1579">
        <v>79.798072814999998</v>
      </c>
      <c r="E1579">
        <v>50</v>
      </c>
      <c r="F1579">
        <v>49.687828064000001</v>
      </c>
      <c r="G1579">
        <v>1387.7537841999999</v>
      </c>
      <c r="H1579">
        <v>1372.6688231999999</v>
      </c>
      <c r="I1579">
        <v>1289.3546143000001</v>
      </c>
      <c r="J1579">
        <v>1270.2860106999999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1098.9210350000001</v>
      </c>
      <c r="B1580" s="1">
        <f>DATE(2013,5,3) + TIME(22,6,17)</f>
        <v>41397.921030092592</v>
      </c>
      <c r="C1580">
        <v>80</v>
      </c>
      <c r="D1580">
        <v>79.824371338000006</v>
      </c>
      <c r="E1580">
        <v>50</v>
      </c>
      <c r="F1580">
        <v>49.678218842</v>
      </c>
      <c r="G1580">
        <v>1387.6864014</v>
      </c>
      <c r="H1580">
        <v>1372.6166992000001</v>
      </c>
      <c r="I1580">
        <v>1289.3527832</v>
      </c>
      <c r="J1580">
        <v>1270.2834473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1099.038894</v>
      </c>
      <c r="B1581" s="1">
        <f>DATE(2013,5,4) + TIME(0,56,0)</f>
        <v>41398.038888888892</v>
      </c>
      <c r="C1581">
        <v>80</v>
      </c>
      <c r="D1581">
        <v>79.846855164000004</v>
      </c>
      <c r="E1581">
        <v>50</v>
      </c>
      <c r="F1581">
        <v>49.668365479000002</v>
      </c>
      <c r="G1581">
        <v>1387.6198730000001</v>
      </c>
      <c r="H1581">
        <v>1372.5649414</v>
      </c>
      <c r="I1581">
        <v>1289.3508300999999</v>
      </c>
      <c r="J1581">
        <v>1270.2807617000001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1099.1607770000001</v>
      </c>
      <c r="B1582" s="1">
        <f>DATE(2013,5,4) + TIME(3,51,31)</f>
        <v>41398.160775462966</v>
      </c>
      <c r="C1582">
        <v>80</v>
      </c>
      <c r="D1582">
        <v>79.866012573000006</v>
      </c>
      <c r="E1582">
        <v>50</v>
      </c>
      <c r="F1582">
        <v>49.658233643000003</v>
      </c>
      <c r="G1582">
        <v>1387.5540771000001</v>
      </c>
      <c r="H1582">
        <v>1372.5133057</v>
      </c>
      <c r="I1582">
        <v>1289.3488769999999</v>
      </c>
      <c r="J1582">
        <v>1270.2779541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1099.2871250000001</v>
      </c>
      <c r="B1583" s="1">
        <f>DATE(2013,5,4) + TIME(6,53,27)</f>
        <v>41398.287118055552</v>
      </c>
      <c r="C1583">
        <v>80</v>
      </c>
      <c r="D1583">
        <v>79.882385253999999</v>
      </c>
      <c r="E1583">
        <v>50</v>
      </c>
      <c r="F1583">
        <v>49.647796630999999</v>
      </c>
      <c r="G1583">
        <v>1387.4897461</v>
      </c>
      <c r="H1583">
        <v>1372.4627685999999</v>
      </c>
      <c r="I1583">
        <v>1289.3470459</v>
      </c>
      <c r="J1583">
        <v>1270.2752685999999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1099.418494</v>
      </c>
      <c r="B1584" s="1">
        <f>DATE(2013,5,4) + TIME(10,2,37)</f>
        <v>41398.418483796297</v>
      </c>
      <c r="C1584">
        <v>80</v>
      </c>
      <c r="D1584">
        <v>79.896148682000003</v>
      </c>
      <c r="E1584">
        <v>50</v>
      </c>
      <c r="F1584">
        <v>49.637020110999998</v>
      </c>
      <c r="G1584">
        <v>1387.4229736</v>
      </c>
      <c r="H1584">
        <v>1372.409668</v>
      </c>
      <c r="I1584">
        <v>1289.3444824000001</v>
      </c>
      <c r="J1584">
        <v>1270.2719727000001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1099.5555179999999</v>
      </c>
      <c r="B1585" s="1">
        <f>DATE(2013,5,4) + TIME(13,19,56)</f>
        <v>41398.555509259262</v>
      </c>
      <c r="C1585">
        <v>80</v>
      </c>
      <c r="D1585">
        <v>79.907760620000005</v>
      </c>
      <c r="E1585">
        <v>50</v>
      </c>
      <c r="F1585">
        <v>49.625850677000003</v>
      </c>
      <c r="G1585">
        <v>1387.3587646000001</v>
      </c>
      <c r="H1585">
        <v>1372.3586425999999</v>
      </c>
      <c r="I1585">
        <v>1289.3424072</v>
      </c>
      <c r="J1585">
        <v>1270.2689209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1099.698586</v>
      </c>
      <c r="B1586" s="1">
        <f>DATE(2013,5,4) + TIME(16,45,57)</f>
        <v>41398.698576388888</v>
      </c>
      <c r="C1586">
        <v>80</v>
      </c>
      <c r="D1586">
        <v>79.917587280000006</v>
      </c>
      <c r="E1586">
        <v>50</v>
      </c>
      <c r="F1586">
        <v>49.614265441999997</v>
      </c>
      <c r="G1586">
        <v>1387.2946777</v>
      </c>
      <c r="H1586">
        <v>1372.3076172000001</v>
      </c>
      <c r="I1586">
        <v>1289.340332</v>
      </c>
      <c r="J1586">
        <v>1270.2658690999999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1099.8464369999999</v>
      </c>
      <c r="B1587" s="1">
        <f>DATE(2013,5,4) + TIME(20,18,52)</f>
        <v>41398.846435185187</v>
      </c>
      <c r="C1587">
        <v>80</v>
      </c>
      <c r="D1587">
        <v>79.925704956000004</v>
      </c>
      <c r="E1587">
        <v>50</v>
      </c>
      <c r="F1587">
        <v>49.602352142000001</v>
      </c>
      <c r="G1587">
        <v>1387.2283935999999</v>
      </c>
      <c r="H1587">
        <v>1372.2545166</v>
      </c>
      <c r="I1587">
        <v>1289.3376464999999</v>
      </c>
      <c r="J1587">
        <v>1270.2623291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1099.999746</v>
      </c>
      <c r="B1588" s="1">
        <f>DATE(2013,5,4) + TIME(23,59,38)</f>
        <v>41398.999745370369</v>
      </c>
      <c r="C1588">
        <v>80</v>
      </c>
      <c r="D1588">
        <v>79.932296753000003</v>
      </c>
      <c r="E1588">
        <v>50</v>
      </c>
      <c r="F1588">
        <v>49.590065002000003</v>
      </c>
      <c r="G1588">
        <v>1387.1623535000001</v>
      </c>
      <c r="H1588">
        <v>1372.2014160000001</v>
      </c>
      <c r="I1588">
        <v>1289.3348389</v>
      </c>
      <c r="J1588">
        <v>1270.2585449000001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1100.158948</v>
      </c>
      <c r="B1589" s="1">
        <f>DATE(2013,5,5) + TIME(3,48,53)</f>
        <v>41399.158946759257</v>
      </c>
      <c r="C1589">
        <v>80</v>
      </c>
      <c r="D1589">
        <v>79.937789917000003</v>
      </c>
      <c r="E1589">
        <v>50</v>
      </c>
      <c r="F1589">
        <v>49.577369689999998</v>
      </c>
      <c r="G1589">
        <v>1387.0991211</v>
      </c>
      <c r="H1589">
        <v>1372.1507568</v>
      </c>
      <c r="I1589">
        <v>1289.3326416</v>
      </c>
      <c r="J1589">
        <v>1270.255249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1100.3246590000001</v>
      </c>
      <c r="B1590" s="1">
        <f>DATE(2013,5,5) + TIME(7,47,30)</f>
        <v>41399.324652777781</v>
      </c>
      <c r="C1590">
        <v>80</v>
      </c>
      <c r="D1590">
        <v>79.942283630000006</v>
      </c>
      <c r="E1590">
        <v>50</v>
      </c>
      <c r="F1590">
        <v>49.564235687</v>
      </c>
      <c r="G1590">
        <v>1387.0330810999999</v>
      </c>
      <c r="H1590">
        <v>1372.0975341999999</v>
      </c>
      <c r="I1590">
        <v>1289.3297118999999</v>
      </c>
      <c r="J1590">
        <v>1270.2513428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1100.4977449999999</v>
      </c>
      <c r="B1591" s="1">
        <f>DATE(2013,5,5) + TIME(11,56,45)</f>
        <v>41399.497743055559</v>
      </c>
      <c r="C1591">
        <v>80</v>
      </c>
      <c r="D1591">
        <v>79.94593811</v>
      </c>
      <c r="E1591">
        <v>50</v>
      </c>
      <c r="F1591">
        <v>49.550601958999998</v>
      </c>
      <c r="G1591">
        <v>1386.9676514</v>
      </c>
      <c r="H1591">
        <v>1372.0447998</v>
      </c>
      <c r="I1591">
        <v>1289.3267822</v>
      </c>
      <c r="J1591">
        <v>1270.2473144999999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1100.67886</v>
      </c>
      <c r="B1592" s="1">
        <f>DATE(2013,5,5) + TIME(16,17,33)</f>
        <v>41399.678854166668</v>
      </c>
      <c r="C1592">
        <v>80</v>
      </c>
      <c r="D1592">
        <v>79.948898314999994</v>
      </c>
      <c r="E1592">
        <v>50</v>
      </c>
      <c r="F1592">
        <v>49.536430359000001</v>
      </c>
      <c r="G1592">
        <v>1386.9016113</v>
      </c>
      <c r="H1592">
        <v>1371.9915771000001</v>
      </c>
      <c r="I1592">
        <v>1289.3238524999999</v>
      </c>
      <c r="J1592">
        <v>1270.2431641000001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1100.868318</v>
      </c>
      <c r="B1593" s="1">
        <f>DATE(2013,5,5) + TIME(20,50,22)</f>
        <v>41399.868310185186</v>
      </c>
      <c r="C1593">
        <v>80</v>
      </c>
      <c r="D1593">
        <v>79.951286315999994</v>
      </c>
      <c r="E1593">
        <v>50</v>
      </c>
      <c r="F1593">
        <v>49.521697998</v>
      </c>
      <c r="G1593">
        <v>1386.8349608999999</v>
      </c>
      <c r="H1593">
        <v>1371.9378661999999</v>
      </c>
      <c r="I1593">
        <v>1289.3206786999999</v>
      </c>
      <c r="J1593">
        <v>1270.2387695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1101.0591199999999</v>
      </c>
      <c r="B1594" s="1">
        <f>DATE(2013,5,6) + TIME(1,25,7)</f>
        <v>41400.059108796297</v>
      </c>
      <c r="C1594">
        <v>80</v>
      </c>
      <c r="D1594">
        <v>79.953132628999995</v>
      </c>
      <c r="E1594">
        <v>50</v>
      </c>
      <c r="F1594">
        <v>49.506828308000003</v>
      </c>
      <c r="G1594">
        <v>1386.7677002</v>
      </c>
      <c r="H1594">
        <v>1371.8836670000001</v>
      </c>
      <c r="I1594">
        <v>1289.3172606999999</v>
      </c>
      <c r="J1594">
        <v>1270.2342529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1101.25137</v>
      </c>
      <c r="B1595" s="1">
        <f>DATE(2013,5,6) + TIME(6,1,58)</f>
        <v>41400.25136574074</v>
      </c>
      <c r="C1595">
        <v>80</v>
      </c>
      <c r="D1595">
        <v>79.954582213999998</v>
      </c>
      <c r="E1595">
        <v>50</v>
      </c>
      <c r="F1595">
        <v>49.491836548000002</v>
      </c>
      <c r="G1595">
        <v>1386.7021483999999</v>
      </c>
      <c r="H1595">
        <v>1371.8309326000001</v>
      </c>
      <c r="I1595">
        <v>1289.3138428</v>
      </c>
      <c r="J1595">
        <v>1270.2297363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1101.445579</v>
      </c>
      <c r="B1596" s="1">
        <f>DATE(2013,5,6) + TIME(10,41,37)</f>
        <v>41400.445567129631</v>
      </c>
      <c r="C1596">
        <v>80</v>
      </c>
      <c r="D1596">
        <v>79.955711364999999</v>
      </c>
      <c r="E1596">
        <v>50</v>
      </c>
      <c r="F1596">
        <v>49.476703643999997</v>
      </c>
      <c r="G1596">
        <v>1386.6383057</v>
      </c>
      <c r="H1596">
        <v>1371.7794189000001</v>
      </c>
      <c r="I1596">
        <v>1289.3104248</v>
      </c>
      <c r="J1596">
        <v>1270.2250977000001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1101.642278</v>
      </c>
      <c r="B1597" s="1">
        <f>DATE(2013,5,6) + TIME(15,24,52)</f>
        <v>41400.642268518517</v>
      </c>
      <c r="C1597">
        <v>80</v>
      </c>
      <c r="D1597">
        <v>79.956604003999999</v>
      </c>
      <c r="E1597">
        <v>50</v>
      </c>
      <c r="F1597">
        <v>49.461410522000001</v>
      </c>
      <c r="G1597">
        <v>1386.5756836</v>
      </c>
      <c r="H1597">
        <v>1371.729126</v>
      </c>
      <c r="I1597">
        <v>1289.3070068</v>
      </c>
      <c r="J1597">
        <v>1270.2203368999999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1101.8420040000001</v>
      </c>
      <c r="B1598" s="1">
        <f>DATE(2013,5,6) + TIME(20,12,29)</f>
        <v>41400.842002314814</v>
      </c>
      <c r="C1598">
        <v>80</v>
      </c>
      <c r="D1598">
        <v>79.957313537999994</v>
      </c>
      <c r="E1598">
        <v>50</v>
      </c>
      <c r="F1598">
        <v>49.445930480999998</v>
      </c>
      <c r="G1598">
        <v>1386.5142822</v>
      </c>
      <c r="H1598">
        <v>1371.6796875</v>
      </c>
      <c r="I1598">
        <v>1289.3034668</v>
      </c>
      <c r="J1598">
        <v>1270.2155762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1102.045304</v>
      </c>
      <c r="B1599" s="1">
        <f>DATE(2013,5,7) + TIME(1,5,14)</f>
        <v>41401.045300925929</v>
      </c>
      <c r="C1599">
        <v>80</v>
      </c>
      <c r="D1599">
        <v>79.957878113000007</v>
      </c>
      <c r="E1599">
        <v>50</v>
      </c>
      <c r="F1599">
        <v>49.430240630999997</v>
      </c>
      <c r="G1599">
        <v>1386.4536132999999</v>
      </c>
      <c r="H1599">
        <v>1371.6309814000001</v>
      </c>
      <c r="I1599">
        <v>1289.2999268000001</v>
      </c>
      <c r="J1599">
        <v>1270.2108154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1102.2527520000001</v>
      </c>
      <c r="B1600" s="1">
        <f>DATE(2013,5,7) + TIME(6,3,57)</f>
        <v>41401.252743055556</v>
      </c>
      <c r="C1600">
        <v>80</v>
      </c>
      <c r="D1600">
        <v>79.958335876000007</v>
      </c>
      <c r="E1600">
        <v>50</v>
      </c>
      <c r="F1600">
        <v>49.414302825999997</v>
      </c>
      <c r="G1600">
        <v>1386.3937988</v>
      </c>
      <c r="H1600">
        <v>1371.5830077999999</v>
      </c>
      <c r="I1600">
        <v>1289.2963867000001</v>
      </c>
      <c r="J1600">
        <v>1270.2059326000001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1102.464956</v>
      </c>
      <c r="B1601" s="1">
        <f>DATE(2013,5,7) + TIME(11,9,32)</f>
        <v>41401.464953703704</v>
      </c>
      <c r="C1601">
        <v>80</v>
      </c>
      <c r="D1601">
        <v>79.958694457999997</v>
      </c>
      <c r="E1601">
        <v>50</v>
      </c>
      <c r="F1601">
        <v>49.398082733000003</v>
      </c>
      <c r="G1601">
        <v>1386.3343506000001</v>
      </c>
      <c r="H1601">
        <v>1371.5354004000001</v>
      </c>
      <c r="I1601">
        <v>1289.2926024999999</v>
      </c>
      <c r="J1601">
        <v>1270.2008057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1102.6825719999999</v>
      </c>
      <c r="B1602" s="1">
        <f>DATE(2013,5,7) + TIME(16,22,54)</f>
        <v>41401.682569444441</v>
      </c>
      <c r="C1602">
        <v>80</v>
      </c>
      <c r="D1602">
        <v>79.958992003999995</v>
      </c>
      <c r="E1602">
        <v>50</v>
      </c>
      <c r="F1602">
        <v>49.381542205999999</v>
      </c>
      <c r="G1602">
        <v>1386.2752685999999</v>
      </c>
      <c r="H1602">
        <v>1371.4880370999999</v>
      </c>
      <c r="I1602">
        <v>1289.2888184000001</v>
      </c>
      <c r="J1602">
        <v>1270.1956786999999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1102.9063160000001</v>
      </c>
      <c r="B1603" s="1">
        <f>DATE(2013,5,7) + TIME(21,45,5)</f>
        <v>41401.906307870369</v>
      </c>
      <c r="C1603">
        <v>80</v>
      </c>
      <c r="D1603">
        <v>79.959236145000006</v>
      </c>
      <c r="E1603">
        <v>50</v>
      </c>
      <c r="F1603">
        <v>49.364639281999999</v>
      </c>
      <c r="G1603">
        <v>1386.2163086</v>
      </c>
      <c r="H1603">
        <v>1371.440918</v>
      </c>
      <c r="I1603">
        <v>1289.2850341999999</v>
      </c>
      <c r="J1603">
        <v>1270.1904297000001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1103.1370810000001</v>
      </c>
      <c r="B1604" s="1">
        <f>DATE(2013,5,8) + TIME(3,17,23)</f>
        <v>41402.137071759258</v>
      </c>
      <c r="C1604">
        <v>80</v>
      </c>
      <c r="D1604">
        <v>79.959426879999995</v>
      </c>
      <c r="E1604">
        <v>50</v>
      </c>
      <c r="F1604">
        <v>49.347316741999997</v>
      </c>
      <c r="G1604">
        <v>1386.1572266000001</v>
      </c>
      <c r="H1604">
        <v>1371.3937988</v>
      </c>
      <c r="I1604">
        <v>1289.2810059000001</v>
      </c>
      <c r="J1604">
        <v>1270.1850586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1103.374319</v>
      </c>
      <c r="B1605" s="1">
        <f>DATE(2013,5,8) + TIME(8,59,1)</f>
        <v>41402.37431712963</v>
      </c>
      <c r="C1605">
        <v>80</v>
      </c>
      <c r="D1605">
        <v>79.959587096999996</v>
      </c>
      <c r="E1605">
        <v>50</v>
      </c>
      <c r="F1605">
        <v>49.329601287999999</v>
      </c>
      <c r="G1605">
        <v>1386.0980225000001</v>
      </c>
      <c r="H1605">
        <v>1371.3465576000001</v>
      </c>
      <c r="I1605">
        <v>1289.2768555</v>
      </c>
      <c r="J1605">
        <v>1270.1794434000001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1103.6161219999999</v>
      </c>
      <c r="B1606" s="1">
        <f>DATE(2013,5,8) + TIME(14,47,12)</f>
        <v>41402.616111111114</v>
      </c>
      <c r="C1606">
        <v>80</v>
      </c>
      <c r="D1606">
        <v>79.959716796999999</v>
      </c>
      <c r="E1606">
        <v>50</v>
      </c>
      <c r="F1606">
        <v>49.311592101999999</v>
      </c>
      <c r="G1606">
        <v>1386.0388184000001</v>
      </c>
      <c r="H1606">
        <v>1371.2993164</v>
      </c>
      <c r="I1606">
        <v>1289.2725829999999</v>
      </c>
      <c r="J1606">
        <v>1270.1737060999999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1103.863112</v>
      </c>
      <c r="B1607" s="1">
        <f>DATE(2013,5,8) + TIME(20,42,52)</f>
        <v>41402.86310185185</v>
      </c>
      <c r="C1607">
        <v>80</v>
      </c>
      <c r="D1607">
        <v>79.959823607999994</v>
      </c>
      <c r="E1607">
        <v>50</v>
      </c>
      <c r="F1607">
        <v>49.293270110999998</v>
      </c>
      <c r="G1607">
        <v>1385.9799805</v>
      </c>
      <c r="H1607">
        <v>1371.2525635</v>
      </c>
      <c r="I1607">
        <v>1289.2683105000001</v>
      </c>
      <c r="J1607">
        <v>1270.1677245999999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1104.11591</v>
      </c>
      <c r="B1608" s="1">
        <f>DATE(2013,5,9) + TIME(2,46,54)</f>
        <v>41403.115902777776</v>
      </c>
      <c r="C1608">
        <v>80</v>
      </c>
      <c r="D1608">
        <v>79.959907532000003</v>
      </c>
      <c r="E1608">
        <v>50</v>
      </c>
      <c r="F1608">
        <v>49.274600982999999</v>
      </c>
      <c r="G1608">
        <v>1385.9215088000001</v>
      </c>
      <c r="H1608">
        <v>1371.2059326000001</v>
      </c>
      <c r="I1608">
        <v>1289.2637939000001</v>
      </c>
      <c r="J1608">
        <v>1270.1617432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1104.375192</v>
      </c>
      <c r="B1609" s="1">
        <f>DATE(2013,5,9) + TIME(9,0,16)</f>
        <v>41403.375185185185</v>
      </c>
      <c r="C1609">
        <v>80</v>
      </c>
      <c r="D1609">
        <v>79.959976196</v>
      </c>
      <c r="E1609">
        <v>50</v>
      </c>
      <c r="F1609">
        <v>49.255550384999999</v>
      </c>
      <c r="G1609">
        <v>1385.8631591999999</v>
      </c>
      <c r="H1609">
        <v>1371.159668</v>
      </c>
      <c r="I1609">
        <v>1289.2592772999999</v>
      </c>
      <c r="J1609">
        <v>1270.1556396000001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1104.641701</v>
      </c>
      <c r="B1610" s="1">
        <f>DATE(2013,5,9) + TIME(15,24,2)</f>
        <v>41403.641689814816</v>
      </c>
      <c r="C1610">
        <v>80</v>
      </c>
      <c r="D1610">
        <v>79.960029602000006</v>
      </c>
      <c r="E1610">
        <v>50</v>
      </c>
      <c r="F1610">
        <v>49.236076355000002</v>
      </c>
      <c r="G1610">
        <v>1385.8048096</v>
      </c>
      <c r="H1610">
        <v>1371.1134033000001</v>
      </c>
      <c r="I1610">
        <v>1289.2546387</v>
      </c>
      <c r="J1610">
        <v>1270.1492920000001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1104.9162610000001</v>
      </c>
      <c r="B1611" s="1">
        <f>DATE(2013,5,9) + TIME(21,59,24)</f>
        <v>41403.916250000002</v>
      </c>
      <c r="C1611">
        <v>80</v>
      </c>
      <c r="D1611">
        <v>79.960075377999999</v>
      </c>
      <c r="E1611">
        <v>50</v>
      </c>
      <c r="F1611">
        <v>49.216133118000002</v>
      </c>
      <c r="G1611">
        <v>1385.7464600000001</v>
      </c>
      <c r="H1611">
        <v>1371.0670166</v>
      </c>
      <c r="I1611">
        <v>1289.2498779</v>
      </c>
      <c r="J1611">
        <v>1270.1428223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1105.1998020000001</v>
      </c>
      <c r="B1612" s="1">
        <f>DATE(2013,5,10) + TIME(4,47,42)</f>
        <v>41404.199791666666</v>
      </c>
      <c r="C1612">
        <v>80</v>
      </c>
      <c r="D1612">
        <v>79.960105896000002</v>
      </c>
      <c r="E1612">
        <v>50</v>
      </c>
      <c r="F1612">
        <v>49.195667266999997</v>
      </c>
      <c r="G1612">
        <v>1385.6877440999999</v>
      </c>
      <c r="H1612">
        <v>1371.0205077999999</v>
      </c>
      <c r="I1612">
        <v>1289.2448730000001</v>
      </c>
      <c r="J1612">
        <v>1270.1361084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1105.4935889999999</v>
      </c>
      <c r="B1613" s="1">
        <f>DATE(2013,5,10) + TIME(11,50,46)</f>
        <v>41404.493587962963</v>
      </c>
      <c r="C1613">
        <v>80</v>
      </c>
      <c r="D1613">
        <v>79.960136414000004</v>
      </c>
      <c r="E1613">
        <v>50</v>
      </c>
      <c r="F1613">
        <v>49.174610137999998</v>
      </c>
      <c r="G1613">
        <v>1385.6286620999999</v>
      </c>
      <c r="H1613">
        <v>1370.9738769999999</v>
      </c>
      <c r="I1613">
        <v>1289.2397461</v>
      </c>
      <c r="J1613">
        <v>1270.1291504000001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1105.792301</v>
      </c>
      <c r="B1614" s="1">
        <f>DATE(2013,5,10) + TIME(19,0,54)</f>
        <v>41404.792291666665</v>
      </c>
      <c r="C1614">
        <v>80</v>
      </c>
      <c r="D1614">
        <v>79.960151671999995</v>
      </c>
      <c r="E1614">
        <v>50</v>
      </c>
      <c r="F1614">
        <v>49.153213501000003</v>
      </c>
      <c r="G1614">
        <v>1385.5690918</v>
      </c>
      <c r="H1614">
        <v>1370.9266356999999</v>
      </c>
      <c r="I1614">
        <v>1289.2344971</v>
      </c>
      <c r="J1614">
        <v>1270.1220702999999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1106.0949069999999</v>
      </c>
      <c r="B1615" s="1">
        <f>DATE(2013,5,11) + TIME(2,16,39)</f>
        <v>41405.094895833332</v>
      </c>
      <c r="C1615">
        <v>80</v>
      </c>
      <c r="D1615">
        <v>79.960159301999994</v>
      </c>
      <c r="E1615">
        <v>50</v>
      </c>
      <c r="F1615">
        <v>49.131557465</v>
      </c>
      <c r="G1615">
        <v>1385.5098877</v>
      </c>
      <c r="H1615">
        <v>1370.8798827999999</v>
      </c>
      <c r="I1615">
        <v>1289.2290039</v>
      </c>
      <c r="J1615">
        <v>1270.1147461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1106.402304</v>
      </c>
      <c r="B1616" s="1">
        <f>DATE(2013,5,11) + TIME(9,39,19)</f>
        <v>41405.402303240742</v>
      </c>
      <c r="C1616">
        <v>80</v>
      </c>
      <c r="D1616">
        <v>79.960166931000003</v>
      </c>
      <c r="E1616">
        <v>50</v>
      </c>
      <c r="F1616">
        <v>49.109615325999997</v>
      </c>
      <c r="G1616">
        <v>1385.4514160000001</v>
      </c>
      <c r="H1616">
        <v>1370.8337402</v>
      </c>
      <c r="I1616">
        <v>1289.2235106999999</v>
      </c>
      <c r="J1616">
        <v>1270.1074219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1106.7136330000001</v>
      </c>
      <c r="B1617" s="1">
        <f>DATE(2013,5,11) + TIME(17,7,37)</f>
        <v>41405.713622685187</v>
      </c>
      <c r="C1617">
        <v>80</v>
      </c>
      <c r="D1617">
        <v>79.960174561000002</v>
      </c>
      <c r="E1617">
        <v>50</v>
      </c>
      <c r="F1617">
        <v>49.087448119999998</v>
      </c>
      <c r="G1617">
        <v>1385.3935547000001</v>
      </c>
      <c r="H1617">
        <v>1370.7880858999999</v>
      </c>
      <c r="I1617">
        <v>1289.2178954999999</v>
      </c>
      <c r="J1617">
        <v>1270.0998535000001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1107.0293690000001</v>
      </c>
      <c r="B1618" s="1">
        <f>DATE(2013,5,12) + TIME(0,42,17)</f>
        <v>41406.029363425929</v>
      </c>
      <c r="C1618">
        <v>80</v>
      </c>
      <c r="D1618">
        <v>79.960166931000003</v>
      </c>
      <c r="E1618">
        <v>50</v>
      </c>
      <c r="F1618">
        <v>49.065048218000001</v>
      </c>
      <c r="G1618">
        <v>1385.3363036999999</v>
      </c>
      <c r="H1618">
        <v>1370.7429199000001</v>
      </c>
      <c r="I1618">
        <v>1289.2121582</v>
      </c>
      <c r="J1618">
        <v>1270.0922852000001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1107.350365</v>
      </c>
      <c r="B1619" s="1">
        <f>DATE(2013,5,12) + TIME(8,24,31)</f>
        <v>41406.350358796299</v>
      </c>
      <c r="C1619">
        <v>80</v>
      </c>
      <c r="D1619">
        <v>79.960166931000003</v>
      </c>
      <c r="E1619">
        <v>50</v>
      </c>
      <c r="F1619">
        <v>49.042381286999998</v>
      </c>
      <c r="G1619">
        <v>1385.2795410000001</v>
      </c>
      <c r="H1619">
        <v>1370.6982422000001</v>
      </c>
      <c r="I1619">
        <v>1289.2064209</v>
      </c>
      <c r="J1619">
        <v>1270.0844727000001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1107.6775070000001</v>
      </c>
      <c r="B1620" s="1">
        <f>DATE(2013,5,12) + TIME(16,15,36)</f>
        <v>41406.677499999998</v>
      </c>
      <c r="C1620">
        <v>80</v>
      </c>
      <c r="D1620">
        <v>79.960159301999994</v>
      </c>
      <c r="E1620">
        <v>50</v>
      </c>
      <c r="F1620">
        <v>49.019405364999997</v>
      </c>
      <c r="G1620">
        <v>1385.2232666</v>
      </c>
      <c r="H1620">
        <v>1370.6538086</v>
      </c>
      <c r="I1620">
        <v>1289.2005615</v>
      </c>
      <c r="J1620">
        <v>1270.0765381000001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1108.0117339999999</v>
      </c>
      <c r="B1621" s="1">
        <f>DATE(2013,5,13) + TIME(0,16,53)</f>
        <v>41407.011724537035</v>
      </c>
      <c r="C1621">
        <v>80</v>
      </c>
      <c r="D1621">
        <v>79.960151671999995</v>
      </c>
      <c r="E1621">
        <v>50</v>
      </c>
      <c r="F1621">
        <v>48.996074677000003</v>
      </c>
      <c r="G1621">
        <v>1385.1671143000001</v>
      </c>
      <c r="H1621">
        <v>1370.6097411999999</v>
      </c>
      <c r="I1621">
        <v>1289.1945800999999</v>
      </c>
      <c r="J1621">
        <v>1270.0684814000001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1108.3540599999999</v>
      </c>
      <c r="B1622" s="1">
        <f>DATE(2013,5,13) + TIME(8,29,50)</f>
        <v>41407.354050925926</v>
      </c>
      <c r="C1622">
        <v>80</v>
      </c>
      <c r="D1622">
        <v>79.960144043</v>
      </c>
      <c r="E1622">
        <v>50</v>
      </c>
      <c r="F1622">
        <v>48.972335815000001</v>
      </c>
      <c r="G1622">
        <v>1385.1112060999999</v>
      </c>
      <c r="H1622">
        <v>1370.5656738</v>
      </c>
      <c r="I1622">
        <v>1289.1884766000001</v>
      </c>
      <c r="J1622">
        <v>1270.0603027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1108.7055929999999</v>
      </c>
      <c r="B1623" s="1">
        <f>DATE(2013,5,13) + TIME(16,56,3)</f>
        <v>41407.705590277779</v>
      </c>
      <c r="C1623">
        <v>80</v>
      </c>
      <c r="D1623">
        <v>79.960128784000005</v>
      </c>
      <c r="E1623">
        <v>50</v>
      </c>
      <c r="F1623">
        <v>48.948123932000001</v>
      </c>
      <c r="G1623">
        <v>1385.0550536999999</v>
      </c>
      <c r="H1623">
        <v>1370.5214844</v>
      </c>
      <c r="I1623">
        <v>1289.182251</v>
      </c>
      <c r="J1623">
        <v>1270.0518798999999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1109.064989</v>
      </c>
      <c r="B1624" s="1">
        <f>DATE(2013,5,14) + TIME(1,33,35)</f>
        <v>41408.064988425926</v>
      </c>
      <c r="C1624">
        <v>80</v>
      </c>
      <c r="D1624">
        <v>79.960113524999997</v>
      </c>
      <c r="E1624">
        <v>50</v>
      </c>
      <c r="F1624">
        <v>48.923488616999997</v>
      </c>
      <c r="G1624">
        <v>1384.9987793</v>
      </c>
      <c r="H1624">
        <v>1370.4772949000001</v>
      </c>
      <c r="I1624">
        <v>1289.1757812000001</v>
      </c>
      <c r="J1624">
        <v>1270.0432129000001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1109.4304380000001</v>
      </c>
      <c r="B1625" s="1">
        <f>DATE(2013,5,14) + TIME(10,19,49)</f>
        <v>41408.430428240739</v>
      </c>
      <c r="C1625">
        <v>80</v>
      </c>
      <c r="D1625">
        <v>79.960105896000002</v>
      </c>
      <c r="E1625">
        <v>50</v>
      </c>
      <c r="F1625">
        <v>48.898513794000003</v>
      </c>
      <c r="G1625">
        <v>1384.9423827999999</v>
      </c>
      <c r="H1625">
        <v>1370.4329834</v>
      </c>
      <c r="I1625">
        <v>1289.1690673999999</v>
      </c>
      <c r="J1625">
        <v>1270.0343018000001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1109.8029120000001</v>
      </c>
      <c r="B1626" s="1">
        <f>DATE(2013,5,14) + TIME(19,16,11)</f>
        <v>41408.802905092591</v>
      </c>
      <c r="C1626">
        <v>80</v>
      </c>
      <c r="D1626">
        <v>79.960090636999993</v>
      </c>
      <c r="E1626">
        <v>50</v>
      </c>
      <c r="F1626">
        <v>48.873172760000003</v>
      </c>
      <c r="G1626">
        <v>1384.8864745999999</v>
      </c>
      <c r="H1626">
        <v>1370.3890381000001</v>
      </c>
      <c r="I1626">
        <v>1289.1623535000001</v>
      </c>
      <c r="J1626">
        <v>1270.0252685999999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1110.1833979999999</v>
      </c>
      <c r="B1627" s="1">
        <f>DATE(2013,5,15) + TIME(4,24,5)</f>
        <v>41409.183391203704</v>
      </c>
      <c r="C1627">
        <v>80</v>
      </c>
      <c r="D1627">
        <v>79.960075377999999</v>
      </c>
      <c r="E1627">
        <v>50</v>
      </c>
      <c r="F1627">
        <v>48.847427367999998</v>
      </c>
      <c r="G1627">
        <v>1384.8306885</v>
      </c>
      <c r="H1627">
        <v>1370.3452147999999</v>
      </c>
      <c r="I1627">
        <v>1289.1555175999999</v>
      </c>
      <c r="J1627">
        <v>1270.0159911999999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1110.5729690000001</v>
      </c>
      <c r="B1628" s="1">
        <f>DATE(2013,5,15) + TIME(13,45,4)</f>
        <v>41409.572962962964</v>
      </c>
      <c r="C1628">
        <v>80</v>
      </c>
      <c r="D1628">
        <v>79.960060119999994</v>
      </c>
      <c r="E1628">
        <v>50</v>
      </c>
      <c r="F1628">
        <v>48.821231842000003</v>
      </c>
      <c r="G1628">
        <v>1384.7749022999999</v>
      </c>
      <c r="H1628">
        <v>1370.3015137</v>
      </c>
      <c r="I1628">
        <v>1289.1484375</v>
      </c>
      <c r="J1628">
        <v>1270.0065918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1110.9727379999999</v>
      </c>
      <c r="B1629" s="1">
        <f>DATE(2013,5,15) + TIME(23,20,44)</f>
        <v>41409.972731481481</v>
      </c>
      <c r="C1629">
        <v>80</v>
      </c>
      <c r="D1629">
        <v>79.960044861</v>
      </c>
      <c r="E1629">
        <v>50</v>
      </c>
      <c r="F1629">
        <v>48.794525145999998</v>
      </c>
      <c r="G1629">
        <v>1384.7189940999999</v>
      </c>
      <c r="H1629">
        <v>1370.2575684000001</v>
      </c>
      <c r="I1629">
        <v>1289.1412353999999</v>
      </c>
      <c r="J1629">
        <v>1269.9969481999999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1111.379539</v>
      </c>
      <c r="B1630" s="1">
        <f>DATE(2013,5,16) + TIME(9,6,32)</f>
        <v>41410.379537037035</v>
      </c>
      <c r="C1630">
        <v>80</v>
      </c>
      <c r="D1630">
        <v>79.960021972999996</v>
      </c>
      <c r="E1630">
        <v>50</v>
      </c>
      <c r="F1630">
        <v>48.767436981000003</v>
      </c>
      <c r="G1630">
        <v>1384.6628418</v>
      </c>
      <c r="H1630">
        <v>1370.213501</v>
      </c>
      <c r="I1630">
        <v>1289.1337891000001</v>
      </c>
      <c r="J1630">
        <v>1269.9869385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1111.7925250000001</v>
      </c>
      <c r="B1631" s="1">
        <f>DATE(2013,5,16) + TIME(19,1,14)</f>
        <v>41410.792523148149</v>
      </c>
      <c r="C1631">
        <v>80</v>
      </c>
      <c r="D1631">
        <v>79.960006714000002</v>
      </c>
      <c r="E1631">
        <v>50</v>
      </c>
      <c r="F1631">
        <v>48.740016937</v>
      </c>
      <c r="G1631">
        <v>1384.6069336</v>
      </c>
      <c r="H1631">
        <v>1370.1696777</v>
      </c>
      <c r="I1631">
        <v>1289.1262207</v>
      </c>
      <c r="J1631">
        <v>1269.9768065999999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1112.2130199999999</v>
      </c>
      <c r="B1632" s="1">
        <f>DATE(2013,5,17) + TIME(5,6,44)</f>
        <v>41411.213009259256</v>
      </c>
      <c r="C1632">
        <v>80</v>
      </c>
      <c r="D1632">
        <v>79.959991454999994</v>
      </c>
      <c r="E1632">
        <v>50</v>
      </c>
      <c r="F1632">
        <v>48.712234496999997</v>
      </c>
      <c r="G1632">
        <v>1384.5513916</v>
      </c>
      <c r="H1632">
        <v>1370.1260986</v>
      </c>
      <c r="I1632">
        <v>1289.1185303</v>
      </c>
      <c r="J1632">
        <v>1269.9665527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1112.638852</v>
      </c>
      <c r="B1633" s="1">
        <f>DATE(2013,5,17) + TIME(15,19,56)</f>
        <v>41411.638842592591</v>
      </c>
      <c r="C1633">
        <v>80</v>
      </c>
      <c r="D1633">
        <v>79.959976196</v>
      </c>
      <c r="E1633">
        <v>50</v>
      </c>
      <c r="F1633">
        <v>48.684185028000002</v>
      </c>
      <c r="G1633">
        <v>1384.4959716999999</v>
      </c>
      <c r="H1633">
        <v>1370.0826416</v>
      </c>
      <c r="I1633">
        <v>1289.1107178</v>
      </c>
      <c r="J1633">
        <v>1269.9559326000001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1113.0709890000001</v>
      </c>
      <c r="B1634" s="1">
        <f>DATE(2013,5,18) + TIME(1,42,13)</f>
        <v>41412.070983796293</v>
      </c>
      <c r="C1634">
        <v>80</v>
      </c>
      <c r="D1634">
        <v>79.959960937999995</v>
      </c>
      <c r="E1634">
        <v>50</v>
      </c>
      <c r="F1634">
        <v>48.655853270999998</v>
      </c>
      <c r="G1634">
        <v>1384.4410399999999</v>
      </c>
      <c r="H1634">
        <v>1370.0395507999999</v>
      </c>
      <c r="I1634">
        <v>1289.1026611</v>
      </c>
      <c r="J1634">
        <v>1269.9453125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1113.510683</v>
      </c>
      <c r="B1635" s="1">
        <f>DATE(2013,5,18) + TIME(12,15,22)</f>
        <v>41412.510671296295</v>
      </c>
      <c r="C1635">
        <v>80</v>
      </c>
      <c r="D1635">
        <v>79.959945679</v>
      </c>
      <c r="E1635">
        <v>50</v>
      </c>
      <c r="F1635">
        <v>48.627197266000003</v>
      </c>
      <c r="G1635">
        <v>1384.3863524999999</v>
      </c>
      <c r="H1635">
        <v>1369.9967041</v>
      </c>
      <c r="I1635">
        <v>1289.0946045000001</v>
      </c>
      <c r="J1635">
        <v>1269.9344481999999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1113.959265</v>
      </c>
      <c r="B1636" s="1">
        <f>DATE(2013,5,18) + TIME(23,1,20)</f>
        <v>41412.95925925926</v>
      </c>
      <c r="C1636">
        <v>80</v>
      </c>
      <c r="D1636">
        <v>79.959930420000006</v>
      </c>
      <c r="E1636">
        <v>50</v>
      </c>
      <c r="F1636">
        <v>48.598155974999997</v>
      </c>
      <c r="G1636">
        <v>1384.3319091999999</v>
      </c>
      <c r="H1636">
        <v>1369.9539795000001</v>
      </c>
      <c r="I1636">
        <v>1289.0863036999999</v>
      </c>
      <c r="J1636">
        <v>1269.9233397999999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1114.4181679999999</v>
      </c>
      <c r="B1637" s="1">
        <f>DATE(2013,5,19) + TIME(10,2,9)</f>
        <v>41413.41815972222</v>
      </c>
      <c r="C1637">
        <v>80</v>
      </c>
      <c r="D1637">
        <v>79.959915160999998</v>
      </c>
      <c r="E1637">
        <v>50</v>
      </c>
      <c r="F1637">
        <v>48.568664550999998</v>
      </c>
      <c r="G1637">
        <v>1384.2773437999999</v>
      </c>
      <c r="H1637">
        <v>1369.9112548999999</v>
      </c>
      <c r="I1637">
        <v>1289.0778809000001</v>
      </c>
      <c r="J1637">
        <v>1269.9121094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1114.88896</v>
      </c>
      <c r="B1638" s="1">
        <f>DATE(2013,5,19) + TIME(21,20,6)</f>
        <v>41413.888958333337</v>
      </c>
      <c r="C1638">
        <v>80</v>
      </c>
      <c r="D1638">
        <v>79.959899902000004</v>
      </c>
      <c r="E1638">
        <v>50</v>
      </c>
      <c r="F1638">
        <v>48.538646698000001</v>
      </c>
      <c r="G1638">
        <v>1384.2227783000001</v>
      </c>
      <c r="H1638">
        <v>1369.8684082</v>
      </c>
      <c r="I1638">
        <v>1289.0693358999999</v>
      </c>
      <c r="J1638">
        <v>1269.9005127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1115.3737610000001</v>
      </c>
      <c r="B1639" s="1">
        <f>DATE(2013,5,20) + TIME(8,58,12)</f>
        <v>41414.373749999999</v>
      </c>
      <c r="C1639">
        <v>80</v>
      </c>
      <c r="D1639">
        <v>79.959884643999999</v>
      </c>
      <c r="E1639">
        <v>50</v>
      </c>
      <c r="F1639">
        <v>48.507991791000002</v>
      </c>
      <c r="G1639">
        <v>1384.1678466999999</v>
      </c>
      <c r="H1639">
        <v>1369.8253173999999</v>
      </c>
      <c r="I1639">
        <v>1289.0604248</v>
      </c>
      <c r="J1639">
        <v>1269.8885498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1115.8671890000001</v>
      </c>
      <c r="B1640" s="1">
        <f>DATE(2013,5,20) + TIME(20,48,45)</f>
        <v>41414.8671875</v>
      </c>
      <c r="C1640">
        <v>80</v>
      </c>
      <c r="D1640">
        <v>79.959869385000005</v>
      </c>
      <c r="E1640">
        <v>50</v>
      </c>
      <c r="F1640">
        <v>48.476875305</v>
      </c>
      <c r="G1640">
        <v>1384.1124268000001</v>
      </c>
      <c r="H1640">
        <v>1369.7818603999999</v>
      </c>
      <c r="I1640">
        <v>1289.0512695</v>
      </c>
      <c r="J1640">
        <v>1269.8762207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1116.365949</v>
      </c>
      <c r="B1641" s="1">
        <f>DATE(2013,5,21) + TIME(8,46,57)</f>
        <v>41415.365937499999</v>
      </c>
      <c r="C1641">
        <v>80</v>
      </c>
      <c r="D1641">
        <v>79.959854125999996</v>
      </c>
      <c r="E1641">
        <v>50</v>
      </c>
      <c r="F1641">
        <v>48.445453643999997</v>
      </c>
      <c r="G1641">
        <v>1384.0570068</v>
      </c>
      <c r="H1641">
        <v>1369.7384033000001</v>
      </c>
      <c r="I1641">
        <v>1289.0418701000001</v>
      </c>
      <c r="J1641">
        <v>1269.8637695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1116.8712869999999</v>
      </c>
      <c r="B1642" s="1">
        <f>DATE(2013,5,21) + TIME(20,54,39)</f>
        <v>41415.87128472222</v>
      </c>
      <c r="C1642">
        <v>80</v>
      </c>
      <c r="D1642">
        <v>79.959838867000002</v>
      </c>
      <c r="E1642">
        <v>50</v>
      </c>
      <c r="F1642">
        <v>48.413738250999998</v>
      </c>
      <c r="G1642">
        <v>1384.0021973</v>
      </c>
      <c r="H1642">
        <v>1369.6954346</v>
      </c>
      <c r="I1642">
        <v>1289.0323486</v>
      </c>
      <c r="J1642">
        <v>1269.8509521000001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1117.3844549999999</v>
      </c>
      <c r="B1643" s="1">
        <f>DATE(2013,5,22) + TIME(9,13,36)</f>
        <v>41416.384444444448</v>
      </c>
      <c r="C1643">
        <v>80</v>
      </c>
      <c r="D1643">
        <v>79.959823607999994</v>
      </c>
      <c r="E1643">
        <v>50</v>
      </c>
      <c r="F1643">
        <v>48.381713867000002</v>
      </c>
      <c r="G1643">
        <v>1383.9476318</v>
      </c>
      <c r="H1643">
        <v>1369.6525879000001</v>
      </c>
      <c r="I1643">
        <v>1289.0227050999999</v>
      </c>
      <c r="J1643">
        <v>1269.8380127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1117.9067640000001</v>
      </c>
      <c r="B1644" s="1">
        <f>DATE(2013,5,22) + TIME(21,45,44)</f>
        <v>41416.906759259262</v>
      </c>
      <c r="C1644">
        <v>80</v>
      </c>
      <c r="D1644">
        <v>79.959815978999998</v>
      </c>
      <c r="E1644">
        <v>50</v>
      </c>
      <c r="F1644">
        <v>48.349330901999998</v>
      </c>
      <c r="G1644">
        <v>1383.8933105000001</v>
      </c>
      <c r="H1644">
        <v>1369.6099853999999</v>
      </c>
      <c r="I1644">
        <v>1289.0128173999999</v>
      </c>
      <c r="J1644">
        <v>1269.8248291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1118.4396180000001</v>
      </c>
      <c r="B1645" s="1">
        <f>DATE(2013,5,23) + TIME(10,33,3)</f>
        <v>41417.439618055556</v>
      </c>
      <c r="C1645">
        <v>80</v>
      </c>
      <c r="D1645">
        <v>79.959800720000004</v>
      </c>
      <c r="E1645">
        <v>50</v>
      </c>
      <c r="F1645">
        <v>48.316535950000002</v>
      </c>
      <c r="G1645">
        <v>1383.8391113</v>
      </c>
      <c r="H1645">
        <v>1369.5673827999999</v>
      </c>
      <c r="I1645">
        <v>1289.0028076000001</v>
      </c>
      <c r="J1645">
        <v>1269.8114014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1118.97921</v>
      </c>
      <c r="B1646" s="1">
        <f>DATE(2013,5,23) + TIME(23,30,3)</f>
        <v>41417.979201388887</v>
      </c>
      <c r="C1646">
        <v>80</v>
      </c>
      <c r="D1646">
        <v>79.959785460999996</v>
      </c>
      <c r="E1646">
        <v>50</v>
      </c>
      <c r="F1646">
        <v>48.283443450999997</v>
      </c>
      <c r="G1646">
        <v>1383.7847899999999</v>
      </c>
      <c r="H1646">
        <v>1369.5246582</v>
      </c>
      <c r="I1646">
        <v>1288.9925536999999</v>
      </c>
      <c r="J1646">
        <v>1269.7976074000001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1119.5269049999999</v>
      </c>
      <c r="B1647" s="1">
        <f>DATE(2013,5,24) + TIME(12,38,44)</f>
        <v>41418.526898148149</v>
      </c>
      <c r="C1647">
        <v>80</v>
      </c>
      <c r="D1647">
        <v>79.959777832</v>
      </c>
      <c r="E1647">
        <v>50</v>
      </c>
      <c r="F1647">
        <v>48.250038146999998</v>
      </c>
      <c r="G1647">
        <v>1383.7308350000001</v>
      </c>
      <c r="H1647">
        <v>1369.4822998</v>
      </c>
      <c r="I1647">
        <v>1288.9821777</v>
      </c>
      <c r="J1647">
        <v>1269.7835693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1120.084337</v>
      </c>
      <c r="B1648" s="1">
        <f>DATE(2013,5,25) + TIME(2,1,26)</f>
        <v>41419.084328703706</v>
      </c>
      <c r="C1648">
        <v>80</v>
      </c>
      <c r="D1648">
        <v>79.959762573000006</v>
      </c>
      <c r="E1648">
        <v>50</v>
      </c>
      <c r="F1648">
        <v>48.216266632</v>
      </c>
      <c r="G1648">
        <v>1383.677124</v>
      </c>
      <c r="H1648">
        <v>1369.4399414</v>
      </c>
      <c r="I1648">
        <v>1288.9715576000001</v>
      </c>
      <c r="J1648">
        <v>1269.7692870999999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1120.6532420000001</v>
      </c>
      <c r="B1649" s="1">
        <f>DATE(2013,5,25) + TIME(15,40,40)</f>
        <v>41419.653240740743</v>
      </c>
      <c r="C1649">
        <v>80</v>
      </c>
      <c r="D1649">
        <v>79.959754943999997</v>
      </c>
      <c r="E1649">
        <v>50</v>
      </c>
      <c r="F1649">
        <v>48.182067871000001</v>
      </c>
      <c r="G1649">
        <v>1383.6232910000001</v>
      </c>
      <c r="H1649">
        <v>1369.3977050999999</v>
      </c>
      <c r="I1649">
        <v>1288.9606934000001</v>
      </c>
      <c r="J1649">
        <v>1269.7547606999999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1121.2354929999999</v>
      </c>
      <c r="B1650" s="1">
        <f>DATE(2013,5,26) + TIME(5,39,6)</f>
        <v>41420.235486111109</v>
      </c>
      <c r="C1650">
        <v>80</v>
      </c>
      <c r="D1650">
        <v>79.959739685000002</v>
      </c>
      <c r="E1650">
        <v>50</v>
      </c>
      <c r="F1650">
        <v>48.147350310999997</v>
      </c>
      <c r="G1650">
        <v>1383.5694579999999</v>
      </c>
      <c r="H1650">
        <v>1369.3553466999999</v>
      </c>
      <c r="I1650">
        <v>1288.9495850000001</v>
      </c>
      <c r="J1650">
        <v>1269.7397461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1121.832206</v>
      </c>
      <c r="B1651" s="1">
        <f>DATE(2013,5,26) + TIME(19,58,22)</f>
        <v>41420.832199074073</v>
      </c>
      <c r="C1651">
        <v>80</v>
      </c>
      <c r="D1651">
        <v>79.959732056000007</v>
      </c>
      <c r="E1651">
        <v>50</v>
      </c>
      <c r="F1651">
        <v>48.112052917</v>
      </c>
      <c r="G1651">
        <v>1383.5153809000001</v>
      </c>
      <c r="H1651">
        <v>1369.3126221</v>
      </c>
      <c r="I1651">
        <v>1288.9382324000001</v>
      </c>
      <c r="J1651">
        <v>1269.7243652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1122.4395830000001</v>
      </c>
      <c r="B1652" s="1">
        <f>DATE(2013,5,27) + TIME(10,33,0)</f>
        <v>41421.439583333333</v>
      </c>
      <c r="C1652">
        <v>80</v>
      </c>
      <c r="D1652">
        <v>79.959716796999999</v>
      </c>
      <c r="E1652">
        <v>50</v>
      </c>
      <c r="F1652">
        <v>48.076263427999997</v>
      </c>
      <c r="G1652">
        <v>1383.4608154</v>
      </c>
      <c r="H1652">
        <v>1369.2697754000001</v>
      </c>
      <c r="I1652">
        <v>1288.9263916</v>
      </c>
      <c r="J1652">
        <v>1269.7084961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1123.0595410000001</v>
      </c>
      <c r="B1653" s="1">
        <f>DATE(2013,5,28) + TIME(1,25,44)</f>
        <v>41422.059537037036</v>
      </c>
      <c r="C1653">
        <v>80</v>
      </c>
      <c r="D1653">
        <v>79.959709167</v>
      </c>
      <c r="E1653">
        <v>50</v>
      </c>
      <c r="F1653">
        <v>48.039962768999999</v>
      </c>
      <c r="G1653">
        <v>1383.4063721</v>
      </c>
      <c r="H1653">
        <v>1369.2268065999999</v>
      </c>
      <c r="I1653">
        <v>1288.9144286999999</v>
      </c>
      <c r="J1653">
        <v>1269.6923827999999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1123.6910680000001</v>
      </c>
      <c r="B1654" s="1">
        <f>DATE(2013,5,28) + TIME(16,35,8)</f>
        <v>41422.691064814811</v>
      </c>
      <c r="C1654">
        <v>80</v>
      </c>
      <c r="D1654">
        <v>79.959701538000004</v>
      </c>
      <c r="E1654">
        <v>50</v>
      </c>
      <c r="F1654">
        <v>48.003177643000001</v>
      </c>
      <c r="G1654">
        <v>1383.3518065999999</v>
      </c>
      <c r="H1654">
        <v>1369.1837158000001</v>
      </c>
      <c r="I1654">
        <v>1288.9020995999999</v>
      </c>
      <c r="J1654">
        <v>1269.6756591999999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1124.324844</v>
      </c>
      <c r="B1655" s="1">
        <f>DATE(2013,5,29) + TIME(7,47,46)</f>
        <v>41423.324837962966</v>
      </c>
      <c r="C1655">
        <v>80</v>
      </c>
      <c r="D1655">
        <v>79.959693908999995</v>
      </c>
      <c r="E1655">
        <v>50</v>
      </c>
      <c r="F1655">
        <v>47.966213226000001</v>
      </c>
      <c r="G1655">
        <v>1383.2971190999999</v>
      </c>
      <c r="H1655">
        <v>1369.140625</v>
      </c>
      <c r="I1655">
        <v>1288.8894043</v>
      </c>
      <c r="J1655">
        <v>1269.6586914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1124.962751</v>
      </c>
      <c r="B1656" s="1">
        <f>DATE(2013,5,29) + TIME(23,6,21)</f>
        <v>41423.962743055556</v>
      </c>
      <c r="C1656">
        <v>80</v>
      </c>
      <c r="D1656">
        <v>79.959686278999996</v>
      </c>
      <c r="E1656">
        <v>50</v>
      </c>
      <c r="F1656">
        <v>47.929138184000003</v>
      </c>
      <c r="G1656">
        <v>1383.2431641000001</v>
      </c>
      <c r="H1656">
        <v>1369.0980225000001</v>
      </c>
      <c r="I1656">
        <v>1288.8767089999999</v>
      </c>
      <c r="J1656">
        <v>1269.6414795000001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1125.606659</v>
      </c>
      <c r="B1657" s="1">
        <f>DATE(2013,5,30) + TIME(14,33,35)</f>
        <v>41424.60665509259</v>
      </c>
      <c r="C1657">
        <v>80</v>
      </c>
      <c r="D1657">
        <v>79.959678650000001</v>
      </c>
      <c r="E1657">
        <v>50</v>
      </c>
      <c r="F1657">
        <v>47.8919487</v>
      </c>
      <c r="G1657">
        <v>1383.1899414</v>
      </c>
      <c r="H1657">
        <v>1369.0559082</v>
      </c>
      <c r="I1657">
        <v>1288.8637695</v>
      </c>
      <c r="J1657">
        <v>1269.6240233999999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1126.25846</v>
      </c>
      <c r="B1658" s="1">
        <f>DATE(2013,5,31) + TIME(6,12,10)</f>
        <v>41425.258449074077</v>
      </c>
      <c r="C1658">
        <v>80</v>
      </c>
      <c r="D1658">
        <v>79.959671021000005</v>
      </c>
      <c r="E1658">
        <v>50</v>
      </c>
      <c r="F1658">
        <v>47.854576111</v>
      </c>
      <c r="G1658">
        <v>1383.1369629000001</v>
      </c>
      <c r="H1658">
        <v>1369.0140381000001</v>
      </c>
      <c r="I1658">
        <v>1288.8507079999999</v>
      </c>
      <c r="J1658">
        <v>1269.6063231999999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1126.920102</v>
      </c>
      <c r="B1659" s="1">
        <f>DATE(2013,5,31) + TIME(22,4,56)</f>
        <v>41425.920092592591</v>
      </c>
      <c r="C1659">
        <v>80</v>
      </c>
      <c r="D1659">
        <v>79.959663391000007</v>
      </c>
      <c r="E1659">
        <v>50</v>
      </c>
      <c r="F1659">
        <v>47.816951752000001</v>
      </c>
      <c r="G1659">
        <v>1383.0843506000001</v>
      </c>
      <c r="H1659">
        <v>1368.9722899999999</v>
      </c>
      <c r="I1659">
        <v>1288.8374022999999</v>
      </c>
      <c r="J1659">
        <v>1269.5882568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1127</v>
      </c>
      <c r="B1660" s="1">
        <f>DATE(2013,6,1) + TIME(0,0,0)</f>
        <v>41426</v>
      </c>
      <c r="C1660">
        <v>80</v>
      </c>
      <c r="D1660">
        <v>79.959648131999998</v>
      </c>
      <c r="E1660">
        <v>50</v>
      </c>
      <c r="F1660">
        <v>47.809062957999998</v>
      </c>
      <c r="G1660">
        <v>1383.0338135</v>
      </c>
      <c r="H1660">
        <v>1368.9327393000001</v>
      </c>
      <c r="I1660">
        <v>1288.8214111</v>
      </c>
      <c r="J1660">
        <v>1269.5734863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1127.6735249999999</v>
      </c>
      <c r="B1661" s="1">
        <f>DATE(2013,6,1) + TIME(16,9,52)</f>
        <v>41426.673518518517</v>
      </c>
      <c r="C1661">
        <v>80</v>
      </c>
      <c r="D1661">
        <v>79.959655761999997</v>
      </c>
      <c r="E1661">
        <v>50</v>
      </c>
      <c r="F1661">
        <v>47.772724152000002</v>
      </c>
      <c r="G1661">
        <v>1383.0251464999999</v>
      </c>
      <c r="H1661">
        <v>1368.9254149999999</v>
      </c>
      <c r="I1661">
        <v>1288.8222656</v>
      </c>
      <c r="J1661">
        <v>1269.5671387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1128.363014</v>
      </c>
      <c r="B1662" s="1">
        <f>DATE(2013,6,2) + TIME(8,42,44)</f>
        <v>41427.363009259258</v>
      </c>
      <c r="C1662">
        <v>80</v>
      </c>
      <c r="D1662">
        <v>79.959648131999998</v>
      </c>
      <c r="E1662">
        <v>50</v>
      </c>
      <c r="F1662">
        <v>47.735103606999999</v>
      </c>
      <c r="G1662">
        <v>1382.9729004000001</v>
      </c>
      <c r="H1662">
        <v>1368.8840332</v>
      </c>
      <c r="I1662">
        <v>1288.8083495999999</v>
      </c>
      <c r="J1662">
        <v>1269.5484618999999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1129.0695900000001</v>
      </c>
      <c r="B1663" s="1">
        <f>DATE(2013,6,3) + TIME(1,40,12)</f>
        <v>41428.06958333333</v>
      </c>
      <c r="C1663">
        <v>80</v>
      </c>
      <c r="D1663">
        <v>79.959640503000003</v>
      </c>
      <c r="E1663">
        <v>50</v>
      </c>
      <c r="F1663">
        <v>47.696468353</v>
      </c>
      <c r="G1663">
        <v>1382.9200439000001</v>
      </c>
      <c r="H1663">
        <v>1368.8420410000001</v>
      </c>
      <c r="I1663">
        <v>1288.7939452999999</v>
      </c>
      <c r="J1663">
        <v>1269.5289307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1129.7930369999999</v>
      </c>
      <c r="B1664" s="1">
        <f>DATE(2013,6,3) + TIME(19,1,58)</f>
        <v>41428.793032407404</v>
      </c>
      <c r="C1664">
        <v>80</v>
      </c>
      <c r="D1664">
        <v>79.959640503000003</v>
      </c>
      <c r="E1664">
        <v>50</v>
      </c>
      <c r="F1664">
        <v>47.656974792</v>
      </c>
      <c r="G1664">
        <v>1382.8666992000001</v>
      </c>
      <c r="H1664">
        <v>1368.7996826000001</v>
      </c>
      <c r="I1664">
        <v>1288.7791748</v>
      </c>
      <c r="J1664">
        <v>1269.5087891000001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1130.5319380000001</v>
      </c>
      <c r="B1665" s="1">
        <f>DATE(2013,6,4) + TIME(12,45,59)</f>
        <v>41429.53193287037</v>
      </c>
      <c r="C1665">
        <v>80</v>
      </c>
      <c r="D1665">
        <v>79.959632873999993</v>
      </c>
      <c r="E1665">
        <v>50</v>
      </c>
      <c r="F1665">
        <v>47.616744994999998</v>
      </c>
      <c r="G1665">
        <v>1382.8129882999999</v>
      </c>
      <c r="H1665">
        <v>1368.7570800999999</v>
      </c>
      <c r="I1665">
        <v>1288.7637939000001</v>
      </c>
      <c r="J1665">
        <v>1269.4879149999999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1131.2848300000001</v>
      </c>
      <c r="B1666" s="1">
        <f>DATE(2013,6,5) + TIME(6,50,9)</f>
        <v>41430.284826388888</v>
      </c>
      <c r="C1666">
        <v>80</v>
      </c>
      <c r="D1666">
        <v>79.959632873999993</v>
      </c>
      <c r="E1666">
        <v>50</v>
      </c>
      <c r="F1666">
        <v>47.575885773000003</v>
      </c>
      <c r="G1666">
        <v>1382.7590332</v>
      </c>
      <c r="H1666">
        <v>1368.7141113</v>
      </c>
      <c r="I1666">
        <v>1288.7480469</v>
      </c>
      <c r="J1666">
        <v>1269.4664307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1132.043449</v>
      </c>
      <c r="B1667" s="1">
        <f>DATE(2013,6,6) + TIME(1,2,33)</f>
        <v>41431.043437499997</v>
      </c>
      <c r="C1667">
        <v>80</v>
      </c>
      <c r="D1667">
        <v>79.959625243999994</v>
      </c>
      <c r="E1667">
        <v>50</v>
      </c>
      <c r="F1667">
        <v>47.534683227999999</v>
      </c>
      <c r="G1667">
        <v>1382.7048339999999</v>
      </c>
      <c r="H1667">
        <v>1368.6710204999999</v>
      </c>
      <c r="I1667">
        <v>1288.7319336</v>
      </c>
      <c r="J1667">
        <v>1269.4443358999999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1132.8060660000001</v>
      </c>
      <c r="B1668" s="1">
        <f>DATE(2013,6,6) + TIME(19,20,44)</f>
        <v>41431.806064814817</v>
      </c>
      <c r="C1668">
        <v>80</v>
      </c>
      <c r="D1668">
        <v>79.959625243999994</v>
      </c>
      <c r="E1668">
        <v>50</v>
      </c>
      <c r="F1668">
        <v>47.493324280000003</v>
      </c>
      <c r="G1668">
        <v>1382.6512451000001</v>
      </c>
      <c r="H1668">
        <v>1368.6282959</v>
      </c>
      <c r="I1668">
        <v>1288.7154541</v>
      </c>
      <c r="J1668">
        <v>1269.4217529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1133.575008</v>
      </c>
      <c r="B1669" s="1">
        <f>DATE(2013,6,7) + TIME(13,48,0)</f>
        <v>41432.574999999997</v>
      </c>
      <c r="C1669">
        <v>80</v>
      </c>
      <c r="D1669">
        <v>79.959617614999999</v>
      </c>
      <c r="E1669">
        <v>50</v>
      </c>
      <c r="F1669">
        <v>47.451850890999999</v>
      </c>
      <c r="G1669">
        <v>1382.5981445</v>
      </c>
      <c r="H1669">
        <v>1368.5859375</v>
      </c>
      <c r="I1669">
        <v>1288.6988524999999</v>
      </c>
      <c r="J1669">
        <v>1269.3989257999999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1134.3526059999999</v>
      </c>
      <c r="B1670" s="1">
        <f>DATE(2013,6,8) + TIME(8,27,45)</f>
        <v>41433.35260416667</v>
      </c>
      <c r="C1670">
        <v>80</v>
      </c>
      <c r="D1670">
        <v>79.959617614999999</v>
      </c>
      <c r="E1670">
        <v>50</v>
      </c>
      <c r="F1670">
        <v>47.410217285000002</v>
      </c>
      <c r="G1670">
        <v>1382.5454102000001</v>
      </c>
      <c r="H1670">
        <v>1368.5438231999999</v>
      </c>
      <c r="I1670">
        <v>1288.6818848</v>
      </c>
      <c r="J1670">
        <v>1269.3754882999999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1135.141253</v>
      </c>
      <c r="B1671" s="1">
        <f>DATE(2013,6,9) + TIME(3,23,24)</f>
        <v>41434.141250000001</v>
      </c>
      <c r="C1671">
        <v>80</v>
      </c>
      <c r="D1671">
        <v>79.959617614999999</v>
      </c>
      <c r="E1671">
        <v>50</v>
      </c>
      <c r="F1671">
        <v>47.368339538999997</v>
      </c>
      <c r="G1671">
        <v>1382.4930420000001</v>
      </c>
      <c r="H1671">
        <v>1368.5018310999999</v>
      </c>
      <c r="I1671">
        <v>1288.6646728999999</v>
      </c>
      <c r="J1671">
        <v>1269.3516846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1135.9434590000001</v>
      </c>
      <c r="B1672" s="1">
        <f>DATE(2013,6,9) + TIME(22,38,34)</f>
        <v>41434.943449074075</v>
      </c>
      <c r="C1672">
        <v>80</v>
      </c>
      <c r="D1672">
        <v>79.959617614999999</v>
      </c>
      <c r="E1672">
        <v>50</v>
      </c>
      <c r="F1672">
        <v>47.326107024999999</v>
      </c>
      <c r="G1672">
        <v>1382.4406738</v>
      </c>
      <c r="H1672">
        <v>1368.4599608999999</v>
      </c>
      <c r="I1672">
        <v>1288.6469727000001</v>
      </c>
      <c r="J1672">
        <v>1269.3271483999999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1136.7584959999999</v>
      </c>
      <c r="B1673" s="1">
        <f>DATE(2013,6,10) + TIME(18,12,14)</f>
        <v>41435.75849537037</v>
      </c>
      <c r="C1673">
        <v>80</v>
      </c>
      <c r="D1673">
        <v>79.959617614999999</v>
      </c>
      <c r="E1673">
        <v>50</v>
      </c>
      <c r="F1673">
        <v>47.283485413000001</v>
      </c>
      <c r="G1673">
        <v>1382.3881836</v>
      </c>
      <c r="H1673">
        <v>1368.4179687999999</v>
      </c>
      <c r="I1673">
        <v>1288.6287841999999</v>
      </c>
      <c r="J1673">
        <v>1269.3020019999999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1137.5848820000001</v>
      </c>
      <c r="B1674" s="1">
        <f>DATE(2013,6,11) + TIME(14,2,13)</f>
        <v>41436.584872685184</v>
      </c>
      <c r="C1674">
        <v>80</v>
      </c>
      <c r="D1674">
        <v>79.959617614999999</v>
      </c>
      <c r="E1674">
        <v>50</v>
      </c>
      <c r="F1674">
        <v>47.240493774000001</v>
      </c>
      <c r="G1674">
        <v>1382.3355713000001</v>
      </c>
      <c r="H1674">
        <v>1368.3758545000001</v>
      </c>
      <c r="I1674">
        <v>1288.6101074000001</v>
      </c>
      <c r="J1674">
        <v>1269.2761230000001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1138.425062</v>
      </c>
      <c r="B1675" s="1">
        <f>DATE(2013,6,12) + TIME(10,12,5)</f>
        <v>41437.425057870372</v>
      </c>
      <c r="C1675">
        <v>80</v>
      </c>
      <c r="D1675">
        <v>79.959617614999999</v>
      </c>
      <c r="E1675">
        <v>50</v>
      </c>
      <c r="F1675">
        <v>47.197093963999997</v>
      </c>
      <c r="G1675">
        <v>1382.2832031</v>
      </c>
      <c r="H1675">
        <v>1368.3336182</v>
      </c>
      <c r="I1675">
        <v>1288.5910644999999</v>
      </c>
      <c r="J1675">
        <v>1269.2495117000001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1139.281585</v>
      </c>
      <c r="B1676" s="1">
        <f>DATE(2013,6,13) + TIME(6,45,28)</f>
        <v>41438.281574074077</v>
      </c>
      <c r="C1676">
        <v>80</v>
      </c>
      <c r="D1676">
        <v>79.959617614999999</v>
      </c>
      <c r="E1676">
        <v>50</v>
      </c>
      <c r="F1676">
        <v>47.153202057000001</v>
      </c>
      <c r="G1676">
        <v>1382.2305908000001</v>
      </c>
      <c r="H1676">
        <v>1368.2913818</v>
      </c>
      <c r="I1676">
        <v>1288.5714111</v>
      </c>
      <c r="J1676">
        <v>1269.2220459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1140.1572160000001</v>
      </c>
      <c r="B1677" s="1">
        <f>DATE(2013,6,14) + TIME(3,46,23)</f>
        <v>41439.157210648147</v>
      </c>
      <c r="C1677">
        <v>80</v>
      </c>
      <c r="D1677">
        <v>79.959617614999999</v>
      </c>
      <c r="E1677">
        <v>50</v>
      </c>
      <c r="F1677">
        <v>47.108707428000002</v>
      </c>
      <c r="G1677">
        <v>1382.1778564000001</v>
      </c>
      <c r="H1677">
        <v>1368.2490233999999</v>
      </c>
      <c r="I1677">
        <v>1288.5512695</v>
      </c>
      <c r="J1677">
        <v>1269.1937256000001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1141.0538879999999</v>
      </c>
      <c r="B1678" s="1">
        <f>DATE(2013,6,15) + TIME(1,17,35)</f>
        <v>41440.053877314815</v>
      </c>
      <c r="C1678">
        <v>80</v>
      </c>
      <c r="D1678">
        <v>79.959617614999999</v>
      </c>
      <c r="E1678">
        <v>50</v>
      </c>
      <c r="F1678">
        <v>47.063507080000001</v>
      </c>
      <c r="G1678">
        <v>1382.1246338000001</v>
      </c>
      <c r="H1678">
        <v>1368.2061768000001</v>
      </c>
      <c r="I1678">
        <v>1288.5302733999999</v>
      </c>
      <c r="J1678">
        <v>1269.1644286999999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1141.9594979999999</v>
      </c>
      <c r="B1679" s="1">
        <f>DATE(2013,6,15) + TIME(23,1,40)</f>
        <v>41440.959490740737</v>
      </c>
      <c r="C1679">
        <v>80</v>
      </c>
      <c r="D1679">
        <v>79.959625243999994</v>
      </c>
      <c r="E1679">
        <v>50</v>
      </c>
      <c r="F1679">
        <v>47.017818450999997</v>
      </c>
      <c r="G1679">
        <v>1382.0710449000001</v>
      </c>
      <c r="H1679">
        <v>1368.1629639</v>
      </c>
      <c r="I1679">
        <v>1288.5086670000001</v>
      </c>
      <c r="J1679">
        <v>1269.1340332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1142.871341</v>
      </c>
      <c r="B1680" s="1">
        <f>DATE(2013,6,16) + TIME(20,54,43)</f>
        <v>41441.871331018519</v>
      </c>
      <c r="C1680">
        <v>80</v>
      </c>
      <c r="D1680">
        <v>79.959625243999994</v>
      </c>
      <c r="E1680">
        <v>50</v>
      </c>
      <c r="F1680">
        <v>46.971870422000002</v>
      </c>
      <c r="G1680">
        <v>1382.0177002</v>
      </c>
      <c r="H1680">
        <v>1368.119751</v>
      </c>
      <c r="I1680">
        <v>1288.4865723</v>
      </c>
      <c r="J1680">
        <v>1269.1029053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1143.787225</v>
      </c>
      <c r="B1681" s="1">
        <f>DATE(2013,6,17) + TIME(18,53,36)</f>
        <v>41442.787222222221</v>
      </c>
      <c r="C1681">
        <v>80</v>
      </c>
      <c r="D1681">
        <v>79.959625243999994</v>
      </c>
      <c r="E1681">
        <v>50</v>
      </c>
      <c r="F1681">
        <v>46.925827026</v>
      </c>
      <c r="G1681">
        <v>1381.9647216999999</v>
      </c>
      <c r="H1681">
        <v>1368.0770264</v>
      </c>
      <c r="I1681">
        <v>1288.4639893000001</v>
      </c>
      <c r="J1681">
        <v>1269.0709228999999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1144.7097349999999</v>
      </c>
      <c r="B1682" s="1">
        <f>DATE(2013,6,18) + TIME(17,2,1)</f>
        <v>41443.709733796299</v>
      </c>
      <c r="C1682">
        <v>80</v>
      </c>
      <c r="D1682">
        <v>79.959632873999993</v>
      </c>
      <c r="E1682">
        <v>50</v>
      </c>
      <c r="F1682">
        <v>46.879714966000002</v>
      </c>
      <c r="G1682">
        <v>1381.9122314000001</v>
      </c>
      <c r="H1682">
        <v>1368.0345459</v>
      </c>
      <c r="I1682">
        <v>1288.4410399999999</v>
      </c>
      <c r="J1682">
        <v>1269.0384521000001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1145.641472</v>
      </c>
      <c r="B1683" s="1">
        <f>DATE(2013,6,19) + TIME(15,23,43)</f>
        <v>41444.641469907408</v>
      </c>
      <c r="C1683">
        <v>80</v>
      </c>
      <c r="D1683">
        <v>79.959632873999993</v>
      </c>
      <c r="E1683">
        <v>50</v>
      </c>
      <c r="F1683">
        <v>46.833477019999997</v>
      </c>
      <c r="G1683">
        <v>1381.8601074000001</v>
      </c>
      <c r="H1683">
        <v>1367.9923096</v>
      </c>
      <c r="I1683">
        <v>1288.4176024999999</v>
      </c>
      <c r="J1683">
        <v>1269.0051269999999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1146.585094</v>
      </c>
      <c r="B1684" s="1">
        <f>DATE(2013,6,20) + TIME(14,2,32)</f>
        <v>41445.585092592592</v>
      </c>
      <c r="C1684">
        <v>80</v>
      </c>
      <c r="D1684">
        <v>79.959640503000003</v>
      </c>
      <c r="E1684">
        <v>50</v>
      </c>
      <c r="F1684">
        <v>46.787006378000001</v>
      </c>
      <c r="G1684">
        <v>1381.8083495999999</v>
      </c>
      <c r="H1684">
        <v>1367.9501952999999</v>
      </c>
      <c r="I1684">
        <v>1288.3936768000001</v>
      </c>
      <c r="J1684">
        <v>1268.9709473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1147.543379</v>
      </c>
      <c r="B1685" s="1">
        <f>DATE(2013,6,21) + TIME(13,2,27)</f>
        <v>41446.543368055558</v>
      </c>
      <c r="C1685">
        <v>80</v>
      </c>
      <c r="D1685">
        <v>79.959648131999998</v>
      </c>
      <c r="E1685">
        <v>50</v>
      </c>
      <c r="F1685">
        <v>46.740192413000003</v>
      </c>
      <c r="G1685">
        <v>1381.7564697</v>
      </c>
      <c r="H1685">
        <v>1367.9082031</v>
      </c>
      <c r="I1685">
        <v>1288.3691406</v>
      </c>
      <c r="J1685">
        <v>1268.9359131000001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1148.5192649999999</v>
      </c>
      <c r="B1686" s="1">
        <f>DATE(2013,6,22) + TIME(12,27,44)</f>
        <v>41447.519259259258</v>
      </c>
      <c r="C1686">
        <v>80</v>
      </c>
      <c r="D1686">
        <v>79.959655761999997</v>
      </c>
      <c r="E1686">
        <v>50</v>
      </c>
      <c r="F1686">
        <v>46.692905426000003</v>
      </c>
      <c r="G1686">
        <v>1381.7045897999999</v>
      </c>
      <c r="H1686">
        <v>1367.8659668</v>
      </c>
      <c r="I1686">
        <v>1288.3439940999999</v>
      </c>
      <c r="J1686">
        <v>1268.8996582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1149.515891</v>
      </c>
      <c r="B1687" s="1">
        <f>DATE(2013,6,23) + TIME(12,22,52)</f>
        <v>41448.515879629631</v>
      </c>
      <c r="C1687">
        <v>80</v>
      </c>
      <c r="D1687">
        <v>79.959663391000007</v>
      </c>
      <c r="E1687">
        <v>50</v>
      </c>
      <c r="F1687">
        <v>46.645004272000001</v>
      </c>
      <c r="G1687">
        <v>1381.6524658000001</v>
      </c>
      <c r="H1687">
        <v>1367.8234863</v>
      </c>
      <c r="I1687">
        <v>1288.3178711</v>
      </c>
      <c r="J1687">
        <v>1268.8621826000001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1150.5367120000001</v>
      </c>
      <c r="B1688" s="1">
        <f>DATE(2013,6,24) + TIME(12,52,51)</f>
        <v>41449.53670138889</v>
      </c>
      <c r="C1688">
        <v>80</v>
      </c>
      <c r="D1688">
        <v>79.959671021000005</v>
      </c>
      <c r="E1688">
        <v>50</v>
      </c>
      <c r="F1688">
        <v>46.596343994000001</v>
      </c>
      <c r="G1688">
        <v>1381.5999756000001</v>
      </c>
      <c r="H1688">
        <v>1367.7807617000001</v>
      </c>
      <c r="I1688">
        <v>1288.2910156</v>
      </c>
      <c r="J1688">
        <v>1268.8232422000001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1151.5840229999999</v>
      </c>
      <c r="B1689" s="1">
        <f>DATE(2013,6,25) + TIME(14,0,59)</f>
        <v>41450.584016203706</v>
      </c>
      <c r="C1689">
        <v>80</v>
      </c>
      <c r="D1689">
        <v>79.959678650000001</v>
      </c>
      <c r="E1689">
        <v>50</v>
      </c>
      <c r="F1689">
        <v>46.546798705999997</v>
      </c>
      <c r="G1689">
        <v>1381.5469971</v>
      </c>
      <c r="H1689">
        <v>1367.7374268000001</v>
      </c>
      <c r="I1689">
        <v>1288.2630615</v>
      </c>
      <c r="J1689">
        <v>1268.7827147999999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1152.632161</v>
      </c>
      <c r="B1690" s="1">
        <f>DATE(2013,6,26) + TIME(15,10,18)</f>
        <v>41451.632152777776</v>
      </c>
      <c r="C1690">
        <v>80</v>
      </c>
      <c r="D1690">
        <v>79.959686278999996</v>
      </c>
      <c r="E1690">
        <v>50</v>
      </c>
      <c r="F1690">
        <v>46.496788025000001</v>
      </c>
      <c r="G1690">
        <v>1381.4932861</v>
      </c>
      <c r="H1690">
        <v>1367.6934814000001</v>
      </c>
      <c r="I1690">
        <v>1288.2338867000001</v>
      </c>
      <c r="J1690">
        <v>1268.7404785000001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1153.6841280000001</v>
      </c>
      <c r="B1691" s="1">
        <f>DATE(2013,6,27) + TIME(16,25,8)</f>
        <v>41452.684120370373</v>
      </c>
      <c r="C1691">
        <v>80</v>
      </c>
      <c r="D1691">
        <v>79.959693908999995</v>
      </c>
      <c r="E1691">
        <v>50</v>
      </c>
      <c r="F1691">
        <v>46.446662903000004</v>
      </c>
      <c r="G1691">
        <v>1381.4403076000001</v>
      </c>
      <c r="H1691">
        <v>1367.6501464999999</v>
      </c>
      <c r="I1691">
        <v>1288.2043457</v>
      </c>
      <c r="J1691">
        <v>1268.6973877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1154.7429649999999</v>
      </c>
      <c r="B1692" s="1">
        <f>DATE(2013,6,28) + TIME(17,49,52)</f>
        <v>41453.742962962962</v>
      </c>
      <c r="C1692">
        <v>80</v>
      </c>
      <c r="D1692">
        <v>79.959701538000004</v>
      </c>
      <c r="E1692">
        <v>50</v>
      </c>
      <c r="F1692">
        <v>46.396472930999998</v>
      </c>
      <c r="G1692">
        <v>1381.3878173999999</v>
      </c>
      <c r="H1692">
        <v>1367.6070557</v>
      </c>
      <c r="I1692">
        <v>1288.1743164</v>
      </c>
      <c r="J1692">
        <v>1268.6533202999999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1155.811725</v>
      </c>
      <c r="B1693" s="1">
        <f>DATE(2013,6,29) + TIME(19,28,53)</f>
        <v>41454.811724537038</v>
      </c>
      <c r="C1693">
        <v>80</v>
      </c>
      <c r="D1693">
        <v>79.959709167</v>
      </c>
      <c r="E1693">
        <v>50</v>
      </c>
      <c r="F1693">
        <v>46.346153258999998</v>
      </c>
      <c r="G1693">
        <v>1381.3356934000001</v>
      </c>
      <c r="H1693">
        <v>1367.5642089999999</v>
      </c>
      <c r="I1693">
        <v>1288.1435547000001</v>
      </c>
      <c r="J1693">
        <v>1268.6082764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1156.8935260000001</v>
      </c>
      <c r="B1694" s="1">
        <f>DATE(2013,6,30) + TIME(21,26,40)</f>
        <v>41455.893518518518</v>
      </c>
      <c r="C1694">
        <v>80</v>
      </c>
      <c r="D1694">
        <v>79.959724425999994</v>
      </c>
      <c r="E1694">
        <v>50</v>
      </c>
      <c r="F1694">
        <v>46.295600890999999</v>
      </c>
      <c r="G1694">
        <v>1381.2838135</v>
      </c>
      <c r="H1694">
        <v>1367.5214844</v>
      </c>
      <c r="I1694">
        <v>1288.1121826000001</v>
      </c>
      <c r="J1694">
        <v>1268.5618896000001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1157</v>
      </c>
      <c r="B1695" s="1">
        <f>DATE(2013,7,1) + TIME(0,0,0)</f>
        <v>41456</v>
      </c>
      <c r="C1695">
        <v>80</v>
      </c>
      <c r="D1695">
        <v>79.959716796999999</v>
      </c>
      <c r="E1695">
        <v>50</v>
      </c>
      <c r="F1695">
        <v>46.284736633000001</v>
      </c>
      <c r="G1695">
        <v>1381.2346190999999</v>
      </c>
      <c r="H1695">
        <v>1367.4814452999999</v>
      </c>
      <c r="I1695">
        <v>1288.0798339999999</v>
      </c>
      <c r="J1695">
        <v>1268.5251464999999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1158.098101</v>
      </c>
      <c r="B1696" s="1">
        <f>DATE(2013,7,2) + TIME(2,21,15)</f>
        <v>41457.098090277781</v>
      </c>
      <c r="C1696">
        <v>80</v>
      </c>
      <c r="D1696">
        <v>79.959732056000007</v>
      </c>
      <c r="E1696">
        <v>50</v>
      </c>
      <c r="F1696">
        <v>46.237369536999999</v>
      </c>
      <c r="G1696">
        <v>1381.2265625</v>
      </c>
      <c r="H1696">
        <v>1367.4743652</v>
      </c>
      <c r="I1696">
        <v>1288.0764160000001</v>
      </c>
      <c r="J1696">
        <v>1268.5084228999999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1159.2181619999999</v>
      </c>
      <c r="B1697" s="1">
        <f>DATE(2013,7,3) + TIME(5,14,9)</f>
        <v>41458.218159722222</v>
      </c>
      <c r="C1697">
        <v>80</v>
      </c>
      <c r="D1697">
        <v>79.959747313999998</v>
      </c>
      <c r="E1697">
        <v>50</v>
      </c>
      <c r="F1697">
        <v>46.187320708999998</v>
      </c>
      <c r="G1697">
        <v>1381.1749268000001</v>
      </c>
      <c r="H1697">
        <v>1367.4317627</v>
      </c>
      <c r="I1697">
        <v>1288.043457</v>
      </c>
      <c r="J1697">
        <v>1268.4597168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1160.3620080000001</v>
      </c>
      <c r="B1698" s="1">
        <f>DATE(2013,7,4) + TIME(8,41,17)</f>
        <v>41459.362002314818</v>
      </c>
      <c r="C1698">
        <v>80</v>
      </c>
      <c r="D1698">
        <v>79.959762573000006</v>
      </c>
      <c r="E1698">
        <v>50</v>
      </c>
      <c r="F1698">
        <v>46.135711669999999</v>
      </c>
      <c r="G1698">
        <v>1381.1225586</v>
      </c>
      <c r="H1698">
        <v>1367.3885498</v>
      </c>
      <c r="I1698">
        <v>1288.0091553</v>
      </c>
      <c r="J1698">
        <v>1268.4086914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1161.5262729999999</v>
      </c>
      <c r="B1699" s="1">
        <f>DATE(2013,7,5) + TIME(12,37,49)</f>
        <v>41460.526261574072</v>
      </c>
      <c r="C1699">
        <v>80</v>
      </c>
      <c r="D1699">
        <v>79.959770203000005</v>
      </c>
      <c r="E1699">
        <v>50</v>
      </c>
      <c r="F1699">
        <v>46.083042145</v>
      </c>
      <c r="G1699">
        <v>1381.0698242000001</v>
      </c>
      <c r="H1699">
        <v>1367.3449707</v>
      </c>
      <c r="I1699">
        <v>1287.9736327999999</v>
      </c>
      <c r="J1699">
        <v>1268.3555908000001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1162.7089020000001</v>
      </c>
      <c r="B1700" s="1">
        <f>DATE(2013,7,6) + TIME(17,0,49)</f>
        <v>41461.70890046296</v>
      </c>
      <c r="C1700">
        <v>80</v>
      </c>
      <c r="D1700">
        <v>79.959785460999996</v>
      </c>
      <c r="E1700">
        <v>50</v>
      </c>
      <c r="F1700">
        <v>46.029594420999999</v>
      </c>
      <c r="G1700">
        <v>1381.0168457</v>
      </c>
      <c r="H1700">
        <v>1367.3010254000001</v>
      </c>
      <c r="I1700">
        <v>1287.9368896000001</v>
      </c>
      <c r="J1700">
        <v>1268.3005370999999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1163.9126859999999</v>
      </c>
      <c r="B1701" s="1">
        <f>DATE(2013,7,7) + TIME(21,54,16)</f>
        <v>41462.912685185183</v>
      </c>
      <c r="C1701">
        <v>80</v>
      </c>
      <c r="D1701">
        <v>79.959800720000004</v>
      </c>
      <c r="E1701">
        <v>50</v>
      </c>
      <c r="F1701">
        <v>45.975456238</v>
      </c>
      <c r="G1701">
        <v>1380.9637451000001</v>
      </c>
      <c r="H1701">
        <v>1367.2569579999999</v>
      </c>
      <c r="I1701">
        <v>1287.8990478999999</v>
      </c>
      <c r="J1701">
        <v>1268.2436522999999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1165.121335</v>
      </c>
      <c r="B1702" s="1">
        <f>DATE(2013,7,9) + TIME(2,54,43)</f>
        <v>41464.121331018519</v>
      </c>
      <c r="C1702">
        <v>80</v>
      </c>
      <c r="D1702">
        <v>79.959815978999998</v>
      </c>
      <c r="E1702">
        <v>50</v>
      </c>
      <c r="F1702">
        <v>45.920913696</v>
      </c>
      <c r="G1702">
        <v>1380.9102783000001</v>
      </c>
      <c r="H1702">
        <v>1367.2125243999999</v>
      </c>
      <c r="I1702">
        <v>1287.8601074000001</v>
      </c>
      <c r="J1702">
        <v>1268.1846923999999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1166.338448</v>
      </c>
      <c r="B1703" s="1">
        <f>DATE(2013,7,10) + TIME(8,7,21)</f>
        <v>41465.338437500002</v>
      </c>
      <c r="C1703">
        <v>80</v>
      </c>
      <c r="D1703">
        <v>79.959831238000007</v>
      </c>
      <c r="E1703">
        <v>50</v>
      </c>
      <c r="F1703">
        <v>45.866207123000002</v>
      </c>
      <c r="G1703">
        <v>1380.8572998</v>
      </c>
      <c r="H1703">
        <v>1367.168457</v>
      </c>
      <c r="I1703">
        <v>1287.8203125</v>
      </c>
      <c r="J1703">
        <v>1268.1243896000001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1167.5676470000001</v>
      </c>
      <c r="B1704" s="1">
        <f>DATE(2013,7,11) + TIME(13,37,24)</f>
        <v>41466.56763888889</v>
      </c>
      <c r="C1704">
        <v>80</v>
      </c>
      <c r="D1704">
        <v>79.959846497000001</v>
      </c>
      <c r="E1704">
        <v>50</v>
      </c>
      <c r="F1704">
        <v>45.811328887999998</v>
      </c>
      <c r="G1704">
        <v>1380.8045654</v>
      </c>
      <c r="H1704">
        <v>1367.1245117000001</v>
      </c>
      <c r="I1704">
        <v>1287.7797852000001</v>
      </c>
      <c r="J1704">
        <v>1268.0625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1168.812653</v>
      </c>
      <c r="B1705" s="1">
        <f>DATE(2013,7,12) + TIME(19,30,13)</f>
        <v>41467.812650462962</v>
      </c>
      <c r="C1705">
        <v>80</v>
      </c>
      <c r="D1705">
        <v>79.959861755000006</v>
      </c>
      <c r="E1705">
        <v>50</v>
      </c>
      <c r="F1705">
        <v>45.756183624000002</v>
      </c>
      <c r="G1705">
        <v>1380.7519531</v>
      </c>
      <c r="H1705">
        <v>1367.0806885</v>
      </c>
      <c r="I1705">
        <v>1287.7382812000001</v>
      </c>
      <c r="J1705">
        <v>1267.9990233999999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1170.077368</v>
      </c>
      <c r="B1706" s="1">
        <f>DATE(2013,7,14) + TIME(1,51,24)</f>
        <v>41469.077361111114</v>
      </c>
      <c r="C1706">
        <v>80</v>
      </c>
      <c r="D1706">
        <v>79.959877014</v>
      </c>
      <c r="E1706">
        <v>50</v>
      </c>
      <c r="F1706">
        <v>45.700645446999999</v>
      </c>
      <c r="G1706">
        <v>1380.6993408000001</v>
      </c>
      <c r="H1706">
        <v>1367.0366211</v>
      </c>
      <c r="I1706">
        <v>1287.6958007999999</v>
      </c>
      <c r="J1706">
        <v>1267.9337158000001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1171.357297</v>
      </c>
      <c r="B1707" s="1">
        <f>DATE(2013,7,15) + TIME(8,34,30)</f>
        <v>41470.357291666667</v>
      </c>
      <c r="C1707">
        <v>80</v>
      </c>
      <c r="D1707">
        <v>79.959899902000004</v>
      </c>
      <c r="E1707">
        <v>50</v>
      </c>
      <c r="F1707">
        <v>45.644699097</v>
      </c>
      <c r="G1707">
        <v>1380.6464844</v>
      </c>
      <c r="H1707">
        <v>1366.9924315999999</v>
      </c>
      <c r="I1707">
        <v>1287.6519774999999</v>
      </c>
      <c r="J1707">
        <v>1267.8662108999999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1172.6522440000001</v>
      </c>
      <c r="B1708" s="1">
        <f>DATE(2013,7,16) + TIME(15,39,13)</f>
        <v>41471.652233796296</v>
      </c>
      <c r="C1708">
        <v>80</v>
      </c>
      <c r="D1708">
        <v>79.959915160999998</v>
      </c>
      <c r="E1708">
        <v>50</v>
      </c>
      <c r="F1708">
        <v>45.588413238999998</v>
      </c>
      <c r="G1708">
        <v>1380.5936279</v>
      </c>
      <c r="H1708">
        <v>1366.9481201000001</v>
      </c>
      <c r="I1708">
        <v>1287.6071777</v>
      </c>
      <c r="J1708">
        <v>1267.796875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1173.9659449999999</v>
      </c>
      <c r="B1709" s="1">
        <f>DATE(2013,7,17) + TIME(23,10,57)</f>
        <v>41472.965937499997</v>
      </c>
      <c r="C1709">
        <v>80</v>
      </c>
      <c r="D1709">
        <v>79.959930420000006</v>
      </c>
      <c r="E1709">
        <v>50</v>
      </c>
      <c r="F1709">
        <v>45.531772613999998</v>
      </c>
      <c r="G1709">
        <v>1380.5407714999999</v>
      </c>
      <c r="H1709">
        <v>1366.9038086</v>
      </c>
      <c r="I1709">
        <v>1287.5612793</v>
      </c>
      <c r="J1709">
        <v>1267.7255858999999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1175.3023370000001</v>
      </c>
      <c r="B1710" s="1">
        <f>DATE(2013,7,19) + TIME(7,15,21)</f>
        <v>41474.30232638889</v>
      </c>
      <c r="C1710">
        <v>80</v>
      </c>
      <c r="D1710">
        <v>79.959953307999996</v>
      </c>
      <c r="E1710">
        <v>50</v>
      </c>
      <c r="F1710">
        <v>45.474697112999998</v>
      </c>
      <c r="G1710">
        <v>1380.487793</v>
      </c>
      <c r="H1710">
        <v>1366.8592529</v>
      </c>
      <c r="I1710">
        <v>1287.5141602000001</v>
      </c>
      <c r="J1710">
        <v>1267.6520995999999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1176.6656290000001</v>
      </c>
      <c r="B1711" s="1">
        <f>DATE(2013,7,20) + TIME(15,58,30)</f>
        <v>41475.665625000001</v>
      </c>
      <c r="C1711">
        <v>80</v>
      </c>
      <c r="D1711">
        <v>79.959968567000004</v>
      </c>
      <c r="E1711">
        <v>50</v>
      </c>
      <c r="F1711">
        <v>45.417057036999999</v>
      </c>
      <c r="G1711">
        <v>1380.4345702999999</v>
      </c>
      <c r="H1711">
        <v>1366.8143310999999</v>
      </c>
      <c r="I1711">
        <v>1287.4658202999999</v>
      </c>
      <c r="J1711">
        <v>1267.5761719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1178.0526729999999</v>
      </c>
      <c r="B1712" s="1">
        <f>DATE(2013,7,22) + TIME(1,15,50)</f>
        <v>41477.052662037036</v>
      </c>
      <c r="C1712">
        <v>80</v>
      </c>
      <c r="D1712">
        <v>79.959991454999994</v>
      </c>
      <c r="E1712">
        <v>50</v>
      </c>
      <c r="F1712">
        <v>45.358840942</v>
      </c>
      <c r="G1712">
        <v>1380.3808594</v>
      </c>
      <c r="H1712">
        <v>1366.769043</v>
      </c>
      <c r="I1712">
        <v>1287.4158935999999</v>
      </c>
      <c r="J1712">
        <v>1267.4976807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1179.4510749999999</v>
      </c>
      <c r="B1713" s="1">
        <f>DATE(2013,7,23) + TIME(10,49,32)</f>
        <v>41478.451064814813</v>
      </c>
      <c r="C1713">
        <v>80</v>
      </c>
      <c r="D1713">
        <v>79.960014342999997</v>
      </c>
      <c r="E1713">
        <v>50</v>
      </c>
      <c r="F1713">
        <v>45.300289153999998</v>
      </c>
      <c r="G1713">
        <v>1380.3267822</v>
      </c>
      <c r="H1713">
        <v>1366.7233887</v>
      </c>
      <c r="I1713">
        <v>1287.364624</v>
      </c>
      <c r="J1713">
        <v>1267.4167480000001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1180.865229</v>
      </c>
      <c r="B1714" s="1">
        <f>DATE(2013,7,24) + TIME(20,45,55)</f>
        <v>41479.865219907406</v>
      </c>
      <c r="C1714">
        <v>80</v>
      </c>
      <c r="D1714">
        <v>79.960037231000001</v>
      </c>
      <c r="E1714">
        <v>50</v>
      </c>
      <c r="F1714">
        <v>45.241622925000001</v>
      </c>
      <c r="G1714">
        <v>1380.2729492000001</v>
      </c>
      <c r="H1714">
        <v>1366.6778564000001</v>
      </c>
      <c r="I1714">
        <v>1287.3123779</v>
      </c>
      <c r="J1714">
        <v>1267.3339844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1182.28829</v>
      </c>
      <c r="B1715" s="1">
        <f>DATE(2013,7,26) + TIME(6,55,8)</f>
        <v>41481.288287037038</v>
      </c>
      <c r="C1715">
        <v>80</v>
      </c>
      <c r="D1715">
        <v>79.960060119999994</v>
      </c>
      <c r="E1715">
        <v>50</v>
      </c>
      <c r="F1715">
        <v>45.182983397999998</v>
      </c>
      <c r="G1715">
        <v>1380.2189940999999</v>
      </c>
      <c r="H1715">
        <v>1366.6320800999999</v>
      </c>
      <c r="I1715">
        <v>1287.2590332</v>
      </c>
      <c r="J1715">
        <v>1267.2491454999999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1183.7226450000001</v>
      </c>
      <c r="B1716" s="1">
        <f>DATE(2013,7,27) + TIME(17,20,36)</f>
        <v>41482.722638888888</v>
      </c>
      <c r="C1716">
        <v>80</v>
      </c>
      <c r="D1716">
        <v>79.960083007999998</v>
      </c>
      <c r="E1716">
        <v>50</v>
      </c>
      <c r="F1716">
        <v>45.124523162999999</v>
      </c>
      <c r="G1716">
        <v>1380.1654053</v>
      </c>
      <c r="H1716">
        <v>1366.5866699000001</v>
      </c>
      <c r="I1716">
        <v>1287.2049560999999</v>
      </c>
      <c r="J1716">
        <v>1267.1627197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1185.1723959999999</v>
      </c>
      <c r="B1717" s="1">
        <f>DATE(2013,7,29) + TIME(4,8,14)</f>
        <v>41484.172384259262</v>
      </c>
      <c r="C1717">
        <v>80</v>
      </c>
      <c r="D1717">
        <v>79.960105896000002</v>
      </c>
      <c r="E1717">
        <v>50</v>
      </c>
      <c r="F1717">
        <v>45.066242217999999</v>
      </c>
      <c r="G1717">
        <v>1380.1119385</v>
      </c>
      <c r="H1717">
        <v>1366.5411377</v>
      </c>
      <c r="I1717">
        <v>1287.1500243999999</v>
      </c>
      <c r="J1717">
        <v>1267.0744629000001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1186.6417980000001</v>
      </c>
      <c r="B1718" s="1">
        <f>DATE(2013,7,30) + TIME(15,24,11)</f>
        <v>41485.641793981478</v>
      </c>
      <c r="C1718">
        <v>80</v>
      </c>
      <c r="D1718">
        <v>79.960128784000005</v>
      </c>
      <c r="E1718">
        <v>50</v>
      </c>
      <c r="F1718">
        <v>45.008079529</v>
      </c>
      <c r="G1718">
        <v>1380.0584716999999</v>
      </c>
      <c r="H1718">
        <v>1366.4956055</v>
      </c>
      <c r="I1718">
        <v>1287.0941161999999</v>
      </c>
      <c r="J1718">
        <v>1266.984375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1188</v>
      </c>
      <c r="B1719" s="1">
        <f>DATE(2013,8,1) + TIME(0,0,0)</f>
        <v>41487</v>
      </c>
      <c r="C1719">
        <v>80</v>
      </c>
      <c r="D1719">
        <v>79.960144043</v>
      </c>
      <c r="E1719">
        <v>50</v>
      </c>
      <c r="F1719">
        <v>44.951793670999997</v>
      </c>
      <c r="G1719">
        <v>1380.0048827999999</v>
      </c>
      <c r="H1719">
        <v>1366.4498291</v>
      </c>
      <c r="I1719">
        <v>1287.0373535000001</v>
      </c>
      <c r="J1719">
        <v>1266.8929443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1189.4934989999999</v>
      </c>
      <c r="B1720" s="1">
        <f>DATE(2013,8,2) + TIME(11,50,38)</f>
        <v>41488.493495370371</v>
      </c>
      <c r="C1720">
        <v>80</v>
      </c>
      <c r="D1720">
        <v>79.960174561000002</v>
      </c>
      <c r="E1720">
        <v>50</v>
      </c>
      <c r="F1720">
        <v>44.896297455000003</v>
      </c>
      <c r="G1720">
        <v>1379.9558105000001</v>
      </c>
      <c r="H1720">
        <v>1366.4079589999999</v>
      </c>
      <c r="I1720">
        <v>1286.9838867000001</v>
      </c>
      <c r="J1720">
        <v>1266.8051757999999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1191.0467590000001</v>
      </c>
      <c r="B1721" s="1">
        <f>DATE(2013,8,4) + TIME(1,7,19)</f>
        <v>41490.046747685185</v>
      </c>
      <c r="C1721">
        <v>80</v>
      </c>
      <c r="D1721">
        <v>79.960197449000006</v>
      </c>
      <c r="E1721">
        <v>50</v>
      </c>
      <c r="F1721">
        <v>44.839302062999998</v>
      </c>
      <c r="G1721">
        <v>1379.9024658000001</v>
      </c>
      <c r="H1721">
        <v>1366.3623047000001</v>
      </c>
      <c r="I1721">
        <v>1286.9256591999999</v>
      </c>
      <c r="J1721">
        <v>1266.7102050999999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1192.638596</v>
      </c>
      <c r="B1722" s="1">
        <f>DATE(2013,8,5) + TIME(15,19,34)</f>
        <v>41491.63858796296</v>
      </c>
      <c r="C1722">
        <v>80</v>
      </c>
      <c r="D1722">
        <v>79.960227966000005</v>
      </c>
      <c r="E1722">
        <v>50</v>
      </c>
      <c r="F1722">
        <v>44.781345367</v>
      </c>
      <c r="G1722">
        <v>1379.8475341999999</v>
      </c>
      <c r="H1722">
        <v>1366.3151855000001</v>
      </c>
      <c r="I1722">
        <v>1286.8648682</v>
      </c>
      <c r="J1722">
        <v>1266.6105957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1194.2383890000001</v>
      </c>
      <c r="B1723" s="1">
        <f>DATE(2013,8,7) + TIME(5,43,16)</f>
        <v>41493.238379629627</v>
      </c>
      <c r="C1723">
        <v>80</v>
      </c>
      <c r="D1723">
        <v>79.960250853999995</v>
      </c>
      <c r="E1723">
        <v>50</v>
      </c>
      <c r="F1723">
        <v>44.723384856999999</v>
      </c>
      <c r="G1723">
        <v>1379.7917480000001</v>
      </c>
      <c r="H1723">
        <v>1366.2673339999999</v>
      </c>
      <c r="I1723">
        <v>1286.8024902</v>
      </c>
      <c r="J1723">
        <v>1266.5079346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1195.841805</v>
      </c>
      <c r="B1724" s="1">
        <f>DATE(2013,8,8) + TIME(20,12,11)</f>
        <v>41494.841793981483</v>
      </c>
      <c r="C1724">
        <v>80</v>
      </c>
      <c r="D1724">
        <v>79.960281371999997</v>
      </c>
      <c r="E1724">
        <v>50</v>
      </c>
      <c r="F1724">
        <v>44.666324615000001</v>
      </c>
      <c r="G1724">
        <v>1379.7363281</v>
      </c>
      <c r="H1724">
        <v>1366.2197266000001</v>
      </c>
      <c r="I1724">
        <v>1286.739624</v>
      </c>
      <c r="J1724">
        <v>1266.4039307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1197.455559</v>
      </c>
      <c r="B1725" s="1">
        <f>DATE(2013,8,10) + TIME(10,56,0)</f>
        <v>41496.455555555556</v>
      </c>
      <c r="C1725">
        <v>80</v>
      </c>
      <c r="D1725">
        <v>79.960304260000001</v>
      </c>
      <c r="E1725">
        <v>50</v>
      </c>
      <c r="F1725">
        <v>44.610538482999999</v>
      </c>
      <c r="G1725">
        <v>1379.6812743999999</v>
      </c>
      <c r="H1725">
        <v>1366.1722411999999</v>
      </c>
      <c r="I1725">
        <v>1286.6766356999999</v>
      </c>
      <c r="J1725">
        <v>1266.2990723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1199.0853420000001</v>
      </c>
      <c r="B1726" s="1">
        <f>DATE(2013,8,12) + TIME(2,2,53)</f>
        <v>41498.085335648146</v>
      </c>
      <c r="C1726">
        <v>80</v>
      </c>
      <c r="D1726">
        <v>79.960334778000004</v>
      </c>
      <c r="E1726">
        <v>50</v>
      </c>
      <c r="F1726">
        <v>44.556114196999999</v>
      </c>
      <c r="G1726">
        <v>1379.6264647999999</v>
      </c>
      <c r="H1726">
        <v>1366.125</v>
      </c>
      <c r="I1726">
        <v>1286.6132812000001</v>
      </c>
      <c r="J1726">
        <v>1266.1932373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1200.7360389999999</v>
      </c>
      <c r="B1727" s="1">
        <f>DATE(2013,8,13) + TIME(17,39,53)</f>
        <v>41499.736030092594</v>
      </c>
      <c r="C1727">
        <v>80</v>
      </c>
      <c r="D1727">
        <v>79.960365295000003</v>
      </c>
      <c r="E1727">
        <v>50</v>
      </c>
      <c r="F1727">
        <v>44.503120422000002</v>
      </c>
      <c r="G1727">
        <v>1379.5716553</v>
      </c>
      <c r="H1727">
        <v>1366.0775146000001</v>
      </c>
      <c r="I1727">
        <v>1286.5495605000001</v>
      </c>
      <c r="J1727">
        <v>1266.0861815999999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1202.412881</v>
      </c>
      <c r="B1728" s="1">
        <f>DATE(2013,8,15) + TIME(9,54,32)</f>
        <v>41501.412870370368</v>
      </c>
      <c r="C1728">
        <v>80</v>
      </c>
      <c r="D1728">
        <v>79.960395813000005</v>
      </c>
      <c r="E1728">
        <v>50</v>
      </c>
      <c r="F1728">
        <v>44.451629638999997</v>
      </c>
      <c r="G1728">
        <v>1379.5166016000001</v>
      </c>
      <c r="H1728">
        <v>1366.0299072</v>
      </c>
      <c r="I1728">
        <v>1286.4853516000001</v>
      </c>
      <c r="J1728">
        <v>1265.9779053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1204.121306</v>
      </c>
      <c r="B1729" s="1">
        <f>DATE(2013,8,17) + TIME(2,54,40)</f>
        <v>41503.121296296296</v>
      </c>
      <c r="C1729">
        <v>80</v>
      </c>
      <c r="D1729">
        <v>79.960426330999994</v>
      </c>
      <c r="E1729">
        <v>50</v>
      </c>
      <c r="F1729">
        <v>44.401752471999998</v>
      </c>
      <c r="G1729">
        <v>1379.4613036999999</v>
      </c>
      <c r="H1729">
        <v>1365.9819336</v>
      </c>
      <c r="I1729">
        <v>1286.4206543</v>
      </c>
      <c r="J1729">
        <v>1265.8681641000001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1205.8672329999999</v>
      </c>
      <c r="B1730" s="1">
        <f>DATE(2013,8,18) + TIME(20,48,48)</f>
        <v>41504.867222222223</v>
      </c>
      <c r="C1730">
        <v>80</v>
      </c>
      <c r="D1730">
        <v>79.960456848000007</v>
      </c>
      <c r="E1730">
        <v>50</v>
      </c>
      <c r="F1730">
        <v>44.353668212999999</v>
      </c>
      <c r="G1730">
        <v>1379.4053954999999</v>
      </c>
      <c r="H1730">
        <v>1365.9333495999999</v>
      </c>
      <c r="I1730">
        <v>1286.3553466999999</v>
      </c>
      <c r="J1730">
        <v>1265.7568358999999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1207.6349299999999</v>
      </c>
      <c r="B1731" s="1">
        <f>DATE(2013,8,20) + TIME(15,14,17)</f>
        <v>41506.634918981479</v>
      </c>
      <c r="C1731">
        <v>80</v>
      </c>
      <c r="D1731">
        <v>79.960487365999995</v>
      </c>
      <c r="E1731">
        <v>50</v>
      </c>
      <c r="F1731">
        <v>44.307785033999998</v>
      </c>
      <c r="G1731">
        <v>1379.3488769999999</v>
      </c>
      <c r="H1731">
        <v>1365.8841553</v>
      </c>
      <c r="I1731">
        <v>1286.2894286999999</v>
      </c>
      <c r="J1731">
        <v>1265.6439209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1209.4192290000001</v>
      </c>
      <c r="B1732" s="1">
        <f>DATE(2013,8,22) + TIME(10,3,41)</f>
        <v>41508.419224537036</v>
      </c>
      <c r="C1732">
        <v>80</v>
      </c>
      <c r="D1732">
        <v>79.960517882999994</v>
      </c>
      <c r="E1732">
        <v>50</v>
      </c>
      <c r="F1732">
        <v>44.264739990000002</v>
      </c>
      <c r="G1732">
        <v>1379.2921143000001</v>
      </c>
      <c r="H1732">
        <v>1365.8345947</v>
      </c>
      <c r="I1732">
        <v>1286.2235106999999</v>
      </c>
      <c r="J1732">
        <v>1265.5305175999999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1211.231998</v>
      </c>
      <c r="B1733" s="1">
        <f>DATE(2013,8,24) + TIME(5,34,4)</f>
        <v>41510.231990740744</v>
      </c>
      <c r="C1733">
        <v>80</v>
      </c>
      <c r="D1733">
        <v>79.960548400999997</v>
      </c>
      <c r="E1733">
        <v>50</v>
      </c>
      <c r="F1733">
        <v>44.225006104000002</v>
      </c>
      <c r="G1733">
        <v>1379.2353516000001</v>
      </c>
      <c r="H1733">
        <v>1365.7850341999999</v>
      </c>
      <c r="I1733">
        <v>1286.1580810999999</v>
      </c>
      <c r="J1733">
        <v>1265.4172363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1213.0588660000001</v>
      </c>
      <c r="B1734" s="1">
        <f>DATE(2013,8,26) + TIME(1,24,46)</f>
        <v>41512.058865740742</v>
      </c>
      <c r="C1734">
        <v>80</v>
      </c>
      <c r="D1734">
        <v>79.960586547999995</v>
      </c>
      <c r="E1734">
        <v>50</v>
      </c>
      <c r="F1734">
        <v>44.189067841000004</v>
      </c>
      <c r="G1734">
        <v>1379.1781006000001</v>
      </c>
      <c r="H1734">
        <v>1365.7349853999999</v>
      </c>
      <c r="I1734">
        <v>1286.0928954999999</v>
      </c>
      <c r="J1734">
        <v>1265.3039550999999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1214.9038969999999</v>
      </c>
      <c r="B1735" s="1">
        <f>DATE(2013,8,27) + TIME(21,41,36)</f>
        <v>41513.90388888889</v>
      </c>
      <c r="C1735">
        <v>80</v>
      </c>
      <c r="D1735">
        <v>79.960617064999994</v>
      </c>
      <c r="E1735">
        <v>50</v>
      </c>
      <c r="F1735">
        <v>44.157535553000002</v>
      </c>
      <c r="G1735">
        <v>1379.1210937999999</v>
      </c>
      <c r="H1735">
        <v>1365.6849365</v>
      </c>
      <c r="I1735">
        <v>1286.0286865</v>
      </c>
      <c r="J1735">
        <v>1265.1917725000001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1216.7729770000001</v>
      </c>
      <c r="B1736" s="1">
        <f>DATE(2013,8,29) + TIME(18,33,5)</f>
        <v>41515.772974537038</v>
      </c>
      <c r="C1736">
        <v>80</v>
      </c>
      <c r="D1736">
        <v>79.960655212000006</v>
      </c>
      <c r="E1736">
        <v>50</v>
      </c>
      <c r="F1736">
        <v>44.130928040000001</v>
      </c>
      <c r="G1736">
        <v>1379.0638428</v>
      </c>
      <c r="H1736">
        <v>1365.6347656</v>
      </c>
      <c r="I1736">
        <v>1285.9654541</v>
      </c>
      <c r="J1736">
        <v>1265.0806885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1218.671936</v>
      </c>
      <c r="B1737" s="1">
        <f>DATE(2013,8,31) + TIME(16,7,35)</f>
        <v>41517.671932870369</v>
      </c>
      <c r="C1737">
        <v>80</v>
      </c>
      <c r="D1737">
        <v>79.960685729999994</v>
      </c>
      <c r="E1737">
        <v>50</v>
      </c>
      <c r="F1737">
        <v>44.109794616999999</v>
      </c>
      <c r="G1737">
        <v>1379.0064697</v>
      </c>
      <c r="H1737">
        <v>1365.5842285000001</v>
      </c>
      <c r="I1737">
        <v>1285.9033202999999</v>
      </c>
      <c r="J1737">
        <v>1264.9711914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1219</v>
      </c>
      <c r="B1738" s="1">
        <f>DATE(2013,9,1) + TIME(0,0,0)</f>
        <v>41518</v>
      </c>
      <c r="C1738">
        <v>80</v>
      </c>
      <c r="D1738">
        <v>79.960685729999994</v>
      </c>
      <c r="E1738">
        <v>50</v>
      </c>
      <c r="F1738">
        <v>44.103290557999998</v>
      </c>
      <c r="G1738">
        <v>1378.9498291</v>
      </c>
      <c r="H1738">
        <v>1365.5344238</v>
      </c>
      <c r="I1738">
        <v>1285.8551024999999</v>
      </c>
      <c r="J1738">
        <v>1264.8875731999999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1220.9283170000001</v>
      </c>
      <c r="B1739" s="1">
        <f>DATE(2013,9,2) + TIME(22,16,46)</f>
        <v>41519.928310185183</v>
      </c>
      <c r="C1739">
        <v>80</v>
      </c>
      <c r="D1739">
        <v>79.960731506000002</v>
      </c>
      <c r="E1739">
        <v>50</v>
      </c>
      <c r="F1739">
        <v>44.092365264999998</v>
      </c>
      <c r="G1739">
        <v>1378.9382324000001</v>
      </c>
      <c r="H1739">
        <v>1365.5240478999999</v>
      </c>
      <c r="I1739">
        <v>1285.8293457</v>
      </c>
      <c r="J1739">
        <v>1264.840332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1222.877389</v>
      </c>
      <c r="B1740" s="1">
        <f>DATE(2013,9,4) + TIME(21,3,26)</f>
        <v>41521.877384259256</v>
      </c>
      <c r="C1740">
        <v>80</v>
      </c>
      <c r="D1740">
        <v>79.960762024000005</v>
      </c>
      <c r="E1740">
        <v>50</v>
      </c>
      <c r="F1740">
        <v>44.086399077999999</v>
      </c>
      <c r="G1740">
        <v>1378.8803711</v>
      </c>
      <c r="H1740">
        <v>1365.4730225000001</v>
      </c>
      <c r="I1740">
        <v>1285.7723389</v>
      </c>
      <c r="J1740">
        <v>1264.7390137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1224.850312</v>
      </c>
      <c r="B1741" s="1">
        <f>DATE(2013,9,6) + TIME(20,24,26)</f>
        <v>41523.850300925929</v>
      </c>
      <c r="C1741">
        <v>80</v>
      </c>
      <c r="D1741">
        <v>79.960800171000002</v>
      </c>
      <c r="E1741">
        <v>50</v>
      </c>
      <c r="F1741">
        <v>44.087779998999999</v>
      </c>
      <c r="G1741">
        <v>1378.8220214999999</v>
      </c>
      <c r="H1741">
        <v>1365.4213867000001</v>
      </c>
      <c r="I1741">
        <v>1285.7158202999999</v>
      </c>
      <c r="J1741">
        <v>1264.6383057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1226.836135</v>
      </c>
      <c r="B1742" s="1">
        <f>DATE(2013,9,8) + TIME(20,4,2)</f>
        <v>41525.836134259262</v>
      </c>
      <c r="C1742">
        <v>80</v>
      </c>
      <c r="D1742">
        <v>79.960838318</v>
      </c>
      <c r="E1742">
        <v>50</v>
      </c>
      <c r="F1742">
        <v>44.097755432</v>
      </c>
      <c r="G1742">
        <v>1378.7634277</v>
      </c>
      <c r="H1742">
        <v>1365.3695068</v>
      </c>
      <c r="I1742">
        <v>1285.6612548999999</v>
      </c>
      <c r="J1742">
        <v>1264.5407714999999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1228.836798</v>
      </c>
      <c r="B1743" s="1">
        <f>DATE(2013,9,10) + TIME(20,4,59)</f>
        <v>41527.836793981478</v>
      </c>
      <c r="C1743">
        <v>80</v>
      </c>
      <c r="D1743">
        <v>79.960876464999998</v>
      </c>
      <c r="E1743">
        <v>50</v>
      </c>
      <c r="F1743">
        <v>44.117206572999997</v>
      </c>
      <c r="G1743">
        <v>1378.7049560999999</v>
      </c>
      <c r="H1743">
        <v>1365.3176269999999</v>
      </c>
      <c r="I1743">
        <v>1285.6092529</v>
      </c>
      <c r="J1743">
        <v>1264.4479980000001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1230.8580890000001</v>
      </c>
      <c r="B1744" s="1">
        <f>DATE(2013,9,12) + TIME(20,35,38)</f>
        <v>41529.858078703706</v>
      </c>
      <c r="C1744">
        <v>80</v>
      </c>
      <c r="D1744">
        <v>79.960914611999996</v>
      </c>
      <c r="E1744">
        <v>50</v>
      </c>
      <c r="F1744">
        <v>44.146957397000001</v>
      </c>
      <c r="G1744">
        <v>1378.6466064000001</v>
      </c>
      <c r="H1744">
        <v>1365.265625</v>
      </c>
      <c r="I1744">
        <v>1285.5600586</v>
      </c>
      <c r="J1744">
        <v>1264.3603516000001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1232.912519</v>
      </c>
      <c r="B1745" s="1">
        <f>DATE(2013,9,14) + TIME(21,54,1)</f>
        <v>41531.912511574075</v>
      </c>
      <c r="C1745">
        <v>80</v>
      </c>
      <c r="D1745">
        <v>79.960952758999994</v>
      </c>
      <c r="E1745">
        <v>50</v>
      </c>
      <c r="F1745">
        <v>44.187931061</v>
      </c>
      <c r="G1745">
        <v>1378.5880127</v>
      </c>
      <c r="H1745">
        <v>1365.213501</v>
      </c>
      <c r="I1745">
        <v>1285.5140381000001</v>
      </c>
      <c r="J1745">
        <v>1264.2785644999999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1235.0083990000001</v>
      </c>
      <c r="B1746" s="1">
        <f>DATE(2013,9,17) + TIME(0,12,5)</f>
        <v>41534.008391203701</v>
      </c>
      <c r="C1746">
        <v>80</v>
      </c>
      <c r="D1746">
        <v>79.960990906000006</v>
      </c>
      <c r="E1746">
        <v>50</v>
      </c>
      <c r="F1746">
        <v>44.24124527</v>
      </c>
      <c r="G1746">
        <v>1378.5289307</v>
      </c>
      <c r="H1746">
        <v>1365.1607666</v>
      </c>
      <c r="I1746">
        <v>1285.4710693</v>
      </c>
      <c r="J1746">
        <v>1264.2027588000001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1237.1393479999999</v>
      </c>
      <c r="B1747" s="1">
        <f>DATE(2013,9,19) + TIME(3,20,39)</f>
        <v>41536.139340277776</v>
      </c>
      <c r="C1747">
        <v>80</v>
      </c>
      <c r="D1747">
        <v>79.961036682</v>
      </c>
      <c r="E1747">
        <v>50</v>
      </c>
      <c r="F1747">
        <v>44.308071136000002</v>
      </c>
      <c r="G1747">
        <v>1378.4692382999999</v>
      </c>
      <c r="H1747">
        <v>1365.1074219</v>
      </c>
      <c r="I1747">
        <v>1285.4312743999999</v>
      </c>
      <c r="J1747">
        <v>1264.1333007999999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1239.289714</v>
      </c>
      <c r="B1748" s="1">
        <f>DATE(2013,9,21) + TIME(6,57,11)</f>
        <v>41538.289710648147</v>
      </c>
      <c r="C1748">
        <v>80</v>
      </c>
      <c r="D1748">
        <v>79.961074828999998</v>
      </c>
      <c r="E1748">
        <v>50</v>
      </c>
      <c r="F1748">
        <v>44.389183043999999</v>
      </c>
      <c r="G1748">
        <v>1378.4091797000001</v>
      </c>
      <c r="H1748">
        <v>1365.0535889</v>
      </c>
      <c r="I1748">
        <v>1285.3951416</v>
      </c>
      <c r="J1748">
        <v>1264.0711670000001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1241.466109</v>
      </c>
      <c r="B1749" s="1">
        <f>DATE(2013,9,23) + TIME(11,11,11)</f>
        <v>41540.466099537036</v>
      </c>
      <c r="C1749">
        <v>80</v>
      </c>
      <c r="D1749">
        <v>79.961112975999995</v>
      </c>
      <c r="E1749">
        <v>50</v>
      </c>
      <c r="F1749">
        <v>44.485015869000001</v>
      </c>
      <c r="G1749">
        <v>1378.348999</v>
      </c>
      <c r="H1749">
        <v>1364.9997559000001</v>
      </c>
      <c r="I1749">
        <v>1285.3630370999999</v>
      </c>
      <c r="J1749">
        <v>1264.0173339999999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1243.672131</v>
      </c>
      <c r="B1750" s="1">
        <f>DATE(2013,9,25) + TIME(16,7,52)</f>
        <v>41542.672129629631</v>
      </c>
      <c r="C1750">
        <v>80</v>
      </c>
      <c r="D1750">
        <v>79.961158752000003</v>
      </c>
      <c r="E1750">
        <v>50</v>
      </c>
      <c r="F1750">
        <v>44.596248627000001</v>
      </c>
      <c r="G1750">
        <v>1378.2886963000001</v>
      </c>
      <c r="H1750">
        <v>1364.9455565999999</v>
      </c>
      <c r="I1750">
        <v>1285.3349608999999</v>
      </c>
      <c r="J1750">
        <v>1263.972168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1245.907723</v>
      </c>
      <c r="B1751" s="1">
        <f>DATE(2013,9,27) + TIME(21,47,7)</f>
        <v>41544.907719907409</v>
      </c>
      <c r="C1751">
        <v>80</v>
      </c>
      <c r="D1751">
        <v>79.961196899000001</v>
      </c>
      <c r="E1751">
        <v>50</v>
      </c>
      <c r="F1751">
        <v>44.723480225000003</v>
      </c>
      <c r="G1751">
        <v>1378.2281493999999</v>
      </c>
      <c r="H1751">
        <v>1364.8911132999999</v>
      </c>
      <c r="I1751">
        <v>1285.3111572</v>
      </c>
      <c r="J1751">
        <v>1263.9360352000001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1248.1745109999999</v>
      </c>
      <c r="B1752" s="1">
        <f>DATE(2013,9,30) + TIME(4,11,17)</f>
        <v>41547.174502314818</v>
      </c>
      <c r="C1752">
        <v>80</v>
      </c>
      <c r="D1752">
        <v>79.961242675999998</v>
      </c>
      <c r="E1752">
        <v>50</v>
      </c>
      <c r="F1752">
        <v>44.867099762000002</v>
      </c>
      <c r="G1752">
        <v>1378.1674805</v>
      </c>
      <c r="H1752">
        <v>1364.8365478999999</v>
      </c>
      <c r="I1752">
        <v>1285.291626</v>
      </c>
      <c r="J1752">
        <v>1263.9093018000001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1249</v>
      </c>
      <c r="B1753" s="1">
        <f>DATE(2013,10,1) + TIME(0,0,0)</f>
        <v>41548</v>
      </c>
      <c r="C1753">
        <v>80</v>
      </c>
      <c r="D1753">
        <v>79.961250304999993</v>
      </c>
      <c r="E1753">
        <v>50</v>
      </c>
      <c r="F1753">
        <v>44.98109436</v>
      </c>
      <c r="G1753">
        <v>1378.1070557</v>
      </c>
      <c r="H1753">
        <v>1364.7821045000001</v>
      </c>
      <c r="I1753">
        <v>1285.2885742000001</v>
      </c>
      <c r="J1753">
        <v>1263.8950195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1251.290669</v>
      </c>
      <c r="B1754" s="1">
        <f>DATE(2013,10,3) + TIME(6,58,33)</f>
        <v>41550.290659722225</v>
      </c>
      <c r="C1754">
        <v>80</v>
      </c>
      <c r="D1754">
        <v>79.961303710999999</v>
      </c>
      <c r="E1754">
        <v>50</v>
      </c>
      <c r="F1754">
        <v>45.102989196999999</v>
      </c>
      <c r="G1754">
        <v>1378.0843506000001</v>
      </c>
      <c r="H1754">
        <v>1364.7615966999999</v>
      </c>
      <c r="I1754">
        <v>1285.2700195</v>
      </c>
      <c r="J1754">
        <v>1263.8903809000001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1253.595296</v>
      </c>
      <c r="B1755" s="1">
        <f>DATE(2013,10,5) + TIME(14,17,13)</f>
        <v>41552.595289351855</v>
      </c>
      <c r="C1755">
        <v>80</v>
      </c>
      <c r="D1755">
        <v>79.961349487000007</v>
      </c>
      <c r="E1755">
        <v>50</v>
      </c>
      <c r="F1755">
        <v>45.273342133</v>
      </c>
      <c r="G1755">
        <v>1378.0241699000001</v>
      </c>
      <c r="H1755">
        <v>1364.7072754000001</v>
      </c>
      <c r="I1755">
        <v>1285.2624512</v>
      </c>
      <c r="J1755">
        <v>1263.8852539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1255.915763</v>
      </c>
      <c r="B1756" s="1">
        <f>DATE(2013,10,7) + TIME(21,58,41)</f>
        <v>41554.915752314817</v>
      </c>
      <c r="C1756">
        <v>80</v>
      </c>
      <c r="D1756">
        <v>79.961387634000005</v>
      </c>
      <c r="E1756">
        <v>50</v>
      </c>
      <c r="F1756">
        <v>45.465412139999998</v>
      </c>
      <c r="G1756">
        <v>1377.9641113</v>
      </c>
      <c r="H1756">
        <v>1364.6529541</v>
      </c>
      <c r="I1756">
        <v>1285.2576904</v>
      </c>
      <c r="J1756">
        <v>1263.8902588000001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1258.27052</v>
      </c>
      <c r="B1757" s="1">
        <f>DATE(2013,10,10) + TIME(6,29,32)</f>
        <v>41557.270509259259</v>
      </c>
      <c r="C1757">
        <v>80</v>
      </c>
      <c r="D1757">
        <v>79.961433411000002</v>
      </c>
      <c r="E1757">
        <v>50</v>
      </c>
      <c r="F1757">
        <v>45.672466278000002</v>
      </c>
      <c r="G1757">
        <v>1377.9042969</v>
      </c>
      <c r="H1757">
        <v>1364.598999</v>
      </c>
      <c r="I1757">
        <v>1285.2563477000001</v>
      </c>
      <c r="J1757">
        <v>1263.9042969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1260.6717160000001</v>
      </c>
      <c r="B1758" s="1">
        <f>DATE(2013,10,12) + TIME(16,7,16)</f>
        <v>41559.671712962961</v>
      </c>
      <c r="C1758">
        <v>80</v>
      </c>
      <c r="D1758">
        <v>79.961479186999995</v>
      </c>
      <c r="E1758">
        <v>50</v>
      </c>
      <c r="F1758">
        <v>45.893234253000003</v>
      </c>
      <c r="G1758">
        <v>1377.8446045000001</v>
      </c>
      <c r="H1758">
        <v>1364.5449219</v>
      </c>
      <c r="I1758">
        <v>1285.2586670000001</v>
      </c>
      <c r="J1758">
        <v>1263.9268798999999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1261.892738</v>
      </c>
      <c r="B1759" s="1">
        <f>DATE(2013,10,13) + TIME(21,25,32)</f>
        <v>41560.892731481479</v>
      </c>
      <c r="C1759">
        <v>80</v>
      </c>
      <c r="D1759">
        <v>79.961494446000003</v>
      </c>
      <c r="E1759">
        <v>50</v>
      </c>
      <c r="F1759">
        <v>46.085849762000002</v>
      </c>
      <c r="G1759">
        <v>1377.7847899999999</v>
      </c>
      <c r="H1759">
        <v>1364.4908447</v>
      </c>
      <c r="I1759">
        <v>1285.2723389</v>
      </c>
      <c r="J1759">
        <v>1263.9554443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1263.11376</v>
      </c>
      <c r="B1760" s="1">
        <f>DATE(2013,10,15) + TIME(2,43,48)</f>
        <v>41562.113749999997</v>
      </c>
      <c r="C1760">
        <v>80</v>
      </c>
      <c r="D1760">
        <v>79.961517334000007</v>
      </c>
      <c r="E1760">
        <v>50</v>
      </c>
      <c r="F1760">
        <v>46.233692169000001</v>
      </c>
      <c r="G1760">
        <v>1377.7542725000001</v>
      </c>
      <c r="H1760">
        <v>1364.4631348</v>
      </c>
      <c r="I1760">
        <v>1285.2738036999999</v>
      </c>
      <c r="J1760">
        <v>1263.9792480000001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1264.334783</v>
      </c>
      <c r="B1761" s="1">
        <f>DATE(2013,10,16) + TIME(8,2,5)</f>
        <v>41563.334780092591</v>
      </c>
      <c r="C1761">
        <v>80</v>
      </c>
      <c r="D1761">
        <v>79.961540221999996</v>
      </c>
      <c r="E1761">
        <v>50</v>
      </c>
      <c r="F1761">
        <v>46.366497039999999</v>
      </c>
      <c r="G1761">
        <v>1377.7244873</v>
      </c>
      <c r="H1761">
        <v>1364.4360352000001</v>
      </c>
      <c r="I1761">
        <v>1285.277832</v>
      </c>
      <c r="J1761">
        <v>1264.0014647999999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1265.555805</v>
      </c>
      <c r="B1762" s="1">
        <f>DATE(2013,10,17) + TIME(13,20,21)</f>
        <v>41564.555798611109</v>
      </c>
      <c r="C1762">
        <v>80</v>
      </c>
      <c r="D1762">
        <v>79.96156311</v>
      </c>
      <c r="E1762">
        <v>50</v>
      </c>
      <c r="F1762">
        <v>46.494640349999997</v>
      </c>
      <c r="G1762">
        <v>1377.6948242000001</v>
      </c>
      <c r="H1762">
        <v>1364.4091797000001</v>
      </c>
      <c r="I1762">
        <v>1285.2833252</v>
      </c>
      <c r="J1762">
        <v>1264.0240478999999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1266.7768269999999</v>
      </c>
      <c r="B1763" s="1">
        <f>DATE(2013,10,18) + TIME(18,38,37)</f>
        <v>41565.776817129627</v>
      </c>
      <c r="C1763">
        <v>80</v>
      </c>
      <c r="D1763">
        <v>79.961585998999993</v>
      </c>
      <c r="E1763">
        <v>50</v>
      </c>
      <c r="F1763">
        <v>46.621623993</v>
      </c>
      <c r="G1763">
        <v>1377.6655272999999</v>
      </c>
      <c r="H1763">
        <v>1364.3826904</v>
      </c>
      <c r="I1763">
        <v>1285.2895507999999</v>
      </c>
      <c r="J1763">
        <v>1264.0474853999999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1267.9978490000001</v>
      </c>
      <c r="B1764" s="1">
        <f>DATE(2013,10,19) + TIME(23,56,54)</f>
        <v>41566.997847222221</v>
      </c>
      <c r="C1764">
        <v>80</v>
      </c>
      <c r="D1764">
        <v>79.961616516000007</v>
      </c>
      <c r="E1764">
        <v>50</v>
      </c>
      <c r="F1764">
        <v>46.748542786000002</v>
      </c>
      <c r="G1764">
        <v>1377.6364745999999</v>
      </c>
      <c r="H1764">
        <v>1364.3563231999999</v>
      </c>
      <c r="I1764">
        <v>1285.2965088000001</v>
      </c>
      <c r="J1764">
        <v>1264.0720214999999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1270.439893</v>
      </c>
      <c r="B1765" s="1">
        <f>DATE(2013,10,22) + TIME(10,33,26)</f>
        <v>41569.439884259256</v>
      </c>
      <c r="C1765">
        <v>80</v>
      </c>
      <c r="D1765">
        <v>79.961669921999999</v>
      </c>
      <c r="E1765">
        <v>50</v>
      </c>
      <c r="F1765">
        <v>46.902610779</v>
      </c>
      <c r="G1765">
        <v>1377.6077881000001</v>
      </c>
      <c r="H1765">
        <v>1364.3302002</v>
      </c>
      <c r="I1765">
        <v>1285.2994385</v>
      </c>
      <c r="J1765">
        <v>1264.0998535000001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1272.89716</v>
      </c>
      <c r="B1766" s="1">
        <f>DATE(2013,10,24) + TIME(21,31,54)</f>
        <v>41571.897152777776</v>
      </c>
      <c r="C1766">
        <v>80</v>
      </c>
      <c r="D1766">
        <v>79.961715698000006</v>
      </c>
      <c r="E1766">
        <v>50</v>
      </c>
      <c r="F1766">
        <v>47.135993958</v>
      </c>
      <c r="G1766">
        <v>1377.5510254000001</v>
      </c>
      <c r="H1766">
        <v>1364.2788086</v>
      </c>
      <c r="I1766">
        <v>1285.3157959</v>
      </c>
      <c r="J1766">
        <v>1264.1457519999999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1275.4217140000001</v>
      </c>
      <c r="B1767" s="1">
        <f>DATE(2013,10,27) + TIME(10,7,16)</f>
        <v>41574.421712962961</v>
      </c>
      <c r="C1767">
        <v>80</v>
      </c>
      <c r="D1767">
        <v>79.961761475000003</v>
      </c>
      <c r="E1767">
        <v>50</v>
      </c>
      <c r="F1767">
        <v>47.388721466</v>
      </c>
      <c r="G1767">
        <v>1377.4948730000001</v>
      </c>
      <c r="H1767">
        <v>1364.2277832</v>
      </c>
      <c r="I1767">
        <v>1285.3331298999999</v>
      </c>
      <c r="J1767">
        <v>1264.2009277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1278.0213920000001</v>
      </c>
      <c r="B1768" s="1">
        <f>DATE(2013,10,30) + TIME(0,30,48)</f>
        <v>41577.02138888889</v>
      </c>
      <c r="C1768">
        <v>80</v>
      </c>
      <c r="D1768">
        <v>79.961814880000006</v>
      </c>
      <c r="E1768">
        <v>50</v>
      </c>
      <c r="F1768">
        <v>47.649566649999997</v>
      </c>
      <c r="G1768">
        <v>1377.4381103999999</v>
      </c>
      <c r="H1768">
        <v>1364.1762695</v>
      </c>
      <c r="I1768">
        <v>1285.3518065999999</v>
      </c>
      <c r="J1768">
        <v>1264.2606201000001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1280</v>
      </c>
      <c r="B1769" s="1">
        <f>DATE(2013,11,1) + TIME(0,0,0)</f>
        <v>41579</v>
      </c>
      <c r="C1769">
        <v>80</v>
      </c>
      <c r="D1769">
        <v>79.961845397999994</v>
      </c>
      <c r="E1769">
        <v>50</v>
      </c>
      <c r="F1769">
        <v>47.898174286</v>
      </c>
      <c r="G1769">
        <v>1377.3809814000001</v>
      </c>
      <c r="H1769">
        <v>1364.1243896000001</v>
      </c>
      <c r="I1769">
        <v>1285.3745117000001</v>
      </c>
      <c r="J1769">
        <v>1264.3218993999999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1280.0000010000001</v>
      </c>
      <c r="B1770" s="1">
        <f>DATE(2013,11,1) + TIME(0,0,0)</f>
        <v>41579</v>
      </c>
      <c r="C1770">
        <v>80</v>
      </c>
      <c r="D1770">
        <v>79.961692810000002</v>
      </c>
      <c r="E1770">
        <v>50</v>
      </c>
      <c r="F1770">
        <v>47.898319244</v>
      </c>
      <c r="G1770">
        <v>1363.2495117000001</v>
      </c>
      <c r="H1770">
        <v>1351.1925048999999</v>
      </c>
      <c r="I1770">
        <v>1307.4544678</v>
      </c>
      <c r="J1770">
        <v>1286.309082</v>
      </c>
      <c r="K1770">
        <v>0</v>
      </c>
      <c r="L1770">
        <v>2400</v>
      </c>
      <c r="M1770">
        <v>2400</v>
      </c>
      <c r="N1770">
        <v>0</v>
      </c>
    </row>
    <row r="1771" spans="1:14" x14ac:dyDescent="0.25">
      <c r="A1771">
        <v>1280.000004</v>
      </c>
      <c r="B1771" s="1">
        <f>DATE(2013,11,1) + TIME(0,0,0)</f>
        <v>41579</v>
      </c>
      <c r="C1771">
        <v>80</v>
      </c>
      <c r="D1771">
        <v>79.961311339999995</v>
      </c>
      <c r="E1771">
        <v>50</v>
      </c>
      <c r="F1771">
        <v>47.898712158000002</v>
      </c>
      <c r="G1771">
        <v>1361.0405272999999</v>
      </c>
      <c r="H1771">
        <v>1348.9830322</v>
      </c>
      <c r="I1771">
        <v>1309.8454589999999</v>
      </c>
      <c r="J1771">
        <v>1288.8107910000001</v>
      </c>
      <c r="K1771">
        <v>0</v>
      </c>
      <c r="L1771">
        <v>2400</v>
      </c>
      <c r="M1771">
        <v>2400</v>
      </c>
      <c r="N1771">
        <v>0</v>
      </c>
    </row>
    <row r="1772" spans="1:14" x14ac:dyDescent="0.25">
      <c r="A1772">
        <v>1280.0000130000001</v>
      </c>
      <c r="B1772" s="1">
        <f>DATE(2013,11,1) + TIME(0,0,1)</f>
        <v>41579.000011574077</v>
      </c>
      <c r="C1772">
        <v>80</v>
      </c>
      <c r="D1772">
        <v>79.960533142000003</v>
      </c>
      <c r="E1772">
        <v>50</v>
      </c>
      <c r="F1772">
        <v>47.899604797000002</v>
      </c>
      <c r="G1772">
        <v>1356.5856934000001</v>
      </c>
      <c r="H1772">
        <v>1344.5277100000001</v>
      </c>
      <c r="I1772">
        <v>1315.3212891000001</v>
      </c>
      <c r="J1772">
        <v>1294.4693603999999</v>
      </c>
      <c r="K1772">
        <v>0</v>
      </c>
      <c r="L1772">
        <v>2400</v>
      </c>
      <c r="M1772">
        <v>2400</v>
      </c>
      <c r="N1772">
        <v>0</v>
      </c>
    </row>
    <row r="1773" spans="1:14" x14ac:dyDescent="0.25">
      <c r="A1773">
        <v>1280.0000399999999</v>
      </c>
      <c r="B1773" s="1">
        <f>DATE(2013,11,1) + TIME(0,0,3)</f>
        <v>41579.000034722223</v>
      </c>
      <c r="C1773">
        <v>80</v>
      </c>
      <c r="D1773">
        <v>79.959403992000006</v>
      </c>
      <c r="E1773">
        <v>50</v>
      </c>
      <c r="F1773">
        <v>47.901176452999998</v>
      </c>
      <c r="G1773">
        <v>1350.0870361</v>
      </c>
      <c r="H1773">
        <v>1338.0294189000001</v>
      </c>
      <c r="I1773">
        <v>1324.7816161999999</v>
      </c>
      <c r="J1773">
        <v>1304.0693358999999</v>
      </c>
      <c r="K1773">
        <v>0</v>
      </c>
      <c r="L1773">
        <v>2400</v>
      </c>
      <c r="M1773">
        <v>2400</v>
      </c>
      <c r="N1773">
        <v>0</v>
      </c>
    </row>
    <row r="1774" spans="1:14" x14ac:dyDescent="0.25">
      <c r="A1774">
        <v>1280.000121</v>
      </c>
      <c r="B1774" s="1">
        <f>DATE(2013,11,1) + TIME(0,0,10)</f>
        <v>41579.000115740739</v>
      </c>
      <c r="C1774">
        <v>80</v>
      </c>
      <c r="D1774">
        <v>79.958129882999998</v>
      </c>
      <c r="E1774">
        <v>50</v>
      </c>
      <c r="F1774">
        <v>47.903209685999997</v>
      </c>
      <c r="G1774">
        <v>1342.8576660000001</v>
      </c>
      <c r="H1774">
        <v>1330.8054199000001</v>
      </c>
      <c r="I1774">
        <v>1336.5173339999999</v>
      </c>
      <c r="J1774">
        <v>1315.7860106999999</v>
      </c>
      <c r="K1774">
        <v>0</v>
      </c>
      <c r="L1774">
        <v>2400</v>
      </c>
      <c r="M1774">
        <v>2400</v>
      </c>
      <c r="N1774">
        <v>0</v>
      </c>
    </row>
    <row r="1775" spans="1:14" x14ac:dyDescent="0.25">
      <c r="A1775">
        <v>1280.000364</v>
      </c>
      <c r="B1775" s="1">
        <f>DATE(2013,11,1) + TIME(0,0,31)</f>
        <v>41579.000358796293</v>
      </c>
      <c r="C1775">
        <v>80</v>
      </c>
      <c r="D1775">
        <v>79.956817627000007</v>
      </c>
      <c r="E1775">
        <v>50</v>
      </c>
      <c r="F1775">
        <v>47.905849457000002</v>
      </c>
      <c r="G1775">
        <v>1335.5931396000001</v>
      </c>
      <c r="H1775">
        <v>1323.546875</v>
      </c>
      <c r="I1775">
        <v>1348.8614502</v>
      </c>
      <c r="J1775">
        <v>1328.1212158000001</v>
      </c>
      <c r="K1775">
        <v>0</v>
      </c>
      <c r="L1775">
        <v>2400</v>
      </c>
      <c r="M1775">
        <v>2400</v>
      </c>
      <c r="N1775">
        <v>0</v>
      </c>
    </row>
    <row r="1776" spans="1:14" x14ac:dyDescent="0.25">
      <c r="A1776">
        <v>1280.0010930000001</v>
      </c>
      <c r="B1776" s="1">
        <f>DATE(2013,11,1) + TIME(0,1,34)</f>
        <v>41579.001087962963</v>
      </c>
      <c r="C1776">
        <v>80</v>
      </c>
      <c r="D1776">
        <v>79.955390929999993</v>
      </c>
      <c r="E1776">
        <v>50</v>
      </c>
      <c r="F1776">
        <v>47.910053253000001</v>
      </c>
      <c r="G1776">
        <v>1328.3046875</v>
      </c>
      <c r="H1776">
        <v>1316.2416992000001</v>
      </c>
      <c r="I1776">
        <v>1361.4295654</v>
      </c>
      <c r="J1776">
        <v>1340.6717529</v>
      </c>
      <c r="K1776">
        <v>0</v>
      </c>
      <c r="L1776">
        <v>2400</v>
      </c>
      <c r="M1776">
        <v>2400</v>
      </c>
      <c r="N1776">
        <v>0</v>
      </c>
    </row>
    <row r="1777" spans="1:14" x14ac:dyDescent="0.25">
      <c r="A1777">
        <v>1280.0032799999999</v>
      </c>
      <c r="B1777" s="1">
        <f>DATE(2013,11,1) + TIME(0,4,43)</f>
        <v>41579.003275462965</v>
      </c>
      <c r="C1777">
        <v>80</v>
      </c>
      <c r="D1777">
        <v>79.953628539999997</v>
      </c>
      <c r="E1777">
        <v>50</v>
      </c>
      <c r="F1777">
        <v>47.918857574</v>
      </c>
      <c r="G1777">
        <v>1320.8612060999999</v>
      </c>
      <c r="H1777">
        <v>1308.6973877</v>
      </c>
      <c r="I1777">
        <v>1374.1323242000001</v>
      </c>
      <c r="J1777">
        <v>1353.2900391000001</v>
      </c>
      <c r="K1777">
        <v>0</v>
      </c>
      <c r="L1777">
        <v>2400</v>
      </c>
      <c r="M1777">
        <v>2400</v>
      </c>
      <c r="N1777">
        <v>0</v>
      </c>
    </row>
    <row r="1778" spans="1:14" x14ac:dyDescent="0.25">
      <c r="A1778">
        <v>1280.0098410000001</v>
      </c>
      <c r="B1778" s="1">
        <f>DATE(2013,11,1) + TIME(0,14,10)</f>
        <v>41579.009837962964</v>
      </c>
      <c r="C1778">
        <v>80</v>
      </c>
      <c r="D1778">
        <v>79.950927734000004</v>
      </c>
      <c r="E1778">
        <v>50</v>
      </c>
      <c r="F1778">
        <v>47.941200256000002</v>
      </c>
      <c r="G1778">
        <v>1313.5799560999999</v>
      </c>
      <c r="H1778">
        <v>1301.2761230000001</v>
      </c>
      <c r="I1778">
        <v>1385.8314209</v>
      </c>
      <c r="J1778">
        <v>1364.8431396000001</v>
      </c>
      <c r="K1778">
        <v>0</v>
      </c>
      <c r="L1778">
        <v>2400</v>
      </c>
      <c r="M1778">
        <v>2400</v>
      </c>
      <c r="N1778">
        <v>0</v>
      </c>
    </row>
    <row r="1779" spans="1:14" x14ac:dyDescent="0.25">
      <c r="A1779">
        <v>1280.029524</v>
      </c>
      <c r="B1779" s="1">
        <f>DATE(2013,11,1) + TIME(0,42,30)</f>
        <v>41579.029513888891</v>
      </c>
      <c r="C1779">
        <v>80</v>
      </c>
      <c r="D1779">
        <v>79.945693969999994</v>
      </c>
      <c r="E1779">
        <v>50</v>
      </c>
      <c r="F1779">
        <v>48.002696991000001</v>
      </c>
      <c r="G1779">
        <v>1307.791626</v>
      </c>
      <c r="H1779">
        <v>1295.4134521000001</v>
      </c>
      <c r="I1779">
        <v>1394.0872803</v>
      </c>
      <c r="J1779">
        <v>1372.9942627</v>
      </c>
      <c r="K1779">
        <v>0</v>
      </c>
      <c r="L1779">
        <v>2400</v>
      </c>
      <c r="M1779">
        <v>2400</v>
      </c>
      <c r="N1779">
        <v>0</v>
      </c>
    </row>
    <row r="1780" spans="1:14" x14ac:dyDescent="0.25">
      <c r="A1780">
        <v>1280.0806</v>
      </c>
      <c r="B1780" s="1">
        <f>DATE(2013,11,1) + TIME(1,56,3)</f>
        <v>41579.080590277779</v>
      </c>
      <c r="C1780">
        <v>80</v>
      </c>
      <c r="D1780">
        <v>79.934761046999995</v>
      </c>
      <c r="E1780">
        <v>50</v>
      </c>
      <c r="F1780">
        <v>48.148216247999997</v>
      </c>
      <c r="G1780">
        <v>1304.9891356999999</v>
      </c>
      <c r="H1780">
        <v>1292.5900879000001</v>
      </c>
      <c r="I1780">
        <v>1397.3190918</v>
      </c>
      <c r="J1780">
        <v>1376.2426757999999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1280.13455</v>
      </c>
      <c r="B1781" s="1">
        <f>DATE(2013,11,1) + TIME(3,13,45)</f>
        <v>41579.134548611109</v>
      </c>
      <c r="C1781">
        <v>80</v>
      </c>
      <c r="D1781">
        <v>79.923828125</v>
      </c>
      <c r="E1781">
        <v>50</v>
      </c>
      <c r="F1781">
        <v>48.289546967</v>
      </c>
      <c r="G1781">
        <v>1304.3424072</v>
      </c>
      <c r="H1781">
        <v>1291.9395752</v>
      </c>
      <c r="I1781">
        <v>1397.7641602000001</v>
      </c>
      <c r="J1781">
        <v>1376.7467041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1280.191407</v>
      </c>
      <c r="B1782" s="1">
        <f>DATE(2013,11,1) + TIME(4,35,37)</f>
        <v>41579.191400462965</v>
      </c>
      <c r="C1782">
        <v>80</v>
      </c>
      <c r="D1782">
        <v>79.912658691000004</v>
      </c>
      <c r="E1782">
        <v>50</v>
      </c>
      <c r="F1782">
        <v>48.426216125000003</v>
      </c>
      <c r="G1782">
        <v>1304.1787108999999</v>
      </c>
      <c r="H1782">
        <v>1291.7747803</v>
      </c>
      <c r="I1782">
        <v>1397.6971435999999</v>
      </c>
      <c r="J1782">
        <v>1376.7454834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1280.251497</v>
      </c>
      <c r="B1783" s="1">
        <f>DATE(2013,11,1) + TIME(6,2,9)</f>
        <v>41579.251493055555</v>
      </c>
      <c r="C1783">
        <v>80</v>
      </c>
      <c r="D1783">
        <v>79.901138306000007</v>
      </c>
      <c r="E1783">
        <v>50</v>
      </c>
      <c r="F1783">
        <v>48.558200835999997</v>
      </c>
      <c r="G1783">
        <v>1304.1324463000001</v>
      </c>
      <c r="H1783">
        <v>1291.7277832</v>
      </c>
      <c r="I1783">
        <v>1397.5437012</v>
      </c>
      <c r="J1783">
        <v>1376.6579589999999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1280.315263</v>
      </c>
      <c r="B1784" s="1">
        <f>DATE(2013,11,1) + TIME(7,33,58)</f>
        <v>41579.315254629626</v>
      </c>
      <c r="C1784">
        <v>80</v>
      </c>
      <c r="D1784">
        <v>79.889205933</v>
      </c>
      <c r="E1784">
        <v>50</v>
      </c>
      <c r="F1784">
        <v>48.685531615999999</v>
      </c>
      <c r="G1784">
        <v>1304.1165771000001</v>
      </c>
      <c r="H1784">
        <v>1291.7115478999999</v>
      </c>
      <c r="I1784">
        <v>1397.3823242000001</v>
      </c>
      <c r="J1784">
        <v>1376.5609131000001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1280.383255</v>
      </c>
      <c r="B1785" s="1">
        <f>DATE(2013,11,1) + TIME(9,11,53)</f>
        <v>41579.383252314816</v>
      </c>
      <c r="C1785">
        <v>80</v>
      </c>
      <c r="D1785">
        <v>79.876777649000005</v>
      </c>
      <c r="E1785">
        <v>50</v>
      </c>
      <c r="F1785">
        <v>48.808242798000002</v>
      </c>
      <c r="G1785">
        <v>1304.109375</v>
      </c>
      <c r="H1785">
        <v>1291.7037353999999</v>
      </c>
      <c r="I1785">
        <v>1397.2247314000001</v>
      </c>
      <c r="J1785">
        <v>1376.4660644999999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1280.4561490000001</v>
      </c>
      <c r="B1786" s="1">
        <f>DATE(2013,11,1) + TIME(10,56,51)</f>
        <v>41579.456145833334</v>
      </c>
      <c r="C1786">
        <v>80</v>
      </c>
      <c r="D1786">
        <v>79.863784789999997</v>
      </c>
      <c r="E1786">
        <v>50</v>
      </c>
      <c r="F1786">
        <v>48.926342009999999</v>
      </c>
      <c r="G1786">
        <v>1304.1046143000001</v>
      </c>
      <c r="H1786">
        <v>1291.6984863</v>
      </c>
      <c r="I1786">
        <v>1397.0715332</v>
      </c>
      <c r="J1786">
        <v>1376.3740233999999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1280.5347879999999</v>
      </c>
      <c r="B1787" s="1">
        <f>DATE(2013,11,1) + TIME(12,50,5)</f>
        <v>41579.534780092596</v>
      </c>
      <c r="C1787">
        <v>80</v>
      </c>
      <c r="D1787">
        <v>79.850112914999997</v>
      </c>
      <c r="E1787">
        <v>50</v>
      </c>
      <c r="F1787">
        <v>49.039821625000002</v>
      </c>
      <c r="G1787">
        <v>1304.1004639</v>
      </c>
      <c r="H1787">
        <v>1291.6937256000001</v>
      </c>
      <c r="I1787">
        <v>1396.9222411999999</v>
      </c>
      <c r="J1787">
        <v>1376.2840576000001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1280.620232</v>
      </c>
      <c r="B1788" s="1">
        <f>DATE(2013,11,1) + TIME(14,53,8)</f>
        <v>41579.62023148148</v>
      </c>
      <c r="C1788">
        <v>80</v>
      </c>
      <c r="D1788">
        <v>79.835632324000002</v>
      </c>
      <c r="E1788">
        <v>50</v>
      </c>
      <c r="F1788">
        <v>49.148632050000003</v>
      </c>
      <c r="G1788">
        <v>1304.0963135</v>
      </c>
      <c r="H1788">
        <v>1291.6890868999999</v>
      </c>
      <c r="I1788">
        <v>1396.7761230000001</v>
      </c>
      <c r="J1788">
        <v>1376.1956786999999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1280.713847</v>
      </c>
      <c r="B1789" s="1">
        <f>DATE(2013,11,1) + TIME(17,7,56)</f>
        <v>41579.713842592595</v>
      </c>
      <c r="C1789">
        <v>80</v>
      </c>
      <c r="D1789">
        <v>79.820190429999997</v>
      </c>
      <c r="E1789">
        <v>50</v>
      </c>
      <c r="F1789">
        <v>49.252689361999998</v>
      </c>
      <c r="G1789">
        <v>1304.0919189000001</v>
      </c>
      <c r="H1789">
        <v>1291.684082</v>
      </c>
      <c r="I1789">
        <v>1396.6331786999999</v>
      </c>
      <c r="J1789">
        <v>1376.1087646000001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1280.817462</v>
      </c>
      <c r="B1790" s="1">
        <f>DATE(2013,11,1) + TIME(19,37,8)</f>
        <v>41579.817453703705</v>
      </c>
      <c r="C1790">
        <v>80</v>
      </c>
      <c r="D1790">
        <v>79.803565978999998</v>
      </c>
      <c r="E1790">
        <v>50</v>
      </c>
      <c r="F1790">
        <v>49.351890564000001</v>
      </c>
      <c r="G1790">
        <v>1304.0871582</v>
      </c>
      <c r="H1790">
        <v>1291.6787108999999</v>
      </c>
      <c r="I1790">
        <v>1396.4929199000001</v>
      </c>
      <c r="J1790">
        <v>1376.0230713000001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1280.9335329999999</v>
      </c>
      <c r="B1791" s="1">
        <f>DATE(2013,11,1) + TIME(22,24,17)</f>
        <v>41579.933530092596</v>
      </c>
      <c r="C1791">
        <v>80</v>
      </c>
      <c r="D1791">
        <v>79.785484314000001</v>
      </c>
      <c r="E1791">
        <v>50</v>
      </c>
      <c r="F1791">
        <v>49.446063995000003</v>
      </c>
      <c r="G1791">
        <v>1304.0820312000001</v>
      </c>
      <c r="H1791">
        <v>1291.6727295000001</v>
      </c>
      <c r="I1791">
        <v>1396.3552245999999</v>
      </c>
      <c r="J1791">
        <v>1375.9384766000001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1281.0654890000001</v>
      </c>
      <c r="B1792" s="1">
        <f>DATE(2013,11,2) + TIME(1,34,18)</f>
        <v>41580.065486111111</v>
      </c>
      <c r="C1792">
        <v>80</v>
      </c>
      <c r="D1792">
        <v>79.765571593999994</v>
      </c>
      <c r="E1792">
        <v>50</v>
      </c>
      <c r="F1792">
        <v>49.534965515000003</v>
      </c>
      <c r="G1792">
        <v>1304.0762939000001</v>
      </c>
      <c r="H1792">
        <v>1291.6662598</v>
      </c>
      <c r="I1792">
        <v>1396.2199707</v>
      </c>
      <c r="J1792">
        <v>1375.8546143000001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1281.218296</v>
      </c>
      <c r="B1793" s="1">
        <f>DATE(2013,11,2) + TIME(5,14,20)</f>
        <v>41580.218287037038</v>
      </c>
      <c r="C1793">
        <v>80</v>
      </c>
      <c r="D1793">
        <v>79.743301392000006</v>
      </c>
      <c r="E1793">
        <v>50</v>
      </c>
      <c r="F1793">
        <v>49.618255615000002</v>
      </c>
      <c r="G1793">
        <v>1304.0698242000001</v>
      </c>
      <c r="H1793">
        <v>1291.6588135</v>
      </c>
      <c r="I1793">
        <v>1396.0869141000001</v>
      </c>
      <c r="J1793">
        <v>1375.7712402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1281.3994809999999</v>
      </c>
      <c r="B1794" s="1">
        <f>DATE(2013,11,2) + TIME(9,35,15)</f>
        <v>41580.39947916667</v>
      </c>
      <c r="C1794">
        <v>80</v>
      </c>
      <c r="D1794">
        <v>79.717903136999993</v>
      </c>
      <c r="E1794">
        <v>50</v>
      </c>
      <c r="F1794">
        <v>49.695453643999997</v>
      </c>
      <c r="G1794">
        <v>1304.0625</v>
      </c>
      <c r="H1794">
        <v>1291.6503906</v>
      </c>
      <c r="I1794">
        <v>1395.9556885</v>
      </c>
      <c r="J1794">
        <v>1375.6883545000001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1281.590631</v>
      </c>
      <c r="B1795" s="1">
        <f>DATE(2013,11,2) + TIME(14,10,30)</f>
        <v>41580.590624999997</v>
      </c>
      <c r="C1795">
        <v>80</v>
      </c>
      <c r="D1795">
        <v>79.69140625</v>
      </c>
      <c r="E1795">
        <v>50</v>
      </c>
      <c r="F1795">
        <v>49.758399963000002</v>
      </c>
      <c r="G1795">
        <v>1304.0537108999999</v>
      </c>
      <c r="H1795">
        <v>1291.640625</v>
      </c>
      <c r="I1795">
        <v>1395.8378906</v>
      </c>
      <c r="J1795">
        <v>1375.6123047000001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1281.784713</v>
      </c>
      <c r="B1796" s="1">
        <f>DATE(2013,11,2) + TIME(18,49,59)</f>
        <v>41580.784710648149</v>
      </c>
      <c r="C1796">
        <v>80</v>
      </c>
      <c r="D1796">
        <v>79.664573669000006</v>
      </c>
      <c r="E1796">
        <v>50</v>
      </c>
      <c r="F1796">
        <v>49.80765152</v>
      </c>
      <c r="G1796">
        <v>1304.0445557</v>
      </c>
      <c r="H1796">
        <v>1291.6303711</v>
      </c>
      <c r="I1796">
        <v>1395.7360839999999</v>
      </c>
      <c r="J1796">
        <v>1375.5455322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1281.98506</v>
      </c>
      <c r="B1797" s="1">
        <f>DATE(2013,11,2) + TIME(23,38,29)</f>
        <v>41580.98505787037</v>
      </c>
      <c r="C1797">
        <v>80</v>
      </c>
      <c r="D1797">
        <v>79.637077332000004</v>
      </c>
      <c r="E1797">
        <v>50</v>
      </c>
      <c r="F1797">
        <v>49.846565247000001</v>
      </c>
      <c r="G1797">
        <v>1304.0352783000001</v>
      </c>
      <c r="H1797">
        <v>1291.6201172000001</v>
      </c>
      <c r="I1797">
        <v>1395.6470947</v>
      </c>
      <c r="J1797">
        <v>1375.4864502</v>
      </c>
      <c r="K1797">
        <v>0</v>
      </c>
      <c r="L1797">
        <v>2400</v>
      </c>
      <c r="M1797">
        <v>2400</v>
      </c>
      <c r="N1797">
        <v>0</v>
      </c>
    </row>
    <row r="1798" spans="1:14" x14ac:dyDescent="0.25">
      <c r="A1798">
        <v>1282.1940509999999</v>
      </c>
      <c r="B1798" s="1">
        <f>DATE(2013,11,3) + TIME(4,39,25)</f>
        <v>41581.194039351853</v>
      </c>
      <c r="C1798">
        <v>80</v>
      </c>
      <c r="D1798">
        <v>79.608695983999993</v>
      </c>
      <c r="E1798">
        <v>50</v>
      </c>
      <c r="F1798">
        <v>49.877349854000002</v>
      </c>
      <c r="G1798">
        <v>1304.0258789</v>
      </c>
      <c r="H1798">
        <v>1291.6094971</v>
      </c>
      <c r="I1798">
        <v>1395.5682373</v>
      </c>
      <c r="J1798">
        <v>1375.4332274999999</v>
      </c>
      <c r="K1798">
        <v>0</v>
      </c>
      <c r="L1798">
        <v>2400</v>
      </c>
      <c r="M1798">
        <v>2400</v>
      </c>
      <c r="N1798">
        <v>0</v>
      </c>
    </row>
    <row r="1799" spans="1:14" x14ac:dyDescent="0.25">
      <c r="A1799">
        <v>1282.41436</v>
      </c>
      <c r="B1799" s="1">
        <f>DATE(2013,11,3) + TIME(9,56,40)</f>
        <v>41581.414351851854</v>
      </c>
      <c r="C1799">
        <v>80</v>
      </c>
      <c r="D1799">
        <v>79.579170227000006</v>
      </c>
      <c r="E1799">
        <v>50</v>
      </c>
      <c r="F1799">
        <v>49.901576996000003</v>
      </c>
      <c r="G1799">
        <v>1304.0158690999999</v>
      </c>
      <c r="H1799">
        <v>1291.5982666</v>
      </c>
      <c r="I1799">
        <v>1395.4968262</v>
      </c>
      <c r="J1799">
        <v>1375.3842772999999</v>
      </c>
      <c r="K1799">
        <v>0</v>
      </c>
      <c r="L1799">
        <v>2400</v>
      </c>
      <c r="M1799">
        <v>2400</v>
      </c>
      <c r="N1799">
        <v>0</v>
      </c>
    </row>
    <row r="1800" spans="1:14" x14ac:dyDescent="0.25">
      <c r="A1800">
        <v>1282.6490160000001</v>
      </c>
      <c r="B1800" s="1">
        <f>DATE(2013,11,3) + TIME(15,34,34)</f>
        <v>41581.649004629631</v>
      </c>
      <c r="C1800">
        <v>80</v>
      </c>
      <c r="D1800">
        <v>79.548149108999993</v>
      </c>
      <c r="E1800">
        <v>50</v>
      </c>
      <c r="F1800">
        <v>49.920703887999998</v>
      </c>
      <c r="G1800">
        <v>1304.0061035000001</v>
      </c>
      <c r="H1800">
        <v>1291.5871582</v>
      </c>
      <c r="I1800">
        <v>1395.4332274999999</v>
      </c>
      <c r="J1800">
        <v>1375.3404541</v>
      </c>
      <c r="K1800">
        <v>0</v>
      </c>
      <c r="L1800">
        <v>2400</v>
      </c>
      <c r="M1800">
        <v>2400</v>
      </c>
      <c r="N1800">
        <v>0</v>
      </c>
    </row>
    <row r="1801" spans="1:14" x14ac:dyDescent="0.25">
      <c r="A1801">
        <v>1282.899956</v>
      </c>
      <c r="B1801" s="1">
        <f>DATE(2013,11,3) + TIME(21,35,56)</f>
        <v>41581.899953703702</v>
      </c>
      <c r="C1801">
        <v>80</v>
      </c>
      <c r="D1801">
        <v>79.515480041999993</v>
      </c>
      <c r="E1801">
        <v>50</v>
      </c>
      <c r="F1801">
        <v>49.935546875</v>
      </c>
      <c r="G1801">
        <v>1303.9952393000001</v>
      </c>
      <c r="H1801">
        <v>1291.5749512</v>
      </c>
      <c r="I1801">
        <v>1395.3731689000001</v>
      </c>
      <c r="J1801">
        <v>1375.2979736</v>
      </c>
      <c r="K1801">
        <v>0</v>
      </c>
      <c r="L1801">
        <v>2400</v>
      </c>
      <c r="M1801">
        <v>2400</v>
      </c>
      <c r="N1801">
        <v>0</v>
      </c>
    </row>
    <row r="1802" spans="1:14" x14ac:dyDescent="0.25">
      <c r="A1802">
        <v>1283.167929</v>
      </c>
      <c r="B1802" s="1">
        <f>DATE(2013,11,4) + TIME(4,1,49)</f>
        <v>41582.167928240742</v>
      </c>
      <c r="C1802">
        <v>80</v>
      </c>
      <c r="D1802">
        <v>79.481063843000001</v>
      </c>
      <c r="E1802">
        <v>50</v>
      </c>
      <c r="F1802">
        <v>49.946861267000003</v>
      </c>
      <c r="G1802">
        <v>1303.9837646000001</v>
      </c>
      <c r="H1802">
        <v>1291.5620117000001</v>
      </c>
      <c r="I1802">
        <v>1395.3176269999999</v>
      </c>
      <c r="J1802">
        <v>1375.2584228999999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1283.4567199999999</v>
      </c>
      <c r="B1803" s="1">
        <f>DATE(2013,11,4) + TIME(10,57,40)</f>
        <v>41582.456712962965</v>
      </c>
      <c r="C1803">
        <v>80</v>
      </c>
      <c r="D1803">
        <v>79.444541931000003</v>
      </c>
      <c r="E1803">
        <v>50</v>
      </c>
      <c r="F1803">
        <v>49.955387115000001</v>
      </c>
      <c r="G1803">
        <v>1303.9716797000001</v>
      </c>
      <c r="H1803">
        <v>1291.5483397999999</v>
      </c>
      <c r="I1803">
        <v>1395.2653809000001</v>
      </c>
      <c r="J1803">
        <v>1375.2207031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1283.77125</v>
      </c>
      <c r="B1804" s="1">
        <f>DATE(2013,11,4) + TIME(18,30,35)</f>
        <v>41582.771238425928</v>
      </c>
      <c r="C1804">
        <v>80</v>
      </c>
      <c r="D1804">
        <v>79.405464171999995</v>
      </c>
      <c r="E1804">
        <v>50</v>
      </c>
      <c r="F1804">
        <v>49.961738586000003</v>
      </c>
      <c r="G1804">
        <v>1303.9587402</v>
      </c>
      <c r="H1804">
        <v>1291.5336914</v>
      </c>
      <c r="I1804">
        <v>1395.2155762</v>
      </c>
      <c r="J1804">
        <v>1375.1842041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1284.1178279999999</v>
      </c>
      <c r="B1805" s="1">
        <f>DATE(2013,11,5) + TIME(2,49,40)</f>
        <v>41583.117824074077</v>
      </c>
      <c r="C1805">
        <v>80</v>
      </c>
      <c r="D1805">
        <v>79.363250731999997</v>
      </c>
      <c r="E1805">
        <v>50</v>
      </c>
      <c r="F1805">
        <v>49.966392517000003</v>
      </c>
      <c r="G1805">
        <v>1303.9448242000001</v>
      </c>
      <c r="H1805">
        <v>1291.5178223</v>
      </c>
      <c r="I1805">
        <v>1395.1671143000001</v>
      </c>
      <c r="J1805">
        <v>1375.1485596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1284.5049489999999</v>
      </c>
      <c r="B1806" s="1">
        <f>DATE(2013,11,5) + TIME(12,7,7)</f>
        <v>41583.504942129628</v>
      </c>
      <c r="C1806">
        <v>80</v>
      </c>
      <c r="D1806">
        <v>79.317153931000007</v>
      </c>
      <c r="E1806">
        <v>50</v>
      </c>
      <c r="F1806">
        <v>49.969745635999999</v>
      </c>
      <c r="G1806">
        <v>1303.9294434000001</v>
      </c>
      <c r="H1806">
        <v>1291.5004882999999</v>
      </c>
      <c r="I1806">
        <v>1395.1191406</v>
      </c>
      <c r="J1806">
        <v>1375.1129149999999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1284.9108120000001</v>
      </c>
      <c r="B1807" s="1">
        <f>DATE(2013,11,5) + TIME(21,51,34)</f>
        <v>41583.910810185182</v>
      </c>
      <c r="C1807">
        <v>80</v>
      </c>
      <c r="D1807">
        <v>79.268592834000003</v>
      </c>
      <c r="E1807">
        <v>50</v>
      </c>
      <c r="F1807">
        <v>49.971988678000002</v>
      </c>
      <c r="G1807">
        <v>1303.9123535000001</v>
      </c>
      <c r="H1807">
        <v>1291.4812012</v>
      </c>
      <c r="I1807">
        <v>1395.0709228999999</v>
      </c>
      <c r="J1807">
        <v>1375.0769043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1285.3206029999999</v>
      </c>
      <c r="B1808" s="1">
        <f>DATE(2013,11,6) + TIME(7,41,40)</f>
        <v>41584.320601851854</v>
      </c>
      <c r="C1808">
        <v>80</v>
      </c>
      <c r="D1808">
        <v>79.218910217000001</v>
      </c>
      <c r="E1808">
        <v>50</v>
      </c>
      <c r="F1808">
        <v>49.973445892000001</v>
      </c>
      <c r="G1808">
        <v>1303.8944091999999</v>
      </c>
      <c r="H1808">
        <v>1291.4611815999999</v>
      </c>
      <c r="I1808">
        <v>1395.0249022999999</v>
      </c>
      <c r="J1808">
        <v>1375.0424805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1285.7397309999999</v>
      </c>
      <c r="B1809" s="1">
        <f>DATE(2013,11,6) + TIME(17,45,12)</f>
        <v>41584.739722222221</v>
      </c>
      <c r="C1809">
        <v>80</v>
      </c>
      <c r="D1809">
        <v>79.168136597</v>
      </c>
      <c r="E1809">
        <v>50</v>
      </c>
      <c r="F1809">
        <v>49.974411011000001</v>
      </c>
      <c r="G1809">
        <v>1303.8764647999999</v>
      </c>
      <c r="H1809">
        <v>1291.4410399999999</v>
      </c>
      <c r="I1809">
        <v>1394.9821777</v>
      </c>
      <c r="J1809">
        <v>1375.010376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1286.1732669999999</v>
      </c>
      <c r="B1810" s="1">
        <f>DATE(2013,11,7) + TIME(4,9,30)</f>
        <v>41585.173263888886</v>
      </c>
      <c r="C1810">
        <v>80</v>
      </c>
      <c r="D1810">
        <v>79.116058350000003</v>
      </c>
      <c r="E1810">
        <v>50</v>
      </c>
      <c r="F1810">
        <v>49.975059508999998</v>
      </c>
      <c r="G1810">
        <v>1303.8582764</v>
      </c>
      <c r="H1810">
        <v>1291.4204102000001</v>
      </c>
      <c r="I1810">
        <v>1394.9417725000001</v>
      </c>
      <c r="J1810">
        <v>1374.9801024999999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1286.626385</v>
      </c>
      <c r="B1811" s="1">
        <f>DATE(2013,11,7) + TIME(15,1,59)</f>
        <v>41585.626377314817</v>
      </c>
      <c r="C1811">
        <v>80</v>
      </c>
      <c r="D1811">
        <v>79.062362671000002</v>
      </c>
      <c r="E1811">
        <v>50</v>
      </c>
      <c r="F1811">
        <v>49.975502014</v>
      </c>
      <c r="G1811">
        <v>1303.8394774999999</v>
      </c>
      <c r="H1811">
        <v>1291.3990478999999</v>
      </c>
      <c r="I1811">
        <v>1394.9029541</v>
      </c>
      <c r="J1811">
        <v>1374.9509277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1287.104789</v>
      </c>
      <c r="B1812" s="1">
        <f>DATE(2013,11,8) + TIME(2,30,53)</f>
        <v>41586.104780092595</v>
      </c>
      <c r="C1812">
        <v>80</v>
      </c>
      <c r="D1812">
        <v>79.006591796999999</v>
      </c>
      <c r="E1812">
        <v>50</v>
      </c>
      <c r="F1812">
        <v>49.975807189999998</v>
      </c>
      <c r="G1812">
        <v>1303.8199463000001</v>
      </c>
      <c r="H1812">
        <v>1291.3769531</v>
      </c>
      <c r="I1812">
        <v>1394.8648682</v>
      </c>
      <c r="J1812">
        <v>1374.9224853999999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1287.615233</v>
      </c>
      <c r="B1813" s="1">
        <f>DATE(2013,11,8) + TIME(14,45,56)</f>
        <v>41586.615231481483</v>
      </c>
      <c r="C1813">
        <v>80</v>
      </c>
      <c r="D1813">
        <v>78.948188782000003</v>
      </c>
      <c r="E1813">
        <v>50</v>
      </c>
      <c r="F1813">
        <v>49.976024627999998</v>
      </c>
      <c r="G1813">
        <v>1303.7994385</v>
      </c>
      <c r="H1813">
        <v>1291.3536377</v>
      </c>
      <c r="I1813">
        <v>1394.8273925999999</v>
      </c>
      <c r="J1813">
        <v>1374.8944091999999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1288.16626</v>
      </c>
      <c r="B1814" s="1">
        <f>DATE(2013,11,9) + TIME(3,59,24)</f>
        <v>41587.166250000002</v>
      </c>
      <c r="C1814">
        <v>80</v>
      </c>
      <c r="D1814">
        <v>78.886436462000006</v>
      </c>
      <c r="E1814">
        <v>50</v>
      </c>
      <c r="F1814">
        <v>49.976177216000004</v>
      </c>
      <c r="G1814">
        <v>1303.7777100000001</v>
      </c>
      <c r="H1814">
        <v>1291.3288574000001</v>
      </c>
      <c r="I1814">
        <v>1394.7899170000001</v>
      </c>
      <c r="J1814">
        <v>1374.8664550999999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1288.7607599999999</v>
      </c>
      <c r="B1815" s="1">
        <f>DATE(2013,11,9) + TIME(18,15,29)</f>
        <v>41587.760752314818</v>
      </c>
      <c r="C1815">
        <v>80</v>
      </c>
      <c r="D1815">
        <v>78.820922851999995</v>
      </c>
      <c r="E1815">
        <v>50</v>
      </c>
      <c r="F1815">
        <v>49.976291656000001</v>
      </c>
      <c r="G1815">
        <v>1303.7541504000001</v>
      </c>
      <c r="H1815">
        <v>1291.302124</v>
      </c>
      <c r="I1815">
        <v>1394.7518310999999</v>
      </c>
      <c r="J1815">
        <v>1374.8381348</v>
      </c>
      <c r="K1815">
        <v>0</v>
      </c>
      <c r="L1815">
        <v>2400</v>
      </c>
      <c r="M1815">
        <v>2400</v>
      </c>
      <c r="N1815">
        <v>0</v>
      </c>
    </row>
    <row r="1816" spans="1:14" x14ac:dyDescent="0.25">
      <c r="A1816">
        <v>1289.4040950000001</v>
      </c>
      <c r="B1816" s="1">
        <f>DATE(2013,11,10) + TIME(9,41,53)</f>
        <v>41588.404085648152</v>
      </c>
      <c r="C1816">
        <v>80</v>
      </c>
      <c r="D1816">
        <v>78.751159668</v>
      </c>
      <c r="E1816">
        <v>50</v>
      </c>
      <c r="F1816">
        <v>49.976371765000003</v>
      </c>
      <c r="G1816">
        <v>1303.7288818</v>
      </c>
      <c r="H1816">
        <v>1291.2733154</v>
      </c>
      <c r="I1816">
        <v>1394.713501</v>
      </c>
      <c r="J1816">
        <v>1374.8095702999999</v>
      </c>
      <c r="K1816">
        <v>0</v>
      </c>
      <c r="L1816">
        <v>2400</v>
      </c>
      <c r="M1816">
        <v>2400</v>
      </c>
      <c r="N1816">
        <v>0</v>
      </c>
    </row>
    <row r="1817" spans="1:14" x14ac:dyDescent="0.25">
      <c r="A1817">
        <v>1290.0650439999999</v>
      </c>
      <c r="B1817" s="1">
        <f>DATE(2013,11,11) + TIME(1,33,39)</f>
        <v>41589.065034722225</v>
      </c>
      <c r="C1817">
        <v>80</v>
      </c>
      <c r="D1817">
        <v>78.678657532000003</v>
      </c>
      <c r="E1817">
        <v>50</v>
      </c>
      <c r="F1817">
        <v>49.976432799999998</v>
      </c>
      <c r="G1817">
        <v>1303.7014160000001</v>
      </c>
      <c r="H1817">
        <v>1291.2423096</v>
      </c>
      <c r="I1817">
        <v>1394.6744385</v>
      </c>
      <c r="J1817">
        <v>1374.7805175999999</v>
      </c>
      <c r="K1817">
        <v>0</v>
      </c>
      <c r="L1817">
        <v>2400</v>
      </c>
      <c r="M1817">
        <v>2400</v>
      </c>
      <c r="N1817">
        <v>0</v>
      </c>
    </row>
    <row r="1818" spans="1:14" x14ac:dyDescent="0.25">
      <c r="A1818">
        <v>1290.73207</v>
      </c>
      <c r="B1818" s="1">
        <f>DATE(2013,11,11) + TIME(17,34,10)</f>
        <v>41589.732060185182</v>
      </c>
      <c r="C1818">
        <v>80</v>
      </c>
      <c r="D1818">
        <v>78.604835510000001</v>
      </c>
      <c r="E1818">
        <v>50</v>
      </c>
      <c r="F1818">
        <v>49.976474762000002</v>
      </c>
      <c r="G1818">
        <v>1303.6732178</v>
      </c>
      <c r="H1818">
        <v>1291.2104492000001</v>
      </c>
      <c r="I1818">
        <v>1394.6368408000001</v>
      </c>
      <c r="J1818">
        <v>1374.7526855000001</v>
      </c>
      <c r="K1818">
        <v>0</v>
      </c>
      <c r="L1818">
        <v>2400</v>
      </c>
      <c r="M1818">
        <v>2400</v>
      </c>
      <c r="N1818">
        <v>0</v>
      </c>
    </row>
    <row r="1819" spans="1:14" x14ac:dyDescent="0.25">
      <c r="A1819">
        <v>1291.413485</v>
      </c>
      <c r="B1819" s="1">
        <f>DATE(2013,11,12) + TIME(9,55,25)</f>
        <v>41590.413483796299</v>
      </c>
      <c r="C1819">
        <v>80</v>
      </c>
      <c r="D1819">
        <v>78.529968261999997</v>
      </c>
      <c r="E1819">
        <v>50</v>
      </c>
      <c r="F1819">
        <v>49.976505279999998</v>
      </c>
      <c r="G1819">
        <v>1303.6447754000001</v>
      </c>
      <c r="H1819">
        <v>1291.1781006000001</v>
      </c>
      <c r="I1819">
        <v>1394.6011963000001</v>
      </c>
      <c r="J1819">
        <v>1374.7263184000001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1292.1173799999999</v>
      </c>
      <c r="B1820" s="1">
        <f>DATE(2013,11,13) + TIME(2,49,1)</f>
        <v>41591.117372685185</v>
      </c>
      <c r="C1820">
        <v>80</v>
      </c>
      <c r="D1820">
        <v>78.453788756999998</v>
      </c>
      <c r="E1820">
        <v>50</v>
      </c>
      <c r="F1820">
        <v>49.976528168000002</v>
      </c>
      <c r="G1820">
        <v>1303.6158447</v>
      </c>
      <c r="H1820">
        <v>1291.1450195</v>
      </c>
      <c r="I1820">
        <v>1394.5668945</v>
      </c>
      <c r="J1820">
        <v>1374.7009277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1292.852263</v>
      </c>
      <c r="B1821" s="1">
        <f>DATE(2013,11,13) + TIME(20,27,15)</f>
        <v>41591.852256944447</v>
      </c>
      <c r="C1821">
        <v>80</v>
      </c>
      <c r="D1821">
        <v>78.375732421999999</v>
      </c>
      <c r="E1821">
        <v>50</v>
      </c>
      <c r="F1821">
        <v>49.976547240999999</v>
      </c>
      <c r="G1821">
        <v>1303.5859375</v>
      </c>
      <c r="H1821">
        <v>1291.1108397999999</v>
      </c>
      <c r="I1821">
        <v>1394.5333252</v>
      </c>
      <c r="J1821">
        <v>1374.6761475000001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1293.6276459999999</v>
      </c>
      <c r="B1822" s="1">
        <f>DATE(2013,11,14) + TIME(15,3,48)</f>
        <v>41592.627638888887</v>
      </c>
      <c r="C1822">
        <v>80</v>
      </c>
      <c r="D1822">
        <v>78.295082092000001</v>
      </c>
      <c r="E1822">
        <v>50</v>
      </c>
      <c r="F1822">
        <v>49.9765625</v>
      </c>
      <c r="G1822">
        <v>1303.5546875</v>
      </c>
      <c r="H1822">
        <v>1291.0749512</v>
      </c>
      <c r="I1822">
        <v>1394.5002440999999</v>
      </c>
      <c r="J1822">
        <v>1374.6517334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1294.4550999999999</v>
      </c>
      <c r="B1823" s="1">
        <f>DATE(2013,11,15) + TIME(10,55,20)</f>
        <v>41593.455092592594</v>
      </c>
      <c r="C1823">
        <v>80</v>
      </c>
      <c r="D1823">
        <v>78.210952758999994</v>
      </c>
      <c r="E1823">
        <v>50</v>
      </c>
      <c r="F1823">
        <v>49.976577759000001</v>
      </c>
      <c r="G1823">
        <v>1303.5217285000001</v>
      </c>
      <c r="H1823">
        <v>1291.0371094</v>
      </c>
      <c r="I1823">
        <v>1394.4670410000001</v>
      </c>
      <c r="J1823">
        <v>1374.6273193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1295.3492779999999</v>
      </c>
      <c r="B1824" s="1">
        <f>DATE(2013,11,16) + TIME(8,22,57)</f>
        <v>41594.349270833336</v>
      </c>
      <c r="C1824">
        <v>80</v>
      </c>
      <c r="D1824">
        <v>78.122238159000005</v>
      </c>
      <c r="E1824">
        <v>50</v>
      </c>
      <c r="F1824">
        <v>49.976589203000003</v>
      </c>
      <c r="G1824">
        <v>1303.4864502</v>
      </c>
      <c r="H1824">
        <v>1290.996582</v>
      </c>
      <c r="I1824">
        <v>1394.4334716999999</v>
      </c>
      <c r="J1824">
        <v>1374.6026611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1296.2863460000001</v>
      </c>
      <c r="B1825" s="1">
        <f>DATE(2013,11,17) + TIME(6,52,20)</f>
        <v>41595.28634259259</v>
      </c>
      <c r="C1825">
        <v>80</v>
      </c>
      <c r="D1825">
        <v>78.029335021999998</v>
      </c>
      <c r="E1825">
        <v>50</v>
      </c>
      <c r="F1825">
        <v>49.976600646999998</v>
      </c>
      <c r="G1825">
        <v>1303.4481201000001</v>
      </c>
      <c r="H1825">
        <v>1290.9526367000001</v>
      </c>
      <c r="I1825">
        <v>1394.3991699000001</v>
      </c>
      <c r="J1825">
        <v>1374.5773925999999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1297.2287160000001</v>
      </c>
      <c r="B1826" s="1">
        <f>DATE(2013,11,18) + TIME(5,29,21)</f>
        <v>41596.228715277779</v>
      </c>
      <c r="C1826">
        <v>80</v>
      </c>
      <c r="D1826">
        <v>77.934417725000003</v>
      </c>
      <c r="E1826">
        <v>50</v>
      </c>
      <c r="F1826">
        <v>49.976612091</v>
      </c>
      <c r="G1826">
        <v>1303.4077147999999</v>
      </c>
      <c r="H1826">
        <v>1290.9063721</v>
      </c>
      <c r="I1826">
        <v>1394.3649902</v>
      </c>
      <c r="J1826">
        <v>1374.5522461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1298.1880169999999</v>
      </c>
      <c r="B1827" s="1">
        <f>DATE(2013,11,19) + TIME(4,30,44)</f>
        <v>41597.188009259262</v>
      </c>
      <c r="C1827">
        <v>80</v>
      </c>
      <c r="D1827">
        <v>77.838569641000007</v>
      </c>
      <c r="E1827">
        <v>50</v>
      </c>
      <c r="F1827">
        <v>49.976623535000002</v>
      </c>
      <c r="G1827">
        <v>1303.3669434000001</v>
      </c>
      <c r="H1827">
        <v>1290.8592529</v>
      </c>
      <c r="I1827">
        <v>1394.3323975000001</v>
      </c>
      <c r="J1827">
        <v>1374.5283202999999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1299.1758769999999</v>
      </c>
      <c r="B1828" s="1">
        <f>DATE(2013,11,20) + TIME(4,13,15)</f>
        <v>41598.175868055558</v>
      </c>
      <c r="C1828">
        <v>80</v>
      </c>
      <c r="D1828">
        <v>77.741615295000003</v>
      </c>
      <c r="E1828">
        <v>50</v>
      </c>
      <c r="F1828">
        <v>49.976631165000001</v>
      </c>
      <c r="G1828">
        <v>1303.3253173999999</v>
      </c>
      <c r="H1828">
        <v>1290.8109131000001</v>
      </c>
      <c r="I1828">
        <v>1394.3007812000001</v>
      </c>
      <c r="J1828">
        <v>1374.5051269999999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1300.204467</v>
      </c>
      <c r="B1829" s="1">
        <f>DATE(2013,11,21) + TIME(4,54,25)</f>
        <v>41599.204456018517</v>
      </c>
      <c r="C1829">
        <v>80</v>
      </c>
      <c r="D1829">
        <v>77.642852782999995</v>
      </c>
      <c r="E1829">
        <v>50</v>
      </c>
      <c r="F1829">
        <v>49.976642609000002</v>
      </c>
      <c r="G1829">
        <v>1303.2821045000001</v>
      </c>
      <c r="H1829">
        <v>1290.7607422000001</v>
      </c>
      <c r="I1829">
        <v>1394.2698975000001</v>
      </c>
      <c r="J1829">
        <v>1374.4824219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1301.2873729999999</v>
      </c>
      <c r="B1830" s="1">
        <f>DATE(2013,11,22) + TIME(6,53,49)</f>
        <v>41600.287372685183</v>
      </c>
      <c r="C1830">
        <v>80</v>
      </c>
      <c r="D1830">
        <v>77.541313170999999</v>
      </c>
      <c r="E1830">
        <v>50</v>
      </c>
      <c r="F1830">
        <v>49.976657867</v>
      </c>
      <c r="G1830">
        <v>1303.2368164</v>
      </c>
      <c r="H1830">
        <v>1290.7080077999999</v>
      </c>
      <c r="I1830">
        <v>1394.2390137</v>
      </c>
      <c r="J1830">
        <v>1374.4598389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1302.441075</v>
      </c>
      <c r="B1831" s="1">
        <f>DATE(2013,11,23) + TIME(10,35,8)</f>
        <v>41601.441064814811</v>
      </c>
      <c r="C1831">
        <v>80</v>
      </c>
      <c r="D1831">
        <v>77.435852050999998</v>
      </c>
      <c r="E1831">
        <v>50</v>
      </c>
      <c r="F1831">
        <v>49.976669311999999</v>
      </c>
      <c r="G1831">
        <v>1303.1888428</v>
      </c>
      <c r="H1831">
        <v>1290.6519774999999</v>
      </c>
      <c r="I1831">
        <v>1394.2081298999999</v>
      </c>
      <c r="J1831">
        <v>1374.4371338000001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1303.6524750000001</v>
      </c>
      <c r="B1832" s="1">
        <f>DATE(2013,11,24) + TIME(15,39,33)</f>
        <v>41602.652465277781</v>
      </c>
      <c r="C1832">
        <v>80</v>
      </c>
      <c r="D1832">
        <v>77.326179503999995</v>
      </c>
      <c r="E1832">
        <v>50</v>
      </c>
      <c r="F1832">
        <v>49.976684570000003</v>
      </c>
      <c r="G1832">
        <v>1303.1373291</v>
      </c>
      <c r="H1832">
        <v>1290.5916748</v>
      </c>
      <c r="I1832">
        <v>1394.1766356999999</v>
      </c>
      <c r="J1832">
        <v>1374.4139404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1304.892503</v>
      </c>
      <c r="B1833" s="1">
        <f>DATE(2013,11,25) + TIME(21,25,12)</f>
        <v>41603.892500000002</v>
      </c>
      <c r="C1833">
        <v>80</v>
      </c>
      <c r="D1833">
        <v>77.213531493999994</v>
      </c>
      <c r="E1833">
        <v>50</v>
      </c>
      <c r="F1833">
        <v>49.976699828999998</v>
      </c>
      <c r="G1833">
        <v>1303.0825195</v>
      </c>
      <c r="H1833">
        <v>1290.5274658000001</v>
      </c>
      <c r="I1833">
        <v>1394.1450195</v>
      </c>
      <c r="J1833">
        <v>1374.3907471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1306.164591</v>
      </c>
      <c r="B1834" s="1">
        <f>DATE(2013,11,27) + TIME(3,57,0)</f>
        <v>41605.164583333331</v>
      </c>
      <c r="C1834">
        <v>80</v>
      </c>
      <c r="D1834">
        <v>77.099105835000003</v>
      </c>
      <c r="E1834">
        <v>50</v>
      </c>
      <c r="F1834">
        <v>49.976715087999999</v>
      </c>
      <c r="G1834">
        <v>1303.0257568</v>
      </c>
      <c r="H1834">
        <v>1290.4605713000001</v>
      </c>
      <c r="I1834">
        <v>1394.1141356999999</v>
      </c>
      <c r="J1834">
        <v>1374.3679199000001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1307.461597</v>
      </c>
      <c r="B1835" s="1">
        <f>DATE(2013,11,28) + TIME(11,4,41)</f>
        <v>41606.461585648147</v>
      </c>
      <c r="C1835">
        <v>80</v>
      </c>
      <c r="D1835">
        <v>76.983505249000004</v>
      </c>
      <c r="E1835">
        <v>50</v>
      </c>
      <c r="F1835">
        <v>49.976730347</v>
      </c>
      <c r="G1835">
        <v>1302.9669189000001</v>
      </c>
      <c r="H1835">
        <v>1290.3909911999999</v>
      </c>
      <c r="I1835">
        <v>1394.0837402</v>
      </c>
      <c r="J1835">
        <v>1374.3455810999999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1308.7991030000001</v>
      </c>
      <c r="B1836" s="1">
        <f>DATE(2013,11,29) + TIME(19,10,42)</f>
        <v>41607.799097222225</v>
      </c>
      <c r="C1836">
        <v>80</v>
      </c>
      <c r="D1836">
        <v>76.866714478000006</v>
      </c>
      <c r="E1836">
        <v>50</v>
      </c>
      <c r="F1836">
        <v>49.976745604999998</v>
      </c>
      <c r="G1836">
        <v>1302.9061279</v>
      </c>
      <c r="H1836">
        <v>1290.3187256000001</v>
      </c>
      <c r="I1836">
        <v>1394.0540771000001</v>
      </c>
      <c r="J1836">
        <v>1374.3237305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1310</v>
      </c>
      <c r="B1837" s="1">
        <f>DATE(2013,12,1) + TIME(0,0,0)</f>
        <v>41609</v>
      </c>
      <c r="C1837">
        <v>80</v>
      </c>
      <c r="D1837">
        <v>76.753936768000003</v>
      </c>
      <c r="E1837">
        <v>50</v>
      </c>
      <c r="F1837">
        <v>49.976760863999999</v>
      </c>
      <c r="G1837">
        <v>1302.8422852000001</v>
      </c>
      <c r="H1837">
        <v>1290.2431641000001</v>
      </c>
      <c r="I1837">
        <v>1394.0245361</v>
      </c>
      <c r="J1837">
        <v>1374.3018798999999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1311.3946100000001</v>
      </c>
      <c r="B1838" s="1">
        <f>DATE(2013,12,2) + TIME(9,28,14)</f>
        <v>41610.394606481481</v>
      </c>
      <c r="C1838">
        <v>80</v>
      </c>
      <c r="D1838">
        <v>76.641021729000002</v>
      </c>
      <c r="E1838">
        <v>50</v>
      </c>
      <c r="F1838">
        <v>49.976779938</v>
      </c>
      <c r="G1838">
        <v>1302.7845459</v>
      </c>
      <c r="H1838">
        <v>1290.1728516000001</v>
      </c>
      <c r="I1838">
        <v>1393.9992675999999</v>
      </c>
      <c r="J1838">
        <v>1374.2832031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1312.8731949999999</v>
      </c>
      <c r="B1839" s="1">
        <f>DATE(2013,12,3) + TIME(20,57,24)</f>
        <v>41611.873194444444</v>
      </c>
      <c r="C1839">
        <v>80</v>
      </c>
      <c r="D1839">
        <v>76.521804810000006</v>
      </c>
      <c r="E1839">
        <v>50</v>
      </c>
      <c r="F1839">
        <v>49.976799010999997</v>
      </c>
      <c r="G1839">
        <v>1302.7165527</v>
      </c>
      <c r="H1839">
        <v>1290.0911865</v>
      </c>
      <c r="I1839">
        <v>1393.9708252</v>
      </c>
      <c r="J1839">
        <v>1374.262207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1314.396146</v>
      </c>
      <c r="B1840" s="1">
        <f>DATE(2013,12,5) + TIME(9,30,27)</f>
        <v>41613.396145833336</v>
      </c>
      <c r="C1840">
        <v>80</v>
      </c>
      <c r="D1840">
        <v>76.398033142000003</v>
      </c>
      <c r="E1840">
        <v>50</v>
      </c>
      <c r="F1840">
        <v>49.976818084999998</v>
      </c>
      <c r="G1840">
        <v>1302.6431885</v>
      </c>
      <c r="H1840">
        <v>1290.0028076000001</v>
      </c>
      <c r="I1840">
        <v>1393.9417725000001</v>
      </c>
      <c r="J1840">
        <v>1374.2406006000001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1315.9795770000001</v>
      </c>
      <c r="B1841" s="1">
        <f>DATE(2013,12,6) + TIME(23,30,35)</f>
        <v>41614.979571759257</v>
      </c>
      <c r="C1841">
        <v>80</v>
      </c>
      <c r="D1841">
        <v>76.271255492999998</v>
      </c>
      <c r="E1841">
        <v>50</v>
      </c>
      <c r="F1841">
        <v>49.976840973000002</v>
      </c>
      <c r="G1841">
        <v>1302.5662841999999</v>
      </c>
      <c r="H1841">
        <v>1289.9095459</v>
      </c>
      <c r="I1841">
        <v>1393.9129639</v>
      </c>
      <c r="J1841">
        <v>1374.2191161999999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1317.6095</v>
      </c>
      <c r="B1842" s="1">
        <f>DATE(2013,12,8) + TIME(14,37,40)</f>
        <v>41616.609490740739</v>
      </c>
      <c r="C1842">
        <v>80</v>
      </c>
      <c r="D1842">
        <v>76.141891478999995</v>
      </c>
      <c r="E1842">
        <v>50</v>
      </c>
      <c r="F1842">
        <v>49.976863860999998</v>
      </c>
      <c r="G1842">
        <v>1302.4848632999999</v>
      </c>
      <c r="H1842">
        <v>1289.8103027</v>
      </c>
      <c r="I1842">
        <v>1393.8841553</v>
      </c>
      <c r="J1842">
        <v>1374.1976318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1319.266406</v>
      </c>
      <c r="B1843" s="1">
        <f>DATE(2013,12,10) + TIME(6,23,37)</f>
        <v>41618.266400462962</v>
      </c>
      <c r="C1843">
        <v>80</v>
      </c>
      <c r="D1843">
        <v>76.011054993000002</v>
      </c>
      <c r="E1843">
        <v>50</v>
      </c>
      <c r="F1843">
        <v>49.976886749000002</v>
      </c>
      <c r="G1843">
        <v>1302.3995361</v>
      </c>
      <c r="H1843">
        <v>1289.7058105000001</v>
      </c>
      <c r="I1843">
        <v>1393.8554687999999</v>
      </c>
      <c r="J1843">
        <v>1374.1762695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1320.9637</v>
      </c>
      <c r="B1844" s="1">
        <f>DATE(2013,12,11) + TIME(23,7,43)</f>
        <v>41619.963692129626</v>
      </c>
      <c r="C1844">
        <v>80</v>
      </c>
      <c r="D1844">
        <v>75.879455566000004</v>
      </c>
      <c r="E1844">
        <v>50</v>
      </c>
      <c r="F1844">
        <v>49.976909636999999</v>
      </c>
      <c r="G1844">
        <v>1302.3109131000001</v>
      </c>
      <c r="H1844">
        <v>1289.5966797000001</v>
      </c>
      <c r="I1844">
        <v>1393.8272704999999</v>
      </c>
      <c r="J1844">
        <v>1374.1551514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1322.7042240000001</v>
      </c>
      <c r="B1845" s="1">
        <f>DATE(2013,12,13) + TIME(16,54,4)</f>
        <v>41621.704212962963</v>
      </c>
      <c r="C1845">
        <v>80</v>
      </c>
      <c r="D1845">
        <v>75.746841431000007</v>
      </c>
      <c r="E1845">
        <v>50</v>
      </c>
      <c r="F1845">
        <v>49.976932525999999</v>
      </c>
      <c r="G1845">
        <v>1302.2183838000001</v>
      </c>
      <c r="H1845">
        <v>1289.4821777</v>
      </c>
      <c r="I1845">
        <v>1393.7994385</v>
      </c>
      <c r="J1845">
        <v>1374.1342772999999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1324.5032699999999</v>
      </c>
      <c r="B1846" s="1">
        <f>DATE(2013,12,15) + TIME(12,4,42)</f>
        <v>41623.503263888888</v>
      </c>
      <c r="C1846">
        <v>80</v>
      </c>
      <c r="D1846">
        <v>75.612762450999995</v>
      </c>
      <c r="E1846">
        <v>50</v>
      </c>
      <c r="F1846">
        <v>49.976959229000002</v>
      </c>
      <c r="G1846">
        <v>1302.121582</v>
      </c>
      <c r="H1846">
        <v>1289.3616943</v>
      </c>
      <c r="I1846">
        <v>1393.7718506000001</v>
      </c>
      <c r="J1846">
        <v>1374.1135254000001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1326.3520860000001</v>
      </c>
      <c r="B1847" s="1">
        <f>DATE(2013,12,17) + TIME(8,27,0)</f>
        <v>41625.352083333331</v>
      </c>
      <c r="C1847">
        <v>80</v>
      </c>
      <c r="D1847">
        <v>75.476844787999994</v>
      </c>
      <c r="E1847">
        <v>50</v>
      </c>
      <c r="F1847">
        <v>49.976985931000002</v>
      </c>
      <c r="G1847">
        <v>1302.0192870999999</v>
      </c>
      <c r="H1847">
        <v>1289.2340088000001</v>
      </c>
      <c r="I1847">
        <v>1393.7442627</v>
      </c>
      <c r="J1847">
        <v>1374.0927733999999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1328.2280920000001</v>
      </c>
      <c r="B1848" s="1">
        <f>DATE(2013,12,19) + TIME(5,28,27)</f>
        <v>41627.228090277778</v>
      </c>
      <c r="C1848">
        <v>80</v>
      </c>
      <c r="D1848">
        <v>75.339767456000004</v>
      </c>
      <c r="E1848">
        <v>50</v>
      </c>
      <c r="F1848">
        <v>49.977008820000002</v>
      </c>
      <c r="G1848">
        <v>1301.9119873</v>
      </c>
      <c r="H1848">
        <v>1289.0992432</v>
      </c>
      <c r="I1848">
        <v>1393.7167969</v>
      </c>
      <c r="J1848">
        <v>1374.0718993999999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1330.146035</v>
      </c>
      <c r="B1849" s="1">
        <f>DATE(2013,12,21) + TIME(3,30,17)</f>
        <v>41629.14603009259</v>
      </c>
      <c r="C1849">
        <v>80</v>
      </c>
      <c r="D1849">
        <v>75.202201842999997</v>
      </c>
      <c r="E1849">
        <v>50</v>
      </c>
      <c r="F1849">
        <v>49.977039337000001</v>
      </c>
      <c r="G1849">
        <v>1301.8005370999999</v>
      </c>
      <c r="H1849">
        <v>1288.9586182</v>
      </c>
      <c r="I1849">
        <v>1393.6896973</v>
      </c>
      <c r="J1849">
        <v>1374.0513916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1332.09788</v>
      </c>
      <c r="B1850" s="1">
        <f>DATE(2013,12,23) + TIME(2,20,56)</f>
        <v>41631.097870370373</v>
      </c>
      <c r="C1850">
        <v>80</v>
      </c>
      <c r="D1850">
        <v>75.064041137999993</v>
      </c>
      <c r="E1850">
        <v>50</v>
      </c>
      <c r="F1850">
        <v>49.977066039999997</v>
      </c>
      <c r="G1850">
        <v>1301.684082</v>
      </c>
      <c r="H1850">
        <v>1288.8110352000001</v>
      </c>
      <c r="I1850">
        <v>1393.6628418</v>
      </c>
      <c r="J1850">
        <v>1374.0310059000001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1334.087023</v>
      </c>
      <c r="B1851" s="1">
        <f>DATE(2013,12,25) + TIME(2,5,18)</f>
        <v>41633.087013888886</v>
      </c>
      <c r="C1851">
        <v>80</v>
      </c>
      <c r="D1851">
        <v>74.925407410000005</v>
      </c>
      <c r="E1851">
        <v>50</v>
      </c>
      <c r="F1851">
        <v>49.977092743</v>
      </c>
      <c r="G1851">
        <v>1301.5628661999999</v>
      </c>
      <c r="H1851">
        <v>1288.6566161999999</v>
      </c>
      <c r="I1851">
        <v>1393.6363524999999</v>
      </c>
      <c r="J1851">
        <v>1374.0108643000001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1336.098641</v>
      </c>
      <c r="B1852" s="1">
        <f>DATE(2013,12,27) + TIME(2,22,2)</f>
        <v>41635.098634259259</v>
      </c>
      <c r="C1852">
        <v>80</v>
      </c>
      <c r="D1852">
        <v>74.786453246999997</v>
      </c>
      <c r="E1852">
        <v>50</v>
      </c>
      <c r="F1852">
        <v>49.977123259999999</v>
      </c>
      <c r="G1852">
        <v>1301.4365233999999</v>
      </c>
      <c r="H1852">
        <v>1288.4949951000001</v>
      </c>
      <c r="I1852">
        <v>1393.6102295000001</v>
      </c>
      <c r="J1852">
        <v>1373.9908447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1338.138567</v>
      </c>
      <c r="B1853" s="1">
        <f>DATE(2013,12,29) + TIME(3,19,32)</f>
        <v>41637.138564814813</v>
      </c>
      <c r="C1853">
        <v>80</v>
      </c>
      <c r="D1853">
        <v>74.647644043</v>
      </c>
      <c r="E1853">
        <v>50</v>
      </c>
      <c r="F1853">
        <v>49.977149963000002</v>
      </c>
      <c r="G1853">
        <v>1301.3057861</v>
      </c>
      <c r="H1853">
        <v>1288.3269043</v>
      </c>
      <c r="I1853">
        <v>1393.5843506000001</v>
      </c>
      <c r="J1853">
        <v>1373.9710693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1340.2103010000001</v>
      </c>
      <c r="B1854" s="1">
        <f>DATE(2013,12,31) + TIME(5,2,50)</f>
        <v>41639.210300925923</v>
      </c>
      <c r="C1854">
        <v>80</v>
      </c>
      <c r="D1854">
        <v>74.508796692000004</v>
      </c>
      <c r="E1854">
        <v>50</v>
      </c>
      <c r="F1854">
        <v>49.977180480999998</v>
      </c>
      <c r="G1854">
        <v>1301.1702881000001</v>
      </c>
      <c r="H1854">
        <v>1288.1519774999999</v>
      </c>
      <c r="I1854">
        <v>1393.5589600000001</v>
      </c>
      <c r="J1854">
        <v>1373.9514160000001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1341</v>
      </c>
      <c r="B1855" s="1">
        <f>DATE(2014,1,1) + TIME(0,0,0)</f>
        <v>41640</v>
      </c>
      <c r="C1855">
        <v>80</v>
      </c>
      <c r="D1855">
        <v>74.410377502000003</v>
      </c>
      <c r="E1855">
        <v>50</v>
      </c>
      <c r="F1855">
        <v>49.97718811</v>
      </c>
      <c r="G1855">
        <v>1301.0322266000001</v>
      </c>
      <c r="H1855">
        <v>1287.9801024999999</v>
      </c>
      <c r="I1855">
        <v>1393.5330810999999</v>
      </c>
      <c r="J1855">
        <v>1373.9312743999999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1343.094681</v>
      </c>
      <c r="B1856" s="1">
        <f>DATE(2014,1,3) + TIME(2,16,20)</f>
        <v>41642.094675925924</v>
      </c>
      <c r="C1856">
        <v>80</v>
      </c>
      <c r="D1856">
        <v>74.305999756000006</v>
      </c>
      <c r="E1856">
        <v>50</v>
      </c>
      <c r="F1856">
        <v>49.977222443000002</v>
      </c>
      <c r="G1856">
        <v>1300.9702147999999</v>
      </c>
      <c r="H1856">
        <v>1287.8891602000001</v>
      </c>
      <c r="I1856">
        <v>1393.5242920000001</v>
      </c>
      <c r="J1856">
        <v>1373.9246826000001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1345.2245330000001</v>
      </c>
      <c r="B1857" s="1">
        <f>DATE(2014,1,5) + TIME(5,23,19)</f>
        <v>41644.22452546296</v>
      </c>
      <c r="C1857">
        <v>80</v>
      </c>
      <c r="D1857">
        <v>74.176033020000006</v>
      </c>
      <c r="E1857">
        <v>50</v>
      </c>
      <c r="F1857">
        <v>49.977252960000001</v>
      </c>
      <c r="G1857">
        <v>1300.8269043</v>
      </c>
      <c r="H1857">
        <v>1287.7045897999999</v>
      </c>
      <c r="I1857">
        <v>1393.4997559000001</v>
      </c>
      <c r="J1857">
        <v>1373.9057617000001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1347.3847310000001</v>
      </c>
      <c r="B1858" s="1">
        <f>DATE(2014,1,7) + TIME(9,14,0)</f>
        <v>41646.384722222225</v>
      </c>
      <c r="C1858">
        <v>80</v>
      </c>
      <c r="D1858">
        <v>74.039199828999998</v>
      </c>
      <c r="E1858">
        <v>50</v>
      </c>
      <c r="F1858">
        <v>49.977283477999997</v>
      </c>
      <c r="G1858">
        <v>1300.6751709</v>
      </c>
      <c r="H1858">
        <v>1287.5067139</v>
      </c>
      <c r="I1858">
        <v>1393.4753418</v>
      </c>
      <c r="J1858">
        <v>1373.8867187999999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1349.5803989999999</v>
      </c>
      <c r="B1859" s="1">
        <f>DATE(2014,1,9) + TIME(13,55,46)</f>
        <v>41648.580393518518</v>
      </c>
      <c r="C1859">
        <v>80</v>
      </c>
      <c r="D1859">
        <v>73.900215149000005</v>
      </c>
      <c r="E1859">
        <v>50</v>
      </c>
      <c r="F1859">
        <v>49.977313995000003</v>
      </c>
      <c r="G1859">
        <v>1300.5173339999999</v>
      </c>
      <c r="H1859">
        <v>1287.2994385</v>
      </c>
      <c r="I1859">
        <v>1393.4511719</v>
      </c>
      <c r="J1859">
        <v>1373.8679199000001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1351.816231</v>
      </c>
      <c r="B1860" s="1">
        <f>DATE(2014,1,11) + TIME(19,35,22)</f>
        <v>41650.81622685185</v>
      </c>
      <c r="C1860">
        <v>80</v>
      </c>
      <c r="D1860">
        <v>73.759941100999995</v>
      </c>
      <c r="E1860">
        <v>50</v>
      </c>
      <c r="F1860">
        <v>49.977348327999998</v>
      </c>
      <c r="G1860">
        <v>1300.3532714999999</v>
      </c>
      <c r="H1860">
        <v>1287.0831298999999</v>
      </c>
      <c r="I1860">
        <v>1393.427124</v>
      </c>
      <c r="J1860">
        <v>1373.8491211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1354.095834</v>
      </c>
      <c r="B1861" s="1">
        <f>DATE(2014,1,14) + TIME(2,18,0)</f>
        <v>41653.095833333333</v>
      </c>
      <c r="C1861">
        <v>80</v>
      </c>
      <c r="D1861">
        <v>73.618278502999999</v>
      </c>
      <c r="E1861">
        <v>50</v>
      </c>
      <c r="F1861">
        <v>49.977378844999997</v>
      </c>
      <c r="G1861">
        <v>1300.1826172000001</v>
      </c>
      <c r="H1861">
        <v>1286.8572998</v>
      </c>
      <c r="I1861">
        <v>1393.4033202999999</v>
      </c>
      <c r="J1861">
        <v>1373.8304443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1356.401351</v>
      </c>
      <c r="B1862" s="1">
        <f>DATE(2014,1,16) + TIME(9,37,56)</f>
        <v>41655.401342592595</v>
      </c>
      <c r="C1862">
        <v>80</v>
      </c>
      <c r="D1862">
        <v>73.475273131999998</v>
      </c>
      <c r="E1862">
        <v>50</v>
      </c>
      <c r="F1862">
        <v>49.977413177000003</v>
      </c>
      <c r="G1862">
        <v>1300.0050048999999</v>
      </c>
      <c r="H1862">
        <v>1286.621582</v>
      </c>
      <c r="I1862">
        <v>1393.3793945</v>
      </c>
      <c r="J1862">
        <v>1373.8116454999999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1358.7357199999999</v>
      </c>
      <c r="B1863" s="1">
        <f>DATE(2014,1,18) + TIME(17,39,26)</f>
        <v>41657.735717592594</v>
      </c>
      <c r="C1863">
        <v>80</v>
      </c>
      <c r="D1863">
        <v>73.331344603999995</v>
      </c>
      <c r="E1863">
        <v>50</v>
      </c>
      <c r="F1863">
        <v>49.977443694999998</v>
      </c>
      <c r="G1863">
        <v>1299.8215332</v>
      </c>
      <c r="H1863">
        <v>1286.3769531</v>
      </c>
      <c r="I1863">
        <v>1393.3558350000001</v>
      </c>
      <c r="J1863">
        <v>1373.7930908000001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1361.104071</v>
      </c>
      <c r="B1864" s="1">
        <f>DATE(2014,1,21) + TIME(2,29,51)</f>
        <v>41660.104062500002</v>
      </c>
      <c r="C1864">
        <v>80</v>
      </c>
      <c r="D1864">
        <v>73.186286925999994</v>
      </c>
      <c r="E1864">
        <v>50</v>
      </c>
      <c r="F1864">
        <v>49.977478026999997</v>
      </c>
      <c r="G1864">
        <v>1299.6318358999999</v>
      </c>
      <c r="H1864">
        <v>1286.1232910000001</v>
      </c>
      <c r="I1864">
        <v>1393.3323975000001</v>
      </c>
      <c r="J1864">
        <v>1373.7745361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1363.5113309999999</v>
      </c>
      <c r="B1865" s="1">
        <f>DATE(2014,1,23) + TIME(12,16,19)</f>
        <v>41662.511331018519</v>
      </c>
      <c r="C1865">
        <v>80</v>
      </c>
      <c r="D1865">
        <v>73.039649963000002</v>
      </c>
      <c r="E1865">
        <v>50</v>
      </c>
      <c r="F1865">
        <v>49.977512359999999</v>
      </c>
      <c r="G1865">
        <v>1299.4355469</v>
      </c>
      <c r="H1865">
        <v>1285.8598632999999</v>
      </c>
      <c r="I1865">
        <v>1393.309082</v>
      </c>
      <c r="J1865">
        <v>1373.7561035000001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1365.9622609999999</v>
      </c>
      <c r="B1866" s="1">
        <f>DATE(2014,1,25) + TIME(23,5,39)</f>
        <v>41664.962256944447</v>
      </c>
      <c r="C1866">
        <v>80</v>
      </c>
      <c r="D1866">
        <v>72.890937804999993</v>
      </c>
      <c r="E1866">
        <v>50</v>
      </c>
      <c r="F1866">
        <v>49.977546691999997</v>
      </c>
      <c r="G1866">
        <v>1299.2320557</v>
      </c>
      <c r="H1866">
        <v>1285.5859375</v>
      </c>
      <c r="I1866">
        <v>1393.2857666</v>
      </c>
      <c r="J1866">
        <v>1373.7375488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1368.461646</v>
      </c>
      <c r="B1867" s="1">
        <f>DATE(2014,1,28) + TIME(11,4,46)</f>
        <v>41667.461643518516</v>
      </c>
      <c r="C1867">
        <v>80</v>
      </c>
      <c r="D1867">
        <v>72.739601135000001</v>
      </c>
      <c r="E1867">
        <v>50</v>
      </c>
      <c r="F1867">
        <v>49.977581024000003</v>
      </c>
      <c r="G1867">
        <v>1299.020874</v>
      </c>
      <c r="H1867">
        <v>1285.3007812000001</v>
      </c>
      <c r="I1867">
        <v>1393.2625731999999</v>
      </c>
      <c r="J1867">
        <v>1373.7189940999999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1371.010657</v>
      </c>
      <c r="B1868" s="1">
        <f>DATE(2014,1,31) + TIME(0,15,20)</f>
        <v>41670.010648148149</v>
      </c>
      <c r="C1868">
        <v>80</v>
      </c>
      <c r="D1868">
        <v>72.585098267000006</v>
      </c>
      <c r="E1868">
        <v>50</v>
      </c>
      <c r="F1868">
        <v>49.977619171000001</v>
      </c>
      <c r="G1868">
        <v>1298.8012695</v>
      </c>
      <c r="H1868">
        <v>1285.0035399999999</v>
      </c>
      <c r="I1868">
        <v>1393.2392577999999</v>
      </c>
      <c r="J1868">
        <v>1373.7004394999999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1372</v>
      </c>
      <c r="B1869" s="1">
        <f>DATE(2014,2,1) + TIME(0,0,0)</f>
        <v>41671</v>
      </c>
      <c r="C1869">
        <v>80</v>
      </c>
      <c r="D1869">
        <v>72.466636657999999</v>
      </c>
      <c r="E1869">
        <v>50</v>
      </c>
      <c r="F1869">
        <v>49.977630615000002</v>
      </c>
      <c r="G1869">
        <v>1298.5805664</v>
      </c>
      <c r="H1869">
        <v>1284.7128906</v>
      </c>
      <c r="I1869">
        <v>1393.2150879000001</v>
      </c>
      <c r="J1869">
        <v>1373.6807861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1374.5938699999999</v>
      </c>
      <c r="B1870" s="1">
        <f>DATE(2014,2,3) + TIME(14,15,10)</f>
        <v>41673.593865740739</v>
      </c>
      <c r="C1870">
        <v>80</v>
      </c>
      <c r="D1870">
        <v>72.353424071999996</v>
      </c>
      <c r="E1870">
        <v>50</v>
      </c>
      <c r="F1870">
        <v>49.977668762</v>
      </c>
      <c r="G1870">
        <v>1298.4725341999999</v>
      </c>
      <c r="H1870">
        <v>1284.5512695</v>
      </c>
      <c r="I1870">
        <v>1393.2069091999999</v>
      </c>
      <c r="J1870">
        <v>1373.6744385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1377.249982</v>
      </c>
      <c r="B1871" s="1">
        <f>DATE(2014,2,6) + TIME(5,59,58)</f>
        <v>41676.249976851854</v>
      </c>
      <c r="C1871">
        <v>80</v>
      </c>
      <c r="D1871">
        <v>72.200294494999994</v>
      </c>
      <c r="E1871">
        <v>50</v>
      </c>
      <c r="F1871">
        <v>49.977703093999999</v>
      </c>
      <c r="G1871">
        <v>1298.2426757999999</v>
      </c>
      <c r="H1871">
        <v>1284.2416992000001</v>
      </c>
      <c r="I1871">
        <v>1393.1835937999999</v>
      </c>
      <c r="J1871">
        <v>1373.6556396000001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1379.9388960000001</v>
      </c>
      <c r="B1872" s="1">
        <f>DATE(2014,2,8) + TIME(22,32,0)</f>
        <v>41678.938888888886</v>
      </c>
      <c r="C1872">
        <v>80</v>
      </c>
      <c r="D1872">
        <v>72.034843445000007</v>
      </c>
      <c r="E1872">
        <v>50</v>
      </c>
      <c r="F1872">
        <v>49.977741240999997</v>
      </c>
      <c r="G1872">
        <v>1297.9962158000001</v>
      </c>
      <c r="H1872">
        <v>1283.9055175999999</v>
      </c>
      <c r="I1872">
        <v>1393.1601562000001</v>
      </c>
      <c r="J1872">
        <v>1373.6365966999999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1382.6656479999999</v>
      </c>
      <c r="B1873" s="1">
        <f>DATE(2014,2,11) + TIME(15,58,31)</f>
        <v>41681.665636574071</v>
      </c>
      <c r="C1873">
        <v>80</v>
      </c>
      <c r="D1873">
        <v>71.863540649000001</v>
      </c>
      <c r="E1873">
        <v>50</v>
      </c>
      <c r="F1873">
        <v>49.977779388000002</v>
      </c>
      <c r="G1873">
        <v>1297.7407227000001</v>
      </c>
      <c r="H1873">
        <v>1283.5549315999999</v>
      </c>
      <c r="I1873">
        <v>1393.1365966999999</v>
      </c>
      <c r="J1873">
        <v>1373.6175536999999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1385.4263490000001</v>
      </c>
      <c r="B1874" s="1">
        <f>DATE(2014,2,14) + TIME(10,13,56)</f>
        <v>41684.426342592589</v>
      </c>
      <c r="C1874">
        <v>80</v>
      </c>
      <c r="D1874">
        <v>71.687126160000005</v>
      </c>
      <c r="E1874">
        <v>50</v>
      </c>
      <c r="F1874">
        <v>49.977817535</v>
      </c>
      <c r="G1874">
        <v>1297.4769286999999</v>
      </c>
      <c r="H1874">
        <v>1283.1916504000001</v>
      </c>
      <c r="I1874">
        <v>1393.1131591999999</v>
      </c>
      <c r="J1874">
        <v>1373.5985106999999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1388.2269329999999</v>
      </c>
      <c r="B1875" s="1">
        <f>DATE(2014,2,17) + TIME(5,26,47)</f>
        <v>41687.22693287037</v>
      </c>
      <c r="C1875">
        <v>80</v>
      </c>
      <c r="D1875">
        <v>71.505355835000003</v>
      </c>
      <c r="E1875">
        <v>50</v>
      </c>
      <c r="F1875">
        <v>49.977855681999998</v>
      </c>
      <c r="G1875">
        <v>1297.2052002</v>
      </c>
      <c r="H1875">
        <v>1282.8165283000001</v>
      </c>
      <c r="I1875">
        <v>1393.0895995999999</v>
      </c>
      <c r="J1875">
        <v>1373.5792236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1391.0678419999999</v>
      </c>
      <c r="B1876" s="1">
        <f>DATE(2014,2,20) + TIME(1,37,41)</f>
        <v>41690.067835648151</v>
      </c>
      <c r="C1876">
        <v>80</v>
      </c>
      <c r="D1876">
        <v>71.317436217999997</v>
      </c>
      <c r="E1876">
        <v>50</v>
      </c>
      <c r="F1876">
        <v>49.977893829000003</v>
      </c>
      <c r="G1876">
        <v>1296.9251709</v>
      </c>
      <c r="H1876">
        <v>1282.4287108999999</v>
      </c>
      <c r="I1876">
        <v>1393.0660399999999</v>
      </c>
      <c r="J1876">
        <v>1373.5599365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1393.943685</v>
      </c>
      <c r="B1877" s="1">
        <f>DATE(2014,2,22) + TIME(22,38,54)</f>
        <v>41692.943680555552</v>
      </c>
      <c r="C1877">
        <v>80</v>
      </c>
      <c r="D1877">
        <v>71.122703552000004</v>
      </c>
      <c r="E1877">
        <v>50</v>
      </c>
      <c r="F1877">
        <v>49.977931976000001</v>
      </c>
      <c r="G1877">
        <v>1296.6369629000001</v>
      </c>
      <c r="H1877">
        <v>1282.0281981999999</v>
      </c>
      <c r="I1877">
        <v>1393.0422363</v>
      </c>
      <c r="J1877">
        <v>1373.5404053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1396.8548510000001</v>
      </c>
      <c r="B1878" s="1">
        <f>DATE(2014,2,25) + TIME(20,30,59)</f>
        <v>41695.854849537034</v>
      </c>
      <c r="C1878">
        <v>80</v>
      </c>
      <c r="D1878">
        <v>70.920669556000007</v>
      </c>
      <c r="E1878">
        <v>50</v>
      </c>
      <c r="F1878">
        <v>49.977970122999999</v>
      </c>
      <c r="G1878">
        <v>1296.3406981999999</v>
      </c>
      <c r="H1878">
        <v>1281.6154785000001</v>
      </c>
      <c r="I1878">
        <v>1393.0184326000001</v>
      </c>
      <c r="J1878">
        <v>1373.5207519999999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1399.8084369999999</v>
      </c>
      <c r="B1879" s="1">
        <f>DATE(2014,2,28) + TIME(19,24,8)</f>
        <v>41698.808425925927</v>
      </c>
      <c r="C1879">
        <v>80</v>
      </c>
      <c r="D1879">
        <v>70.710525512999993</v>
      </c>
      <c r="E1879">
        <v>50</v>
      </c>
      <c r="F1879">
        <v>49.978008269999997</v>
      </c>
      <c r="G1879">
        <v>1296.0367432</v>
      </c>
      <c r="H1879">
        <v>1281.1905518000001</v>
      </c>
      <c r="I1879">
        <v>1392.9945068</v>
      </c>
      <c r="J1879">
        <v>1373.5009766000001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1400</v>
      </c>
      <c r="B1880" s="1">
        <f>DATE(2014,3,1) + TIME(0,0,0)</f>
        <v>41699</v>
      </c>
      <c r="C1880">
        <v>80</v>
      </c>
      <c r="D1880">
        <v>70.649124146000005</v>
      </c>
      <c r="E1880">
        <v>50</v>
      </c>
      <c r="F1880">
        <v>49.978008269999997</v>
      </c>
      <c r="G1880">
        <v>1295.7595214999999</v>
      </c>
      <c r="H1880">
        <v>1280.8426514</v>
      </c>
      <c r="I1880">
        <v>1392.9697266000001</v>
      </c>
      <c r="J1880">
        <v>1373.4803466999999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1403.0031670000001</v>
      </c>
      <c r="B1881" s="1">
        <f>DATE(2014,3,4) + TIME(0,4,33)</f>
        <v>41702.003159722219</v>
      </c>
      <c r="C1881">
        <v>80</v>
      </c>
      <c r="D1881">
        <v>70.468070983999993</v>
      </c>
      <c r="E1881">
        <v>50</v>
      </c>
      <c r="F1881">
        <v>49.978050232000001</v>
      </c>
      <c r="G1881">
        <v>1295.6945800999999</v>
      </c>
      <c r="H1881">
        <v>1280.7066649999999</v>
      </c>
      <c r="I1881">
        <v>1392.96875</v>
      </c>
      <c r="J1881">
        <v>1373.4794922000001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1406.0628119999999</v>
      </c>
      <c r="B1882" s="1">
        <f>DATE(2014,3,7) + TIME(1,30,26)</f>
        <v>41705.062800925924</v>
      </c>
      <c r="C1882">
        <v>80</v>
      </c>
      <c r="D1882">
        <v>70.244354247999993</v>
      </c>
      <c r="E1882">
        <v>50</v>
      </c>
      <c r="F1882">
        <v>49.978092193999998</v>
      </c>
      <c r="G1882">
        <v>1295.3804932</v>
      </c>
      <c r="H1882">
        <v>1280.2681885</v>
      </c>
      <c r="I1882">
        <v>1392.9443358999999</v>
      </c>
      <c r="J1882">
        <v>1373.4592285000001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1409.1698240000001</v>
      </c>
      <c r="B1883" s="1">
        <f>DATE(2014,3,10) + TIME(4,4,32)</f>
        <v>41708.169814814813</v>
      </c>
      <c r="C1883">
        <v>80</v>
      </c>
      <c r="D1883">
        <v>70.003097534000005</v>
      </c>
      <c r="E1883">
        <v>50</v>
      </c>
      <c r="F1883">
        <v>49.978130341000004</v>
      </c>
      <c r="G1883">
        <v>1295.0505370999999</v>
      </c>
      <c r="H1883">
        <v>1279.8032227000001</v>
      </c>
      <c r="I1883">
        <v>1392.9194336</v>
      </c>
      <c r="J1883">
        <v>1373.4384766000001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1412.3324809999999</v>
      </c>
      <c r="B1884" s="1">
        <f>DATE(2014,3,13) + TIME(7,58,46)</f>
        <v>41711.332476851851</v>
      </c>
      <c r="C1884">
        <v>80</v>
      </c>
      <c r="D1884">
        <v>69.747924804999997</v>
      </c>
      <c r="E1884">
        <v>50</v>
      </c>
      <c r="F1884">
        <v>49.978172301999997</v>
      </c>
      <c r="G1884">
        <v>1294.7106934000001</v>
      </c>
      <c r="H1884">
        <v>1279.3222656</v>
      </c>
      <c r="I1884">
        <v>1392.8942870999999</v>
      </c>
      <c r="J1884">
        <v>1373.4172363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1415.559015</v>
      </c>
      <c r="B1885" s="1">
        <f>DATE(2014,3,16) + TIME(13,24,58)</f>
        <v>41714.559004629627</v>
      </c>
      <c r="C1885">
        <v>80</v>
      </c>
      <c r="D1885">
        <v>69.478378296000002</v>
      </c>
      <c r="E1885">
        <v>50</v>
      </c>
      <c r="F1885">
        <v>49.978214264000002</v>
      </c>
      <c r="G1885">
        <v>1294.3614502</v>
      </c>
      <c r="H1885">
        <v>1278.8262939000001</v>
      </c>
      <c r="I1885">
        <v>1392.8686522999999</v>
      </c>
      <c r="J1885">
        <v>1373.3957519999999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1418.8399280000001</v>
      </c>
      <c r="B1886" s="1">
        <f>DATE(2014,3,19) + TIME(20,9,29)</f>
        <v>41717.839918981481</v>
      </c>
      <c r="C1886">
        <v>80</v>
      </c>
      <c r="D1886">
        <v>69.193206786999994</v>
      </c>
      <c r="E1886">
        <v>50</v>
      </c>
      <c r="F1886">
        <v>49.978256225999999</v>
      </c>
      <c r="G1886">
        <v>1294.0024414</v>
      </c>
      <c r="H1886">
        <v>1278.3146973</v>
      </c>
      <c r="I1886">
        <v>1392.8425293</v>
      </c>
      <c r="J1886">
        <v>1373.3735352000001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1422.1691639999999</v>
      </c>
      <c r="B1887" s="1">
        <f>DATE(2014,3,23) + TIME(4,3,35)</f>
        <v>41721.16915509259</v>
      </c>
      <c r="C1887">
        <v>80</v>
      </c>
      <c r="D1887">
        <v>68.891815186000002</v>
      </c>
      <c r="E1887">
        <v>50</v>
      </c>
      <c r="F1887">
        <v>49.978298187</v>
      </c>
      <c r="G1887">
        <v>1293.6346435999999</v>
      </c>
      <c r="H1887">
        <v>1277.7888184000001</v>
      </c>
      <c r="I1887">
        <v>1392.815918</v>
      </c>
      <c r="J1887">
        <v>1373.3509521000001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1425.558659</v>
      </c>
      <c r="B1888" s="1">
        <f>DATE(2014,3,26) + TIME(13,24,28)</f>
        <v>41724.558657407404</v>
      </c>
      <c r="C1888">
        <v>80</v>
      </c>
      <c r="D1888">
        <v>68.573791503999999</v>
      </c>
      <c r="E1888">
        <v>50</v>
      </c>
      <c r="F1888">
        <v>49.978340148999997</v>
      </c>
      <c r="G1888">
        <v>1293.2591553</v>
      </c>
      <c r="H1888">
        <v>1277.25</v>
      </c>
      <c r="I1888">
        <v>1392.7888184000001</v>
      </c>
      <c r="J1888">
        <v>1373.3277588000001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1429.018587</v>
      </c>
      <c r="B1889" s="1">
        <f>DATE(2014,3,30) + TIME(0,26,45)</f>
        <v>41728.018576388888</v>
      </c>
      <c r="C1889">
        <v>80</v>
      </c>
      <c r="D1889">
        <v>68.237327575999998</v>
      </c>
      <c r="E1889">
        <v>50</v>
      </c>
      <c r="F1889">
        <v>49.978382111000002</v>
      </c>
      <c r="G1889">
        <v>1292.8752440999999</v>
      </c>
      <c r="H1889">
        <v>1276.6973877</v>
      </c>
      <c r="I1889">
        <v>1392.7611084</v>
      </c>
      <c r="J1889">
        <v>1373.3040771000001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1431</v>
      </c>
      <c r="B1890" s="1">
        <f>DATE(2014,4,1) + TIME(0,0,0)</f>
        <v>41730</v>
      </c>
      <c r="C1890">
        <v>80</v>
      </c>
      <c r="D1890">
        <v>67.917716979999994</v>
      </c>
      <c r="E1890">
        <v>50</v>
      </c>
      <c r="F1890">
        <v>49.978404998999999</v>
      </c>
      <c r="G1890">
        <v>1292.4884033000001</v>
      </c>
      <c r="H1890">
        <v>1276.1488036999999</v>
      </c>
      <c r="I1890">
        <v>1392.7320557</v>
      </c>
      <c r="J1890">
        <v>1373.2790527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1434.541581</v>
      </c>
      <c r="B1891" s="1">
        <f>DATE(2014,4,4) + TIME(12,59,52)</f>
        <v>41733.541574074072</v>
      </c>
      <c r="C1891">
        <v>80</v>
      </c>
      <c r="D1891">
        <v>67.651550293</v>
      </c>
      <c r="E1891">
        <v>50</v>
      </c>
      <c r="F1891">
        <v>49.978450774999999</v>
      </c>
      <c r="G1891">
        <v>1292.2403564000001</v>
      </c>
      <c r="H1891">
        <v>1275.7702637</v>
      </c>
      <c r="I1891">
        <v>1392.7161865</v>
      </c>
      <c r="J1891">
        <v>1373.2653809000001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1438.1452420000001</v>
      </c>
      <c r="B1892" s="1">
        <f>DATE(2014,4,8) + TIME(3,29,8)</f>
        <v>41737.145231481481</v>
      </c>
      <c r="C1892">
        <v>80</v>
      </c>
      <c r="D1892">
        <v>67.280433654999996</v>
      </c>
      <c r="E1892">
        <v>50</v>
      </c>
      <c r="F1892">
        <v>49.978496552000003</v>
      </c>
      <c r="G1892">
        <v>1291.8522949000001</v>
      </c>
      <c r="H1892">
        <v>1275.213501</v>
      </c>
      <c r="I1892">
        <v>1392.6866454999999</v>
      </c>
      <c r="J1892">
        <v>1373.2397461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1441.793631</v>
      </c>
      <c r="B1893" s="1">
        <f>DATE(2014,4,11) + TIME(19,2,49)</f>
        <v>41740.793622685182</v>
      </c>
      <c r="C1893">
        <v>80</v>
      </c>
      <c r="D1893">
        <v>66.875511169000006</v>
      </c>
      <c r="E1893">
        <v>50</v>
      </c>
      <c r="F1893">
        <v>49.978538512999997</v>
      </c>
      <c r="G1893">
        <v>1291.4454346</v>
      </c>
      <c r="H1893">
        <v>1274.6210937999999</v>
      </c>
      <c r="I1893">
        <v>1392.6563721</v>
      </c>
      <c r="J1893">
        <v>1373.2133789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1445.4855689999999</v>
      </c>
      <c r="B1894" s="1">
        <f>DATE(2014,4,15) + TIME(11,39,13)</f>
        <v>41744.485567129632</v>
      </c>
      <c r="C1894">
        <v>80</v>
      </c>
      <c r="D1894">
        <v>66.450737000000004</v>
      </c>
      <c r="E1894">
        <v>50</v>
      </c>
      <c r="F1894">
        <v>49.978584290000001</v>
      </c>
      <c r="G1894">
        <v>1291.0327147999999</v>
      </c>
      <c r="H1894">
        <v>1274.0172118999999</v>
      </c>
      <c r="I1894">
        <v>1392.6254882999999</v>
      </c>
      <c r="J1894">
        <v>1373.1862793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1449.2350939999999</v>
      </c>
      <c r="B1895" s="1">
        <f>DATE(2014,4,19) + TIME(5,38,32)</f>
        <v>41748.235092592593</v>
      </c>
      <c r="C1895">
        <v>80</v>
      </c>
      <c r="D1895">
        <v>66.006233214999995</v>
      </c>
      <c r="E1895">
        <v>50</v>
      </c>
      <c r="F1895">
        <v>49.978630066000001</v>
      </c>
      <c r="G1895">
        <v>1290.6166992000001</v>
      </c>
      <c r="H1895">
        <v>1273.4057617000001</v>
      </c>
      <c r="I1895">
        <v>1392.59375</v>
      </c>
      <c r="J1895">
        <v>1373.1585693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1453.0365879999999</v>
      </c>
      <c r="B1896" s="1">
        <f>DATE(2014,4,23) + TIME(0,52,41)</f>
        <v>41752.036585648151</v>
      </c>
      <c r="C1896">
        <v>80</v>
      </c>
      <c r="D1896">
        <v>65.543243407999995</v>
      </c>
      <c r="E1896">
        <v>50</v>
      </c>
      <c r="F1896">
        <v>49.978672027999998</v>
      </c>
      <c r="G1896">
        <v>1290.1971435999999</v>
      </c>
      <c r="H1896">
        <v>1272.7872314000001</v>
      </c>
      <c r="I1896">
        <v>1392.5612793</v>
      </c>
      <c r="J1896">
        <v>1373.1298827999999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1456.915761</v>
      </c>
      <c r="B1897" s="1">
        <f>DATE(2014,4,26) + TIME(21,58,41)</f>
        <v>41755.915752314817</v>
      </c>
      <c r="C1897">
        <v>80</v>
      </c>
      <c r="D1897">
        <v>65.060379028</v>
      </c>
      <c r="E1897">
        <v>50</v>
      </c>
      <c r="F1897">
        <v>49.978717803999999</v>
      </c>
      <c r="G1897">
        <v>1289.7753906</v>
      </c>
      <c r="H1897">
        <v>1272.1625977000001</v>
      </c>
      <c r="I1897">
        <v>1392.5280762</v>
      </c>
      <c r="J1897">
        <v>1373.1003418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1458.9578799999999</v>
      </c>
      <c r="B1898" s="1">
        <f>DATE(2014,4,28) + TIME(22,59,20)</f>
        <v>41757.957870370374</v>
      </c>
      <c r="C1898">
        <v>80</v>
      </c>
      <c r="D1898">
        <v>64.612838745000005</v>
      </c>
      <c r="E1898">
        <v>50</v>
      </c>
      <c r="F1898">
        <v>49.978740692000002</v>
      </c>
      <c r="G1898">
        <v>1289.3551024999999</v>
      </c>
      <c r="H1898">
        <v>1271.5545654</v>
      </c>
      <c r="I1898">
        <v>1392.4932861</v>
      </c>
      <c r="J1898">
        <v>1373.0694579999999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1461</v>
      </c>
      <c r="B1899" s="1">
        <f>DATE(2014,5,1) + TIME(0,0,0)</f>
        <v>41760</v>
      </c>
      <c r="C1899">
        <v>80</v>
      </c>
      <c r="D1899">
        <v>64.301689147999994</v>
      </c>
      <c r="E1899">
        <v>50</v>
      </c>
      <c r="F1899">
        <v>49.978763579999999</v>
      </c>
      <c r="G1899">
        <v>1289.1137695</v>
      </c>
      <c r="H1899">
        <v>1271.1790771000001</v>
      </c>
      <c r="I1899">
        <v>1392.4749756000001</v>
      </c>
      <c r="J1899">
        <v>1373.0531006000001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1461.0000010000001</v>
      </c>
      <c r="B1900" s="1">
        <f>DATE(2014,5,1) + TIME(0,0,0)</f>
        <v>41760</v>
      </c>
      <c r="C1900">
        <v>80</v>
      </c>
      <c r="D1900">
        <v>64.301887511999993</v>
      </c>
      <c r="E1900">
        <v>50</v>
      </c>
      <c r="F1900">
        <v>49.978630066000001</v>
      </c>
      <c r="G1900">
        <v>1308.484375</v>
      </c>
      <c r="H1900">
        <v>1290.1419678</v>
      </c>
      <c r="I1900">
        <v>1372.1767577999999</v>
      </c>
      <c r="J1900">
        <v>1353.2581786999999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1461.000004</v>
      </c>
      <c r="B1901" s="1">
        <f>DATE(2014,5,1) + TIME(0,0,0)</f>
        <v>41760</v>
      </c>
      <c r="C1901">
        <v>80</v>
      </c>
      <c r="D1901">
        <v>64.302398682000003</v>
      </c>
      <c r="E1901">
        <v>50</v>
      </c>
      <c r="F1901">
        <v>49.978271483999997</v>
      </c>
      <c r="G1901">
        <v>1310.8630370999999</v>
      </c>
      <c r="H1901">
        <v>1292.7949219</v>
      </c>
      <c r="I1901">
        <v>1369.8395995999999</v>
      </c>
      <c r="J1901">
        <v>1350.9205322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1461.0000130000001</v>
      </c>
      <c r="B1902" s="1">
        <f>DATE(2014,5,1) + TIME(0,0,1)</f>
        <v>41760.000011574077</v>
      </c>
      <c r="C1902">
        <v>80</v>
      </c>
      <c r="D1902">
        <v>64.303550720000004</v>
      </c>
      <c r="E1902">
        <v>50</v>
      </c>
      <c r="F1902">
        <v>49.977466583000002</v>
      </c>
      <c r="G1902">
        <v>1316.0826416</v>
      </c>
      <c r="H1902">
        <v>1298.3834228999999</v>
      </c>
      <c r="I1902">
        <v>1364.5997314000001</v>
      </c>
      <c r="J1902">
        <v>1345.6796875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1461.0000399999999</v>
      </c>
      <c r="B1903" s="1">
        <f>DATE(2014,5,1) + TIME(0,0,3)</f>
        <v>41760.000034722223</v>
      </c>
      <c r="C1903">
        <v>80</v>
      </c>
      <c r="D1903">
        <v>64.305686950999998</v>
      </c>
      <c r="E1903">
        <v>50</v>
      </c>
      <c r="F1903">
        <v>49.976127624999997</v>
      </c>
      <c r="G1903">
        <v>1324.6085204999999</v>
      </c>
      <c r="H1903">
        <v>1307.0565185999999</v>
      </c>
      <c r="I1903">
        <v>1355.8509521000001</v>
      </c>
      <c r="J1903">
        <v>1336.9306641000001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1461.000121</v>
      </c>
      <c r="B1904" s="1">
        <f>DATE(2014,5,1) + TIME(0,0,10)</f>
        <v>41760.000115740739</v>
      </c>
      <c r="C1904">
        <v>80</v>
      </c>
      <c r="D1904">
        <v>64.309494018999999</v>
      </c>
      <c r="E1904">
        <v>50</v>
      </c>
      <c r="F1904">
        <v>49.974479674999998</v>
      </c>
      <c r="G1904">
        <v>1334.8562012</v>
      </c>
      <c r="H1904">
        <v>1317.1988524999999</v>
      </c>
      <c r="I1904">
        <v>1345.1759033000001</v>
      </c>
      <c r="J1904">
        <v>1326.2600098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1461.000364</v>
      </c>
      <c r="B1905" s="1">
        <f>DATE(2014,5,1) + TIME(0,0,31)</f>
        <v>41760.000358796293</v>
      </c>
      <c r="C1905">
        <v>80</v>
      </c>
      <c r="D1905">
        <v>64.317710876000007</v>
      </c>
      <c r="E1905">
        <v>50</v>
      </c>
      <c r="F1905">
        <v>49.972770691000001</v>
      </c>
      <c r="G1905">
        <v>1345.4786377</v>
      </c>
      <c r="H1905">
        <v>1327.6643065999999</v>
      </c>
      <c r="I1905">
        <v>1334.1911620999999</v>
      </c>
      <c r="J1905">
        <v>1315.2825928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1461.0010930000001</v>
      </c>
      <c r="B1906" s="1">
        <f>DATE(2014,5,1) + TIME(0,1,34)</f>
        <v>41760.001087962963</v>
      </c>
      <c r="C1906">
        <v>80</v>
      </c>
      <c r="D1906">
        <v>64.339141846000004</v>
      </c>
      <c r="E1906">
        <v>50</v>
      </c>
      <c r="F1906">
        <v>49.971008300999998</v>
      </c>
      <c r="G1906">
        <v>1356.3337402</v>
      </c>
      <c r="H1906">
        <v>1338.3426514</v>
      </c>
      <c r="I1906">
        <v>1323.2235106999999</v>
      </c>
      <c r="J1906">
        <v>1304.3232422000001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1461.0032799999999</v>
      </c>
      <c r="B1907" s="1">
        <f>DATE(2014,5,1) + TIME(0,4,43)</f>
        <v>41760.003275462965</v>
      </c>
      <c r="C1907">
        <v>80</v>
      </c>
      <c r="D1907">
        <v>64.400527953999998</v>
      </c>
      <c r="E1907">
        <v>50</v>
      </c>
      <c r="F1907">
        <v>49.969078064000001</v>
      </c>
      <c r="G1907">
        <v>1367.5977783000001</v>
      </c>
      <c r="H1907">
        <v>1349.3944091999999</v>
      </c>
      <c r="I1907">
        <v>1312.2556152</v>
      </c>
      <c r="J1907">
        <v>1293.3392334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1461.0098410000001</v>
      </c>
      <c r="B1908" s="1">
        <f>DATE(2014,5,1) + TIME(0,14,10)</f>
        <v>41760.009837962964</v>
      </c>
      <c r="C1908">
        <v>80</v>
      </c>
      <c r="D1908">
        <v>64.581108092999997</v>
      </c>
      <c r="E1908">
        <v>50</v>
      </c>
      <c r="F1908">
        <v>49.966716765999998</v>
      </c>
      <c r="G1908">
        <v>1378.6468506000001</v>
      </c>
      <c r="H1908">
        <v>1360.2687988</v>
      </c>
      <c r="I1908">
        <v>1301.7602539</v>
      </c>
      <c r="J1908">
        <v>1282.7802733999999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1461.029524</v>
      </c>
      <c r="B1909" s="1">
        <f>DATE(2014,5,1) + TIME(0,42,30)</f>
        <v>41760.029513888891</v>
      </c>
      <c r="C1909">
        <v>80</v>
      </c>
      <c r="D1909">
        <v>65.104072571000003</v>
      </c>
      <c r="E1909">
        <v>50</v>
      </c>
      <c r="F1909">
        <v>49.963256835999999</v>
      </c>
      <c r="G1909">
        <v>1387.2305908000001</v>
      </c>
      <c r="H1909">
        <v>1368.8713379000001</v>
      </c>
      <c r="I1909">
        <v>1293.6662598</v>
      </c>
      <c r="J1909">
        <v>1274.6278076000001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1461.0519360000001</v>
      </c>
      <c r="B1910" s="1">
        <f>DATE(2014,5,1) + TIME(1,14,47)</f>
        <v>41760.051932870374</v>
      </c>
      <c r="C1910">
        <v>80</v>
      </c>
      <c r="D1910">
        <v>65.676910399999997</v>
      </c>
      <c r="E1910">
        <v>50</v>
      </c>
      <c r="F1910">
        <v>49.960300445999998</v>
      </c>
      <c r="G1910">
        <v>1390.4023437999999</v>
      </c>
      <c r="H1910">
        <v>1372.1583252</v>
      </c>
      <c r="I1910">
        <v>1290.8417969</v>
      </c>
      <c r="J1910">
        <v>1271.7845459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1461.0748799999999</v>
      </c>
      <c r="B1911" s="1">
        <f>DATE(2014,5,1) + TIME(1,47,49)</f>
        <v>41760.074872685182</v>
      </c>
      <c r="C1911">
        <v>80</v>
      </c>
      <c r="D1911">
        <v>66.240432738999999</v>
      </c>
      <c r="E1911">
        <v>50</v>
      </c>
      <c r="F1911">
        <v>49.957588196000003</v>
      </c>
      <c r="G1911">
        <v>1391.5698242000001</v>
      </c>
      <c r="H1911">
        <v>1373.4588623</v>
      </c>
      <c r="I1911">
        <v>1289.9123535000001</v>
      </c>
      <c r="J1911">
        <v>1270.8487548999999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1461.0983140000001</v>
      </c>
      <c r="B1912" s="1">
        <f>DATE(2014,5,1) + TIME(2,21,34)</f>
        <v>41760.098310185182</v>
      </c>
      <c r="C1912">
        <v>80</v>
      </c>
      <c r="D1912">
        <v>66.792999268000003</v>
      </c>
      <c r="E1912">
        <v>50</v>
      </c>
      <c r="F1912">
        <v>49.954944611000002</v>
      </c>
      <c r="G1912">
        <v>1391.9711914</v>
      </c>
      <c r="H1912">
        <v>1373.994751</v>
      </c>
      <c r="I1912">
        <v>1289.6334228999999</v>
      </c>
      <c r="J1912">
        <v>1270.5675048999999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1461.1222419999999</v>
      </c>
      <c r="B1913" s="1">
        <f>DATE(2014,5,1) + TIME(2,56,1)</f>
        <v>41760.122233796297</v>
      </c>
      <c r="C1913">
        <v>80</v>
      </c>
      <c r="D1913">
        <v>67.334236145000006</v>
      </c>
      <c r="E1913">
        <v>50</v>
      </c>
      <c r="F1913">
        <v>49.952304839999996</v>
      </c>
      <c r="G1913">
        <v>1392.050293</v>
      </c>
      <c r="H1913">
        <v>1374.2059326000001</v>
      </c>
      <c r="I1913">
        <v>1289.5754394999999</v>
      </c>
      <c r="J1913">
        <v>1270.5085449000001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1461.1466820000001</v>
      </c>
      <c r="B1914" s="1">
        <f>DATE(2014,5,1) + TIME(3,31,13)</f>
        <v>41760.146678240744</v>
      </c>
      <c r="C1914">
        <v>80</v>
      </c>
      <c r="D1914">
        <v>67.864059448000006</v>
      </c>
      <c r="E1914">
        <v>50</v>
      </c>
      <c r="F1914">
        <v>49.949645996000001</v>
      </c>
      <c r="G1914">
        <v>1391.9860839999999</v>
      </c>
      <c r="H1914">
        <v>1374.2700195</v>
      </c>
      <c r="I1914">
        <v>1289.5847168</v>
      </c>
      <c r="J1914">
        <v>1270.5173339999999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1461.171656</v>
      </c>
      <c r="B1915" s="1">
        <f>DATE(2014,5,1) + TIME(4,7,11)</f>
        <v>41760.171655092592</v>
      </c>
      <c r="C1915">
        <v>80</v>
      </c>
      <c r="D1915">
        <v>68.382453917999996</v>
      </c>
      <c r="E1915">
        <v>50</v>
      </c>
      <c r="F1915">
        <v>49.946956634999999</v>
      </c>
      <c r="G1915">
        <v>1391.8564452999999</v>
      </c>
      <c r="H1915">
        <v>1374.2644043</v>
      </c>
      <c r="I1915">
        <v>1289.6079102000001</v>
      </c>
      <c r="J1915">
        <v>1270.5404053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1461.1971980000001</v>
      </c>
      <c r="B1916" s="1">
        <f>DATE(2014,5,1) + TIME(4,43,57)</f>
        <v>41760.197187500002</v>
      </c>
      <c r="C1916">
        <v>80</v>
      </c>
      <c r="D1916">
        <v>68.889625549000002</v>
      </c>
      <c r="E1916">
        <v>50</v>
      </c>
      <c r="F1916">
        <v>49.944232941000003</v>
      </c>
      <c r="G1916">
        <v>1391.6968993999999</v>
      </c>
      <c r="H1916">
        <v>1374.2244873</v>
      </c>
      <c r="I1916">
        <v>1289.6289062000001</v>
      </c>
      <c r="J1916">
        <v>1270.5611572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1461.22334</v>
      </c>
      <c r="B1917" s="1">
        <f>DATE(2014,5,1) + TIME(5,21,36)</f>
        <v>41760.223333333335</v>
      </c>
      <c r="C1917">
        <v>80</v>
      </c>
      <c r="D1917">
        <v>69.385650635000005</v>
      </c>
      <c r="E1917">
        <v>50</v>
      </c>
      <c r="F1917">
        <v>49.941474915000001</v>
      </c>
      <c r="G1917">
        <v>1391.5245361</v>
      </c>
      <c r="H1917">
        <v>1374.1677245999999</v>
      </c>
      <c r="I1917">
        <v>1289.6442870999999</v>
      </c>
      <c r="J1917">
        <v>1270.5761719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1461.250117</v>
      </c>
      <c r="B1918" s="1">
        <f>DATE(2014,5,1) + TIME(6,0,10)</f>
        <v>41760.250115740739</v>
      </c>
      <c r="C1918">
        <v>80</v>
      </c>
      <c r="D1918">
        <v>69.870613098000007</v>
      </c>
      <c r="E1918">
        <v>50</v>
      </c>
      <c r="F1918">
        <v>49.938671112000002</v>
      </c>
      <c r="G1918">
        <v>1391.3476562000001</v>
      </c>
      <c r="H1918">
        <v>1374.1024170000001</v>
      </c>
      <c r="I1918">
        <v>1289.6544189000001</v>
      </c>
      <c r="J1918">
        <v>1270.5861815999999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1461.2775670000001</v>
      </c>
      <c r="B1919" s="1">
        <f>DATE(2014,5,1) + TIME(6,39,41)</f>
        <v>41760.277557870373</v>
      </c>
      <c r="C1919">
        <v>80</v>
      </c>
      <c r="D1919">
        <v>70.344299316000004</v>
      </c>
      <c r="E1919">
        <v>50</v>
      </c>
      <c r="F1919">
        <v>49.935829163000001</v>
      </c>
      <c r="G1919">
        <v>1391.1708983999999</v>
      </c>
      <c r="H1919">
        <v>1374.0333252</v>
      </c>
      <c r="I1919">
        <v>1289.6608887</v>
      </c>
      <c r="J1919">
        <v>1270.5924072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1461.3057309999999</v>
      </c>
      <c r="B1920" s="1">
        <f>DATE(2014,5,1) + TIME(7,20,15)</f>
        <v>41760.30572916667</v>
      </c>
      <c r="C1920">
        <v>80</v>
      </c>
      <c r="D1920">
        <v>70.806961060000006</v>
      </c>
      <c r="E1920">
        <v>50</v>
      </c>
      <c r="F1920">
        <v>49.932937621999997</v>
      </c>
      <c r="G1920">
        <v>1390.9964600000001</v>
      </c>
      <c r="H1920">
        <v>1373.9627685999999</v>
      </c>
      <c r="I1920">
        <v>1289.6647949000001</v>
      </c>
      <c r="J1920">
        <v>1270.5960693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1461.3346529999999</v>
      </c>
      <c r="B1921" s="1">
        <f>DATE(2014,5,1) + TIME(8,1,54)</f>
        <v>41760.334652777776</v>
      </c>
      <c r="C1921">
        <v>80</v>
      </c>
      <c r="D1921">
        <v>71.258773804</v>
      </c>
      <c r="E1921">
        <v>50</v>
      </c>
      <c r="F1921">
        <v>49.930000305</v>
      </c>
      <c r="G1921">
        <v>1390.8253173999999</v>
      </c>
      <c r="H1921">
        <v>1373.8919678</v>
      </c>
      <c r="I1921">
        <v>1289.6671143000001</v>
      </c>
      <c r="J1921">
        <v>1270.5981445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1461.364382</v>
      </c>
      <c r="B1922" s="1">
        <f>DATE(2014,5,1) + TIME(8,44,42)</f>
        <v>41760.364374999997</v>
      </c>
      <c r="C1922">
        <v>80</v>
      </c>
      <c r="D1922">
        <v>71.699783324999999</v>
      </c>
      <c r="E1922">
        <v>50</v>
      </c>
      <c r="F1922">
        <v>49.927013397000003</v>
      </c>
      <c r="G1922">
        <v>1390.6583252</v>
      </c>
      <c r="H1922">
        <v>1373.8218993999999</v>
      </c>
      <c r="I1922">
        <v>1289.668457</v>
      </c>
      <c r="J1922">
        <v>1270.5992432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1461.3949700000001</v>
      </c>
      <c r="B1923" s="1">
        <f>DATE(2014,5,1) + TIME(9,28,45)</f>
        <v>41760.394965277781</v>
      </c>
      <c r="C1923">
        <v>80</v>
      </c>
      <c r="D1923">
        <v>72.130035399999997</v>
      </c>
      <c r="E1923">
        <v>50</v>
      </c>
      <c r="F1923">
        <v>49.923965453999998</v>
      </c>
      <c r="G1923">
        <v>1390.4956055</v>
      </c>
      <c r="H1923">
        <v>1373.7525635</v>
      </c>
      <c r="I1923">
        <v>1289.6691894999999</v>
      </c>
      <c r="J1923">
        <v>1270.5998535000001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1461.426475</v>
      </c>
      <c r="B1924" s="1">
        <f>DATE(2014,5,1) + TIME(10,14,7)</f>
        <v>41760.426469907405</v>
      </c>
      <c r="C1924">
        <v>80</v>
      </c>
      <c r="D1924">
        <v>72.549575806000007</v>
      </c>
      <c r="E1924">
        <v>50</v>
      </c>
      <c r="F1924">
        <v>49.920860290999997</v>
      </c>
      <c r="G1924">
        <v>1390.3371582</v>
      </c>
      <c r="H1924">
        <v>1373.6844481999999</v>
      </c>
      <c r="I1924">
        <v>1289.6696777</v>
      </c>
      <c r="J1924">
        <v>1270.5999756000001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1461.458979</v>
      </c>
      <c r="B1925" s="1">
        <f>DATE(2014,5,1) + TIME(11,0,55)</f>
        <v>41760.458969907406</v>
      </c>
      <c r="C1925">
        <v>80</v>
      </c>
      <c r="D1925">
        <v>72.958625792999996</v>
      </c>
      <c r="E1925">
        <v>50</v>
      </c>
      <c r="F1925">
        <v>49.917690276999998</v>
      </c>
      <c r="G1925">
        <v>1390.1828613</v>
      </c>
      <c r="H1925">
        <v>1373.6173096</v>
      </c>
      <c r="I1925">
        <v>1289.6697998</v>
      </c>
      <c r="J1925">
        <v>1270.5998535000001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1461.492534</v>
      </c>
      <c r="B1926" s="1">
        <f>DATE(2014,5,1) + TIME(11,49,14)</f>
        <v>41760.492523148147</v>
      </c>
      <c r="C1926">
        <v>80</v>
      </c>
      <c r="D1926">
        <v>73.356987000000004</v>
      </c>
      <c r="E1926">
        <v>50</v>
      </c>
      <c r="F1926">
        <v>49.914447783999996</v>
      </c>
      <c r="G1926">
        <v>1390.0327147999999</v>
      </c>
      <c r="H1926">
        <v>1373.5512695</v>
      </c>
      <c r="I1926">
        <v>1289.6697998</v>
      </c>
      <c r="J1926">
        <v>1270.5996094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1461.5272170000001</v>
      </c>
      <c r="B1927" s="1">
        <f>DATE(2014,5,1) + TIME(12,39,11)</f>
        <v>41760.52721064815</v>
      </c>
      <c r="C1927">
        <v>80</v>
      </c>
      <c r="D1927">
        <v>73.744651794000006</v>
      </c>
      <c r="E1927">
        <v>50</v>
      </c>
      <c r="F1927">
        <v>49.911132811999998</v>
      </c>
      <c r="G1927">
        <v>1389.8863524999999</v>
      </c>
      <c r="H1927">
        <v>1373.4863281</v>
      </c>
      <c r="I1927">
        <v>1289.6696777</v>
      </c>
      <c r="J1927">
        <v>1270.5991211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1461.563112</v>
      </c>
      <c r="B1928" s="1">
        <f>DATE(2014,5,1) + TIME(13,30,52)</f>
        <v>41760.563101851854</v>
      </c>
      <c r="C1928">
        <v>80</v>
      </c>
      <c r="D1928">
        <v>74.121620178000001</v>
      </c>
      <c r="E1928">
        <v>50</v>
      </c>
      <c r="F1928">
        <v>49.907733917000002</v>
      </c>
      <c r="G1928">
        <v>1389.7438964999999</v>
      </c>
      <c r="H1928">
        <v>1373.4222411999999</v>
      </c>
      <c r="I1928">
        <v>1289.6695557</v>
      </c>
      <c r="J1928">
        <v>1270.5987548999999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1461.600314</v>
      </c>
      <c r="B1929" s="1">
        <f>DATE(2014,5,1) + TIME(14,24,27)</f>
        <v>41760.600312499999</v>
      </c>
      <c r="C1929">
        <v>80</v>
      </c>
      <c r="D1929">
        <v>74.487876892000003</v>
      </c>
      <c r="E1929">
        <v>50</v>
      </c>
      <c r="F1929">
        <v>49.904251099</v>
      </c>
      <c r="G1929">
        <v>1389.6048584</v>
      </c>
      <c r="H1929">
        <v>1373.3591309000001</v>
      </c>
      <c r="I1929">
        <v>1289.6693115</v>
      </c>
      <c r="J1929">
        <v>1270.5981445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1461.638927</v>
      </c>
      <c r="B1930" s="1">
        <f>DATE(2014,5,1) + TIME(15,20,3)</f>
        <v>41760.638923611114</v>
      </c>
      <c r="C1930">
        <v>80</v>
      </c>
      <c r="D1930">
        <v>74.843391417999996</v>
      </c>
      <c r="E1930">
        <v>50</v>
      </c>
      <c r="F1930">
        <v>49.900669098000002</v>
      </c>
      <c r="G1930">
        <v>1389.4692382999999</v>
      </c>
      <c r="H1930">
        <v>1373.2966309000001</v>
      </c>
      <c r="I1930">
        <v>1289.6689452999999</v>
      </c>
      <c r="J1930">
        <v>1270.5975341999999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1461.679069</v>
      </c>
      <c r="B1931" s="1">
        <f>DATE(2014,5,1) + TIME(16,17,51)</f>
        <v>41760.679062499999</v>
      </c>
      <c r="C1931">
        <v>80</v>
      </c>
      <c r="D1931">
        <v>75.187957764000004</v>
      </c>
      <c r="E1931">
        <v>50</v>
      </c>
      <c r="F1931">
        <v>49.896987914999997</v>
      </c>
      <c r="G1931">
        <v>1389.3367920000001</v>
      </c>
      <c r="H1931">
        <v>1373.2348632999999</v>
      </c>
      <c r="I1931">
        <v>1289.6687012</v>
      </c>
      <c r="J1931">
        <v>1270.5969238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1461.720871</v>
      </c>
      <c r="B1932" s="1">
        <f>DATE(2014,5,1) + TIME(17,18,3)</f>
        <v>41760.720868055556</v>
      </c>
      <c r="C1932">
        <v>80</v>
      </c>
      <c r="D1932">
        <v>75.521575928000004</v>
      </c>
      <c r="E1932">
        <v>50</v>
      </c>
      <c r="F1932">
        <v>49.893192290999998</v>
      </c>
      <c r="G1932">
        <v>1389.2073975000001</v>
      </c>
      <c r="H1932">
        <v>1373.1737060999999</v>
      </c>
      <c r="I1932">
        <v>1289.6683350000001</v>
      </c>
      <c r="J1932">
        <v>1270.5961914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1461.7644829999999</v>
      </c>
      <c r="B1933" s="1">
        <f>DATE(2014,5,1) + TIME(18,20,51)</f>
        <v>41760.764479166668</v>
      </c>
      <c r="C1933">
        <v>80</v>
      </c>
      <c r="D1933">
        <v>75.844306946000003</v>
      </c>
      <c r="E1933">
        <v>50</v>
      </c>
      <c r="F1933">
        <v>49.889274596999996</v>
      </c>
      <c r="G1933">
        <v>1389.0806885</v>
      </c>
      <c r="H1933">
        <v>1373.1129149999999</v>
      </c>
      <c r="I1933">
        <v>1289.6678466999999</v>
      </c>
      <c r="J1933">
        <v>1270.5954589999999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1461.8100730000001</v>
      </c>
      <c r="B1934" s="1">
        <f>DATE(2014,5,1) + TIME(19,26,30)</f>
        <v>41760.810069444444</v>
      </c>
      <c r="C1934">
        <v>80</v>
      </c>
      <c r="D1934">
        <v>76.156089782999999</v>
      </c>
      <c r="E1934">
        <v>50</v>
      </c>
      <c r="F1934">
        <v>49.885227202999999</v>
      </c>
      <c r="G1934">
        <v>1388.956543</v>
      </c>
      <c r="H1934">
        <v>1373.0523682</v>
      </c>
      <c r="I1934">
        <v>1289.6673584</v>
      </c>
      <c r="J1934">
        <v>1270.5947266000001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1461.857861</v>
      </c>
      <c r="B1935" s="1">
        <f>DATE(2014,5,1) + TIME(20,35,19)</f>
        <v>41760.857858796298</v>
      </c>
      <c r="C1935">
        <v>80</v>
      </c>
      <c r="D1935">
        <v>76.457023621000005</v>
      </c>
      <c r="E1935">
        <v>50</v>
      </c>
      <c r="F1935">
        <v>49.881027222</v>
      </c>
      <c r="G1935">
        <v>1388.8348389</v>
      </c>
      <c r="H1935">
        <v>1372.9920654</v>
      </c>
      <c r="I1935">
        <v>1289.6668701000001</v>
      </c>
      <c r="J1935">
        <v>1270.59375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1461.908062</v>
      </c>
      <c r="B1936" s="1">
        <f>DATE(2014,5,1) + TIME(21,47,36)</f>
        <v>41760.908055555556</v>
      </c>
      <c r="C1936">
        <v>80</v>
      </c>
      <c r="D1936">
        <v>76.746917725000003</v>
      </c>
      <c r="E1936">
        <v>50</v>
      </c>
      <c r="F1936">
        <v>49.876663207999997</v>
      </c>
      <c r="G1936">
        <v>1388.715332</v>
      </c>
      <c r="H1936">
        <v>1372.9318848</v>
      </c>
      <c r="I1936">
        <v>1289.6662598</v>
      </c>
      <c r="J1936">
        <v>1270.5928954999999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1461.9609170000001</v>
      </c>
      <c r="B1937" s="1">
        <f>DATE(2014,5,1) + TIME(23,3,43)</f>
        <v>41760.960914351854</v>
      </c>
      <c r="C1937">
        <v>80</v>
      </c>
      <c r="D1937">
        <v>77.025604247999993</v>
      </c>
      <c r="E1937">
        <v>50</v>
      </c>
      <c r="F1937">
        <v>49.872119904000002</v>
      </c>
      <c r="G1937">
        <v>1388.5977783000001</v>
      </c>
      <c r="H1937">
        <v>1372.8714600000001</v>
      </c>
      <c r="I1937">
        <v>1289.6657714999999</v>
      </c>
      <c r="J1937">
        <v>1270.5919189000001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1462.0167269999999</v>
      </c>
      <c r="B1938" s="1">
        <f>DATE(2014,5,2) + TIME(0,24,5)</f>
        <v>41761.016724537039</v>
      </c>
      <c r="C1938">
        <v>80</v>
      </c>
      <c r="D1938">
        <v>77.29296875</v>
      </c>
      <c r="E1938">
        <v>50</v>
      </c>
      <c r="F1938">
        <v>49.867378234999997</v>
      </c>
      <c r="G1938">
        <v>1388.4819336</v>
      </c>
      <c r="H1938">
        <v>1372.8110352000001</v>
      </c>
      <c r="I1938">
        <v>1289.6650391000001</v>
      </c>
      <c r="J1938">
        <v>1270.5908202999999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1462.075842</v>
      </c>
      <c r="B1939" s="1">
        <f>DATE(2014,5,2) + TIME(1,49,12)</f>
        <v>41761.075833333336</v>
      </c>
      <c r="C1939">
        <v>80</v>
      </c>
      <c r="D1939">
        <v>77.548889160000002</v>
      </c>
      <c r="E1939">
        <v>50</v>
      </c>
      <c r="F1939">
        <v>49.862415314000003</v>
      </c>
      <c r="G1939">
        <v>1388.3677978999999</v>
      </c>
      <c r="H1939">
        <v>1372.7501221</v>
      </c>
      <c r="I1939">
        <v>1289.6644286999999</v>
      </c>
      <c r="J1939">
        <v>1270.5897216999999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1462.1386709999999</v>
      </c>
      <c r="B1940" s="1">
        <f>DATE(2014,5,2) + TIME(3,19,41)</f>
        <v>41761.138668981483</v>
      </c>
      <c r="C1940">
        <v>80</v>
      </c>
      <c r="D1940">
        <v>77.793205260999997</v>
      </c>
      <c r="E1940">
        <v>50</v>
      </c>
      <c r="F1940">
        <v>49.857200622999997</v>
      </c>
      <c r="G1940">
        <v>1388.2548827999999</v>
      </c>
      <c r="H1940">
        <v>1372.6887207</v>
      </c>
      <c r="I1940">
        <v>1289.6636963000001</v>
      </c>
      <c r="J1940">
        <v>1270.588501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1462.2057030000001</v>
      </c>
      <c r="B1941" s="1">
        <f>DATE(2014,5,2) + TIME(4,56,12)</f>
        <v>41761.205694444441</v>
      </c>
      <c r="C1941">
        <v>80</v>
      </c>
      <c r="D1941">
        <v>78.025756835999999</v>
      </c>
      <c r="E1941">
        <v>50</v>
      </c>
      <c r="F1941">
        <v>49.851707458</v>
      </c>
      <c r="G1941">
        <v>1388.1431885</v>
      </c>
      <c r="H1941">
        <v>1372.6265868999999</v>
      </c>
      <c r="I1941">
        <v>1289.6628418</v>
      </c>
      <c r="J1941">
        <v>1270.5872803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1462.2775489999999</v>
      </c>
      <c r="B1942" s="1">
        <f>DATE(2014,5,2) + TIME(6,39,40)</f>
        <v>41761.277546296296</v>
      </c>
      <c r="C1942">
        <v>80</v>
      </c>
      <c r="D1942">
        <v>78.246421814000001</v>
      </c>
      <c r="E1942">
        <v>50</v>
      </c>
      <c r="F1942">
        <v>49.845890044999997</v>
      </c>
      <c r="G1942">
        <v>1388.0322266000001</v>
      </c>
      <c r="H1942">
        <v>1372.5634766000001</v>
      </c>
      <c r="I1942">
        <v>1289.6619873</v>
      </c>
      <c r="J1942">
        <v>1270.5859375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1462.3549399999999</v>
      </c>
      <c r="B1943" s="1">
        <f>DATE(2014,5,2) + TIME(8,31,6)</f>
        <v>41761.354930555557</v>
      </c>
      <c r="C1943">
        <v>80</v>
      </c>
      <c r="D1943">
        <v>78.455024718999994</v>
      </c>
      <c r="E1943">
        <v>50</v>
      </c>
      <c r="F1943">
        <v>49.839706421000002</v>
      </c>
      <c r="G1943">
        <v>1387.9217529</v>
      </c>
      <c r="H1943">
        <v>1372.4992675999999</v>
      </c>
      <c r="I1943">
        <v>1289.6610106999999</v>
      </c>
      <c r="J1943">
        <v>1270.5844727000001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1462.4387850000001</v>
      </c>
      <c r="B1944" s="1">
        <f>DATE(2014,5,2) + TIME(10,31,51)</f>
        <v>41761.438784722224</v>
      </c>
      <c r="C1944">
        <v>80</v>
      </c>
      <c r="D1944">
        <v>78.651351929</v>
      </c>
      <c r="E1944">
        <v>50</v>
      </c>
      <c r="F1944">
        <v>49.833099365000002</v>
      </c>
      <c r="G1944">
        <v>1387.8114014</v>
      </c>
      <c r="H1944">
        <v>1372.4335937999999</v>
      </c>
      <c r="I1944">
        <v>1289.6600341999999</v>
      </c>
      <c r="J1944">
        <v>1270.5828856999999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1462.5302260000001</v>
      </c>
      <c r="B1945" s="1">
        <f>DATE(2014,5,2) + TIME(12,43,31)</f>
        <v>41761.530219907407</v>
      </c>
      <c r="C1945">
        <v>80</v>
      </c>
      <c r="D1945">
        <v>78.835197449000006</v>
      </c>
      <c r="E1945">
        <v>50</v>
      </c>
      <c r="F1945">
        <v>49.825996398999997</v>
      </c>
      <c r="G1945">
        <v>1387.7009277</v>
      </c>
      <c r="H1945">
        <v>1372.3662108999999</v>
      </c>
      <c r="I1945">
        <v>1289.6589355000001</v>
      </c>
      <c r="J1945">
        <v>1270.5812988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1462.623746</v>
      </c>
      <c r="B1946" s="1">
        <f>DATE(2014,5,2) + TIME(14,58,11)</f>
        <v>41761.623738425929</v>
      </c>
      <c r="C1946">
        <v>80</v>
      </c>
      <c r="D1946">
        <v>78.996139525999993</v>
      </c>
      <c r="E1946">
        <v>50</v>
      </c>
      <c r="F1946">
        <v>49.818778991999999</v>
      </c>
      <c r="G1946">
        <v>1387.5957031</v>
      </c>
      <c r="H1946">
        <v>1372.2996826000001</v>
      </c>
      <c r="I1946">
        <v>1289.6577147999999</v>
      </c>
      <c r="J1946">
        <v>1270.5794678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1462.7178019999999</v>
      </c>
      <c r="B1947" s="1">
        <f>DATE(2014,5,2) + TIME(17,13,38)</f>
        <v>41761.717800925922</v>
      </c>
      <c r="C1947">
        <v>80</v>
      </c>
      <c r="D1947">
        <v>79.134590149000005</v>
      </c>
      <c r="E1947">
        <v>50</v>
      </c>
      <c r="F1947">
        <v>49.811550140000001</v>
      </c>
      <c r="G1947">
        <v>1387.4968262</v>
      </c>
      <c r="H1947">
        <v>1372.2355957</v>
      </c>
      <c r="I1947">
        <v>1289.6563721</v>
      </c>
      <c r="J1947">
        <v>1270.5775146000001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1462.812752</v>
      </c>
      <c r="B1948" s="1">
        <f>DATE(2014,5,2) + TIME(19,30,21)</f>
        <v>41761.812743055554</v>
      </c>
      <c r="C1948">
        <v>80</v>
      </c>
      <c r="D1948">
        <v>79.253997803000004</v>
      </c>
      <c r="E1948">
        <v>50</v>
      </c>
      <c r="F1948">
        <v>49.804286957000002</v>
      </c>
      <c r="G1948">
        <v>1387.4038086</v>
      </c>
      <c r="H1948">
        <v>1372.1740723</v>
      </c>
      <c r="I1948">
        <v>1289.6551514</v>
      </c>
      <c r="J1948">
        <v>1270.5756836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1462.908893</v>
      </c>
      <c r="B1949" s="1">
        <f>DATE(2014,5,2) + TIME(21,48,48)</f>
        <v>41761.908888888887</v>
      </c>
      <c r="C1949">
        <v>80</v>
      </c>
      <c r="D1949">
        <v>79.357109070000007</v>
      </c>
      <c r="E1949">
        <v>50</v>
      </c>
      <c r="F1949">
        <v>49.796966552999997</v>
      </c>
      <c r="G1949">
        <v>1387.3155518000001</v>
      </c>
      <c r="H1949">
        <v>1372.114624</v>
      </c>
      <c r="I1949">
        <v>1289.6538086</v>
      </c>
      <c r="J1949">
        <v>1270.5737305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1463.0061069999999</v>
      </c>
      <c r="B1950" s="1">
        <f>DATE(2014,5,3) + TIME(0,8,47)</f>
        <v>41762.006099537037</v>
      </c>
      <c r="C1950">
        <v>80</v>
      </c>
      <c r="D1950">
        <v>79.445907593000001</v>
      </c>
      <c r="E1950">
        <v>50</v>
      </c>
      <c r="F1950">
        <v>49.789600372000002</v>
      </c>
      <c r="G1950">
        <v>1387.2318115</v>
      </c>
      <c r="H1950">
        <v>1372.0571289</v>
      </c>
      <c r="I1950">
        <v>1289.6524658000001</v>
      </c>
      <c r="J1950">
        <v>1270.5717772999999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1463.1046490000001</v>
      </c>
      <c r="B1951" s="1">
        <f>DATE(2014,5,3) + TIME(2,30,41)</f>
        <v>41762.104641203703</v>
      </c>
      <c r="C1951">
        <v>80</v>
      </c>
      <c r="D1951">
        <v>79.522422790999997</v>
      </c>
      <c r="E1951">
        <v>50</v>
      </c>
      <c r="F1951">
        <v>49.782169342000003</v>
      </c>
      <c r="G1951">
        <v>1387.1518555</v>
      </c>
      <c r="H1951">
        <v>1372.0013428</v>
      </c>
      <c r="I1951">
        <v>1289.651001</v>
      </c>
      <c r="J1951">
        <v>1270.5698242000001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1463.20481</v>
      </c>
      <c r="B1952" s="1">
        <f>DATE(2014,5,3) + TIME(4,54,55)</f>
        <v>41762.20480324074</v>
      </c>
      <c r="C1952">
        <v>80</v>
      </c>
      <c r="D1952">
        <v>79.588394164999997</v>
      </c>
      <c r="E1952">
        <v>50</v>
      </c>
      <c r="F1952">
        <v>49.774654388000002</v>
      </c>
      <c r="G1952">
        <v>1387.0753173999999</v>
      </c>
      <c r="H1952">
        <v>1371.9470214999999</v>
      </c>
      <c r="I1952">
        <v>1289.6496582</v>
      </c>
      <c r="J1952">
        <v>1270.5678711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1463.306783</v>
      </c>
      <c r="B1953" s="1">
        <f>DATE(2014,5,3) + TIME(7,21,46)</f>
        <v>41762.30678240741</v>
      </c>
      <c r="C1953">
        <v>80</v>
      </c>
      <c r="D1953">
        <v>79.645217896000005</v>
      </c>
      <c r="E1953">
        <v>50</v>
      </c>
      <c r="F1953">
        <v>49.767044067</v>
      </c>
      <c r="G1953">
        <v>1387.0015868999999</v>
      </c>
      <c r="H1953">
        <v>1371.8941649999999</v>
      </c>
      <c r="I1953">
        <v>1289.6481934000001</v>
      </c>
      <c r="J1953">
        <v>1270.5657959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1463.4108189999999</v>
      </c>
      <c r="B1954" s="1">
        <f>DATE(2014,5,3) + TIME(9,51,34)</f>
        <v>41762.410810185182</v>
      </c>
      <c r="C1954">
        <v>80</v>
      </c>
      <c r="D1954">
        <v>79.694129943999997</v>
      </c>
      <c r="E1954">
        <v>50</v>
      </c>
      <c r="F1954">
        <v>49.759319304999998</v>
      </c>
      <c r="G1954">
        <v>1386.9304199000001</v>
      </c>
      <c r="H1954">
        <v>1371.8424072</v>
      </c>
      <c r="I1954">
        <v>1289.6467285000001</v>
      </c>
      <c r="J1954">
        <v>1270.5637207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1463.5171829999999</v>
      </c>
      <c r="B1955" s="1">
        <f>DATE(2014,5,3) + TIME(12,24,44)</f>
        <v>41762.517175925925</v>
      </c>
      <c r="C1955">
        <v>80</v>
      </c>
      <c r="D1955">
        <v>79.736190796000002</v>
      </c>
      <c r="E1955">
        <v>50</v>
      </c>
      <c r="F1955">
        <v>49.751468658</v>
      </c>
      <c r="G1955">
        <v>1386.8614502</v>
      </c>
      <c r="H1955">
        <v>1371.791626</v>
      </c>
      <c r="I1955">
        <v>1289.6452637</v>
      </c>
      <c r="J1955">
        <v>1270.5616454999999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1463.6261529999999</v>
      </c>
      <c r="B1956" s="1">
        <f>DATE(2014,5,3) + TIME(15,1,39)</f>
        <v>41762.626145833332</v>
      </c>
      <c r="C1956">
        <v>80</v>
      </c>
      <c r="D1956">
        <v>79.772209167</v>
      </c>
      <c r="E1956">
        <v>50</v>
      </c>
      <c r="F1956">
        <v>49.743469238000003</v>
      </c>
      <c r="G1956">
        <v>1386.7935791</v>
      </c>
      <c r="H1956">
        <v>1371.7409668</v>
      </c>
      <c r="I1956">
        <v>1289.6435547000001</v>
      </c>
      <c r="J1956">
        <v>1270.5593262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1463.7380470000001</v>
      </c>
      <c r="B1957" s="1">
        <f>DATE(2014,5,3) + TIME(17,42,47)</f>
        <v>41762.738043981481</v>
      </c>
      <c r="C1957">
        <v>80</v>
      </c>
      <c r="D1957">
        <v>79.803092957000004</v>
      </c>
      <c r="E1957">
        <v>50</v>
      </c>
      <c r="F1957">
        <v>49.735301970999998</v>
      </c>
      <c r="G1957">
        <v>1386.7287598</v>
      </c>
      <c r="H1957">
        <v>1371.6923827999999</v>
      </c>
      <c r="I1957">
        <v>1289.6420897999999</v>
      </c>
      <c r="J1957">
        <v>1270.5571289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1463.8530929999999</v>
      </c>
      <c r="B1958" s="1">
        <f>DATE(2014,5,3) + TIME(20,28,27)</f>
        <v>41762.853090277778</v>
      </c>
      <c r="C1958">
        <v>80</v>
      </c>
      <c r="D1958">
        <v>79.829498290999993</v>
      </c>
      <c r="E1958">
        <v>50</v>
      </c>
      <c r="F1958">
        <v>49.726955414000003</v>
      </c>
      <c r="G1958">
        <v>1386.6645507999999</v>
      </c>
      <c r="H1958">
        <v>1371.6437988</v>
      </c>
      <c r="I1958">
        <v>1289.6405029</v>
      </c>
      <c r="J1958">
        <v>1270.5549315999999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1463.9717310000001</v>
      </c>
      <c r="B1959" s="1">
        <f>DATE(2014,5,3) + TIME(23,19,17)</f>
        <v>41762.971724537034</v>
      </c>
      <c r="C1959">
        <v>80</v>
      </c>
      <c r="D1959">
        <v>79.852119446000003</v>
      </c>
      <c r="E1959">
        <v>50</v>
      </c>
      <c r="F1959">
        <v>49.718391418000003</v>
      </c>
      <c r="G1959">
        <v>1386.6022949000001</v>
      </c>
      <c r="H1959">
        <v>1371.5963135</v>
      </c>
      <c r="I1959">
        <v>1289.6390381000001</v>
      </c>
      <c r="J1959">
        <v>1270.5527344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1464.0943380000001</v>
      </c>
      <c r="B1960" s="1">
        <f>DATE(2014,5,4) + TIME(2,15,50)</f>
        <v>41763.094328703701</v>
      </c>
      <c r="C1960">
        <v>80</v>
      </c>
      <c r="D1960">
        <v>79.871276855000005</v>
      </c>
      <c r="E1960">
        <v>50</v>
      </c>
      <c r="F1960">
        <v>49.709602355999998</v>
      </c>
      <c r="G1960">
        <v>1386.5384521000001</v>
      </c>
      <c r="H1960">
        <v>1371.5469971</v>
      </c>
      <c r="I1960">
        <v>1289.6369629000001</v>
      </c>
      <c r="J1960">
        <v>1270.5499268000001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1464.22147</v>
      </c>
      <c r="B1961" s="1">
        <f>DATE(2014,5,4) + TIME(5,18,55)</f>
        <v>41763.22146990741</v>
      </c>
      <c r="C1961">
        <v>80</v>
      </c>
      <c r="D1961">
        <v>79.887626647999994</v>
      </c>
      <c r="E1961">
        <v>50</v>
      </c>
      <c r="F1961">
        <v>49.70054245</v>
      </c>
      <c r="G1961">
        <v>1386.4782714999999</v>
      </c>
      <c r="H1961">
        <v>1371.5006103999999</v>
      </c>
      <c r="I1961">
        <v>1289.635376</v>
      </c>
      <c r="J1961">
        <v>1270.5477295000001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1464.3534970000001</v>
      </c>
      <c r="B1962" s="1">
        <f>DATE(2014,5,4) + TIME(8,29,2)</f>
        <v>41763.353495370371</v>
      </c>
      <c r="C1962">
        <v>80</v>
      </c>
      <c r="D1962">
        <v>79.901351929</v>
      </c>
      <c r="E1962">
        <v>50</v>
      </c>
      <c r="F1962">
        <v>49.691200256000002</v>
      </c>
      <c r="G1962">
        <v>1386.4154053</v>
      </c>
      <c r="H1962">
        <v>1371.4516602000001</v>
      </c>
      <c r="I1962">
        <v>1289.6333007999999</v>
      </c>
      <c r="J1962">
        <v>1270.5446777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1464.491147</v>
      </c>
      <c r="B1963" s="1">
        <f>DATE(2014,5,4) + TIME(11,47,15)</f>
        <v>41763.49114583333</v>
      </c>
      <c r="C1963">
        <v>80</v>
      </c>
      <c r="D1963">
        <v>79.912918090999995</v>
      </c>
      <c r="E1963">
        <v>50</v>
      </c>
      <c r="F1963">
        <v>49.681526183999999</v>
      </c>
      <c r="G1963">
        <v>1386.3551024999999</v>
      </c>
      <c r="H1963">
        <v>1371.4045410000001</v>
      </c>
      <c r="I1963">
        <v>1289.6313477000001</v>
      </c>
      <c r="J1963">
        <v>1270.5421143000001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1464.63483</v>
      </c>
      <c r="B1964" s="1">
        <f>DATE(2014,5,4) + TIME(15,14,9)</f>
        <v>41763.634826388887</v>
      </c>
      <c r="C1964">
        <v>80</v>
      </c>
      <c r="D1964">
        <v>79.922691345000004</v>
      </c>
      <c r="E1964">
        <v>50</v>
      </c>
      <c r="F1964">
        <v>49.671489716000004</v>
      </c>
      <c r="G1964">
        <v>1386.2947998</v>
      </c>
      <c r="H1964">
        <v>1371.3574219</v>
      </c>
      <c r="I1964">
        <v>1289.6296387</v>
      </c>
      <c r="J1964">
        <v>1270.5394286999999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1464.783277</v>
      </c>
      <c r="B1965" s="1">
        <f>DATE(2014,5,4) + TIME(18,47,55)</f>
        <v>41763.783275462964</v>
      </c>
      <c r="C1965">
        <v>80</v>
      </c>
      <c r="D1965">
        <v>79.930671692000004</v>
      </c>
      <c r="E1965">
        <v>50</v>
      </c>
      <c r="F1965">
        <v>49.661174774000003</v>
      </c>
      <c r="G1965">
        <v>1386.2320557</v>
      </c>
      <c r="H1965">
        <v>1371.3078613</v>
      </c>
      <c r="I1965">
        <v>1289.6270752</v>
      </c>
      <c r="J1965">
        <v>1270.5361327999999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1464.937169</v>
      </c>
      <c r="B1966" s="1">
        <f>DATE(2014,5,4) + TIME(22,29,31)</f>
        <v>41763.937164351853</v>
      </c>
      <c r="C1966">
        <v>80</v>
      </c>
      <c r="D1966">
        <v>79.937232971</v>
      </c>
      <c r="E1966">
        <v>50</v>
      </c>
      <c r="F1966">
        <v>49.650539397999999</v>
      </c>
      <c r="G1966">
        <v>1386.171875</v>
      </c>
      <c r="H1966">
        <v>1371.2604980000001</v>
      </c>
      <c r="I1966">
        <v>1289.625</v>
      </c>
      <c r="J1966">
        <v>1270.5330810999999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1465.0968270000001</v>
      </c>
      <c r="B1967" s="1">
        <f>DATE(2014,5,5) + TIME(2,19,25)</f>
        <v>41764.096817129626</v>
      </c>
      <c r="C1967">
        <v>80</v>
      </c>
      <c r="D1967">
        <v>79.942687988000003</v>
      </c>
      <c r="E1967">
        <v>50</v>
      </c>
      <c r="F1967">
        <v>49.639556884999998</v>
      </c>
      <c r="G1967">
        <v>1386.1120605000001</v>
      </c>
      <c r="H1967">
        <v>1371.2132568</v>
      </c>
      <c r="I1967">
        <v>1289.6229248</v>
      </c>
      <c r="J1967">
        <v>1270.5301514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1465.263095</v>
      </c>
      <c r="B1968" s="1">
        <f>DATE(2014,5,5) + TIME(6,18,51)</f>
        <v>41764.263090277775</v>
      </c>
      <c r="C1968">
        <v>80</v>
      </c>
      <c r="D1968">
        <v>79.947143554999997</v>
      </c>
      <c r="E1968">
        <v>50</v>
      </c>
      <c r="F1968">
        <v>49.628192902000002</v>
      </c>
      <c r="G1968">
        <v>1386.0505370999999</v>
      </c>
      <c r="H1968">
        <v>1371.1645507999999</v>
      </c>
      <c r="I1968">
        <v>1289.6202393000001</v>
      </c>
      <c r="J1968">
        <v>1270.5266113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1465.4367219999999</v>
      </c>
      <c r="B1969" s="1">
        <f>DATE(2014,5,5) + TIME(10,28,52)</f>
        <v>41764.436712962961</v>
      </c>
      <c r="C1969">
        <v>80</v>
      </c>
      <c r="D1969">
        <v>79.950767517000003</v>
      </c>
      <c r="E1969">
        <v>50</v>
      </c>
      <c r="F1969">
        <v>49.616397857999999</v>
      </c>
      <c r="G1969">
        <v>1385.9895019999999</v>
      </c>
      <c r="H1969">
        <v>1371.1162108999999</v>
      </c>
      <c r="I1969">
        <v>1289.6176757999999</v>
      </c>
      <c r="J1969">
        <v>1270.5230713000001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1465.6183739999999</v>
      </c>
      <c r="B1970" s="1">
        <f>DATE(2014,5,5) + TIME(14,50,27)</f>
        <v>41764.618368055555</v>
      </c>
      <c r="C1970">
        <v>80</v>
      </c>
      <c r="D1970">
        <v>79.953697204999997</v>
      </c>
      <c r="E1970">
        <v>50</v>
      </c>
      <c r="F1970">
        <v>49.60414505</v>
      </c>
      <c r="G1970">
        <v>1385.9281006000001</v>
      </c>
      <c r="H1970">
        <v>1371.0675048999999</v>
      </c>
      <c r="I1970">
        <v>1289.6151123</v>
      </c>
      <c r="J1970">
        <v>1270.5194091999999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1465.8089970000001</v>
      </c>
      <c r="B1971" s="1">
        <f>DATE(2014,5,5) + TIME(19,24,57)</f>
        <v>41764.808993055558</v>
      </c>
      <c r="C1971">
        <v>80</v>
      </c>
      <c r="D1971">
        <v>79.956054687999995</v>
      </c>
      <c r="E1971">
        <v>50</v>
      </c>
      <c r="F1971">
        <v>49.591373443999998</v>
      </c>
      <c r="G1971">
        <v>1385.8660889</v>
      </c>
      <c r="H1971">
        <v>1371.0184326000001</v>
      </c>
      <c r="I1971">
        <v>1289.6123047000001</v>
      </c>
      <c r="J1971">
        <v>1270.5155029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1466.0052679999999</v>
      </c>
      <c r="B1972" s="1">
        <f>DATE(2014,5,6) + TIME(0,7,35)</f>
        <v>41765.005266203705</v>
      </c>
      <c r="C1972">
        <v>80</v>
      </c>
      <c r="D1972">
        <v>79.957916260000005</v>
      </c>
      <c r="E1972">
        <v>50</v>
      </c>
      <c r="F1972">
        <v>49.578254700000002</v>
      </c>
      <c r="G1972">
        <v>1385.8034668</v>
      </c>
      <c r="H1972">
        <v>1370.9686279</v>
      </c>
      <c r="I1972">
        <v>1289.609375</v>
      </c>
      <c r="J1972">
        <v>1270.5114745999999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1466.2028700000001</v>
      </c>
      <c r="B1973" s="1">
        <f>DATE(2014,5,6) + TIME(4,52,7)</f>
        <v>41765.2028587963</v>
      </c>
      <c r="C1973">
        <v>80</v>
      </c>
      <c r="D1973">
        <v>79.959350585999999</v>
      </c>
      <c r="E1973">
        <v>50</v>
      </c>
      <c r="F1973">
        <v>49.565021514999998</v>
      </c>
      <c r="G1973">
        <v>1385.7410889</v>
      </c>
      <c r="H1973">
        <v>1370.9191894999999</v>
      </c>
      <c r="I1973">
        <v>1289.6063231999999</v>
      </c>
      <c r="J1973">
        <v>1270.5073242000001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1466.4024240000001</v>
      </c>
      <c r="B1974" s="1">
        <f>DATE(2014,5,6) + TIME(9,39,29)</f>
        <v>41765.402418981481</v>
      </c>
      <c r="C1974">
        <v>80</v>
      </c>
      <c r="D1974">
        <v>79.960472107000001</v>
      </c>
      <c r="E1974">
        <v>50</v>
      </c>
      <c r="F1974">
        <v>49.551658629999999</v>
      </c>
      <c r="G1974">
        <v>1385.6804199000001</v>
      </c>
      <c r="H1974">
        <v>1370.8710937999999</v>
      </c>
      <c r="I1974">
        <v>1289.6031493999999</v>
      </c>
      <c r="J1974">
        <v>1270.5031738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1466.6045180000001</v>
      </c>
      <c r="B1975" s="1">
        <f>DATE(2014,5,6) + TIME(14,30,30)</f>
        <v>41765.604513888888</v>
      </c>
      <c r="C1975">
        <v>80</v>
      </c>
      <c r="D1975">
        <v>79.961349487000007</v>
      </c>
      <c r="E1975">
        <v>50</v>
      </c>
      <c r="F1975">
        <v>49.538150786999999</v>
      </c>
      <c r="G1975">
        <v>1385.6210937999999</v>
      </c>
      <c r="H1975">
        <v>1370.8242187999999</v>
      </c>
      <c r="I1975">
        <v>1289.6000977000001</v>
      </c>
      <c r="J1975">
        <v>1270.4989014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1466.8097399999999</v>
      </c>
      <c r="B1976" s="1">
        <f>DATE(2014,5,6) + TIME(19,26,1)</f>
        <v>41765.809733796297</v>
      </c>
      <c r="C1976">
        <v>80</v>
      </c>
      <c r="D1976">
        <v>79.962036132999998</v>
      </c>
      <c r="E1976">
        <v>50</v>
      </c>
      <c r="F1976">
        <v>49.524467467999997</v>
      </c>
      <c r="G1976">
        <v>1385.5629882999999</v>
      </c>
      <c r="H1976">
        <v>1370.7781981999999</v>
      </c>
      <c r="I1976">
        <v>1289.5969238</v>
      </c>
      <c r="J1976">
        <v>1270.4946289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1467.018693</v>
      </c>
      <c r="B1977" s="1">
        <f>DATE(2014,5,7) + TIME(0,26,55)</f>
        <v>41766.018692129626</v>
      </c>
      <c r="C1977">
        <v>80</v>
      </c>
      <c r="D1977">
        <v>79.962585449000002</v>
      </c>
      <c r="E1977">
        <v>50</v>
      </c>
      <c r="F1977">
        <v>49.510593413999999</v>
      </c>
      <c r="G1977">
        <v>1385.5056152</v>
      </c>
      <c r="H1977">
        <v>1370.7327881000001</v>
      </c>
      <c r="I1977">
        <v>1289.59375</v>
      </c>
      <c r="J1977">
        <v>1270.4902344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1467.2320050000001</v>
      </c>
      <c r="B1978" s="1">
        <f>DATE(2014,5,7) + TIME(5,34,5)</f>
        <v>41766.232002314813</v>
      </c>
      <c r="C1978">
        <v>80</v>
      </c>
      <c r="D1978">
        <v>79.963020325000002</v>
      </c>
      <c r="E1978">
        <v>50</v>
      </c>
      <c r="F1978">
        <v>49.496490479000002</v>
      </c>
      <c r="G1978">
        <v>1385.4489745999999</v>
      </c>
      <c r="H1978">
        <v>1370.6881103999999</v>
      </c>
      <c r="I1978">
        <v>1289.5904541</v>
      </c>
      <c r="J1978">
        <v>1270.4858397999999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1467.450341</v>
      </c>
      <c r="B1979" s="1">
        <f>DATE(2014,5,7) + TIME(10,48,29)</f>
        <v>41766.450335648151</v>
      </c>
      <c r="C1979">
        <v>80</v>
      </c>
      <c r="D1979">
        <v>79.963371276999993</v>
      </c>
      <c r="E1979">
        <v>50</v>
      </c>
      <c r="F1979">
        <v>49.482135773000003</v>
      </c>
      <c r="G1979">
        <v>1385.3928223</v>
      </c>
      <c r="H1979">
        <v>1370.6437988</v>
      </c>
      <c r="I1979">
        <v>1289.5871582</v>
      </c>
      <c r="J1979">
        <v>1270.4812012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1467.6744189999999</v>
      </c>
      <c r="B1980" s="1">
        <f>DATE(2014,5,7) + TIME(16,11,9)</f>
        <v>41766.674409722225</v>
      </c>
      <c r="C1980">
        <v>80</v>
      </c>
      <c r="D1980">
        <v>79.963645935000002</v>
      </c>
      <c r="E1980">
        <v>50</v>
      </c>
      <c r="F1980">
        <v>49.467483520999998</v>
      </c>
      <c r="G1980">
        <v>1385.3370361</v>
      </c>
      <c r="H1980">
        <v>1370.5998535000001</v>
      </c>
      <c r="I1980">
        <v>1289.5837402</v>
      </c>
      <c r="J1980">
        <v>1270.4765625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1467.9050810000001</v>
      </c>
      <c r="B1981" s="1">
        <f>DATE(2014,5,7) + TIME(21,43,19)</f>
        <v>41766.905081018522</v>
      </c>
      <c r="C1981">
        <v>80</v>
      </c>
      <c r="D1981">
        <v>79.963874817000004</v>
      </c>
      <c r="E1981">
        <v>50</v>
      </c>
      <c r="F1981">
        <v>49.452491760000001</v>
      </c>
      <c r="G1981">
        <v>1385.28125</v>
      </c>
      <c r="H1981">
        <v>1370.5560303</v>
      </c>
      <c r="I1981">
        <v>1289.5802002</v>
      </c>
      <c r="J1981">
        <v>1270.4718018000001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1468.1419920000001</v>
      </c>
      <c r="B1982" s="1">
        <f>DATE(2014,5,8) + TIME(3,24,28)</f>
        <v>41767.14199074074</v>
      </c>
      <c r="C1982">
        <v>80</v>
      </c>
      <c r="D1982">
        <v>79.964057921999995</v>
      </c>
      <c r="E1982">
        <v>50</v>
      </c>
      <c r="F1982">
        <v>49.437175750999998</v>
      </c>
      <c r="G1982">
        <v>1385.2255858999999</v>
      </c>
      <c r="H1982">
        <v>1370.512207</v>
      </c>
      <c r="I1982">
        <v>1289.5766602000001</v>
      </c>
      <c r="J1982">
        <v>1270.4667969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1468.383572</v>
      </c>
      <c r="B1983" s="1">
        <f>DATE(2014,5,8) + TIME(9,12,20)</f>
        <v>41767.383564814816</v>
      </c>
      <c r="C1983">
        <v>80</v>
      </c>
      <c r="D1983">
        <v>79.964202881000006</v>
      </c>
      <c r="E1983">
        <v>50</v>
      </c>
      <c r="F1983">
        <v>49.421607971</v>
      </c>
      <c r="G1983">
        <v>1385.1699219</v>
      </c>
      <c r="H1983">
        <v>1370.4685059000001</v>
      </c>
      <c r="I1983">
        <v>1289.572876</v>
      </c>
      <c r="J1983">
        <v>1270.4617920000001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1468.629958</v>
      </c>
      <c r="B1984" s="1">
        <f>DATE(2014,5,8) + TIME(15,7,8)</f>
        <v>41767.629953703705</v>
      </c>
      <c r="C1984">
        <v>80</v>
      </c>
      <c r="D1984">
        <v>79.964324950999995</v>
      </c>
      <c r="E1984">
        <v>50</v>
      </c>
      <c r="F1984">
        <v>49.405792236000003</v>
      </c>
      <c r="G1984">
        <v>1385.114624</v>
      </c>
      <c r="H1984">
        <v>1370.4251709</v>
      </c>
      <c r="I1984">
        <v>1289.5690918</v>
      </c>
      <c r="J1984">
        <v>1270.456543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1468.8817730000001</v>
      </c>
      <c r="B1985" s="1">
        <f>DATE(2014,5,8) + TIME(21,9,45)</f>
        <v>41767.88177083333</v>
      </c>
      <c r="C1985">
        <v>80</v>
      </c>
      <c r="D1985">
        <v>79.964416503999999</v>
      </c>
      <c r="E1985">
        <v>50</v>
      </c>
      <c r="F1985">
        <v>49.389694214000002</v>
      </c>
      <c r="G1985">
        <v>1385.0598144999999</v>
      </c>
      <c r="H1985">
        <v>1370.3820800999999</v>
      </c>
      <c r="I1985">
        <v>1289.5651855000001</v>
      </c>
      <c r="J1985">
        <v>1270.4512939000001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1469.1396769999999</v>
      </c>
      <c r="B1986" s="1">
        <f>DATE(2014,5,9) + TIME(3,21,8)</f>
        <v>41768.139675925922</v>
      </c>
      <c r="C1986">
        <v>80</v>
      </c>
      <c r="D1986">
        <v>79.964492797999995</v>
      </c>
      <c r="E1986">
        <v>50</v>
      </c>
      <c r="F1986">
        <v>49.373287200999997</v>
      </c>
      <c r="G1986">
        <v>1385.005249</v>
      </c>
      <c r="H1986">
        <v>1370.3393555</v>
      </c>
      <c r="I1986">
        <v>1289.5612793</v>
      </c>
      <c r="J1986">
        <v>1270.4459228999999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1469.404395</v>
      </c>
      <c r="B1987" s="1">
        <f>DATE(2014,5,9) + TIME(9,42,19)</f>
        <v>41768.404386574075</v>
      </c>
      <c r="C1987">
        <v>80</v>
      </c>
      <c r="D1987">
        <v>79.964553832999997</v>
      </c>
      <c r="E1987">
        <v>50</v>
      </c>
      <c r="F1987">
        <v>49.356544495000001</v>
      </c>
      <c r="G1987">
        <v>1384.9508057</v>
      </c>
      <c r="H1987">
        <v>1370.296875</v>
      </c>
      <c r="I1987">
        <v>1289.5571289</v>
      </c>
      <c r="J1987">
        <v>1270.4403076000001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1469.6767199999999</v>
      </c>
      <c r="B1988" s="1">
        <f>DATE(2014,5,9) + TIME(16,14,28)</f>
        <v>41768.676712962966</v>
      </c>
      <c r="C1988">
        <v>80</v>
      </c>
      <c r="D1988">
        <v>79.964607239000003</v>
      </c>
      <c r="E1988">
        <v>50</v>
      </c>
      <c r="F1988">
        <v>49.339420318999998</v>
      </c>
      <c r="G1988">
        <v>1384.8963623</v>
      </c>
      <c r="H1988">
        <v>1370.2542725000001</v>
      </c>
      <c r="I1988">
        <v>1289.5529785000001</v>
      </c>
      <c r="J1988">
        <v>1270.4346923999999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1469.9575380000001</v>
      </c>
      <c r="B1989" s="1">
        <f>DATE(2014,5,9) + TIME(22,58,51)</f>
        <v>41768.95753472222</v>
      </c>
      <c r="C1989">
        <v>80</v>
      </c>
      <c r="D1989">
        <v>79.964645386000001</v>
      </c>
      <c r="E1989">
        <v>50</v>
      </c>
      <c r="F1989">
        <v>49.321868895999998</v>
      </c>
      <c r="G1989">
        <v>1384.8417969</v>
      </c>
      <c r="H1989">
        <v>1370.2116699000001</v>
      </c>
      <c r="I1989">
        <v>1289.5487060999999</v>
      </c>
      <c r="J1989">
        <v>1270.4288329999999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1470.2480049999999</v>
      </c>
      <c r="B1990" s="1">
        <f>DATE(2014,5,10) + TIME(5,57,7)</f>
        <v>41769.247997685183</v>
      </c>
      <c r="C1990">
        <v>80</v>
      </c>
      <c r="D1990">
        <v>79.964675903</v>
      </c>
      <c r="E1990">
        <v>50</v>
      </c>
      <c r="F1990">
        <v>49.303840637</v>
      </c>
      <c r="G1990">
        <v>1384.7869873</v>
      </c>
      <c r="H1990">
        <v>1370.1689452999999</v>
      </c>
      <c r="I1990">
        <v>1289.5441894999999</v>
      </c>
      <c r="J1990">
        <v>1270.4227295000001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1470.5491750000001</v>
      </c>
      <c r="B1991" s="1">
        <f>DATE(2014,5,10) + TIME(13,10,48)</f>
        <v>41769.549166666664</v>
      </c>
      <c r="C1991">
        <v>80</v>
      </c>
      <c r="D1991">
        <v>79.964698791999993</v>
      </c>
      <c r="E1991">
        <v>50</v>
      </c>
      <c r="F1991">
        <v>49.285278320000003</v>
      </c>
      <c r="G1991">
        <v>1384.7318115</v>
      </c>
      <c r="H1991">
        <v>1370.1259766000001</v>
      </c>
      <c r="I1991">
        <v>1289.5396728999999</v>
      </c>
      <c r="J1991">
        <v>1270.4165039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1470.8578359999999</v>
      </c>
      <c r="B1992" s="1">
        <f>DATE(2014,5,10) + TIME(20,35,17)</f>
        <v>41769.857835648145</v>
      </c>
      <c r="C1992">
        <v>80</v>
      </c>
      <c r="D1992">
        <v>79.964714049999998</v>
      </c>
      <c r="E1992">
        <v>50</v>
      </c>
      <c r="F1992">
        <v>49.266307830999999</v>
      </c>
      <c r="G1992">
        <v>1384.6759033000001</v>
      </c>
      <c r="H1992">
        <v>1370.0823975000001</v>
      </c>
      <c r="I1992">
        <v>1289.5347899999999</v>
      </c>
      <c r="J1992">
        <v>1270.4100341999999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1471.170834</v>
      </c>
      <c r="B1993" s="1">
        <f>DATE(2014,5,11) + TIME(4,6,0)</f>
        <v>41770.17083333333</v>
      </c>
      <c r="C1993">
        <v>80</v>
      </c>
      <c r="D1993">
        <v>79.964721679999997</v>
      </c>
      <c r="E1993">
        <v>50</v>
      </c>
      <c r="F1993">
        <v>49.247074126999998</v>
      </c>
      <c r="G1993">
        <v>1384.6202393000001</v>
      </c>
      <c r="H1993">
        <v>1370.0390625</v>
      </c>
      <c r="I1993">
        <v>1289.5299072</v>
      </c>
      <c r="J1993">
        <v>1270.4033202999999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1471.487842</v>
      </c>
      <c r="B1994" s="1">
        <f>DATE(2014,5,11) + TIME(11,42,29)</f>
        <v>41770.487835648149</v>
      </c>
      <c r="C1994">
        <v>80</v>
      </c>
      <c r="D1994">
        <v>79.964729309000006</v>
      </c>
      <c r="E1994">
        <v>50</v>
      </c>
      <c r="F1994">
        <v>49.227619171000001</v>
      </c>
      <c r="G1994">
        <v>1384.5650635</v>
      </c>
      <c r="H1994">
        <v>1369.9962158000001</v>
      </c>
      <c r="I1994">
        <v>1289.5249022999999</v>
      </c>
      <c r="J1994">
        <v>1270.3966064000001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1471.808953</v>
      </c>
      <c r="B1995" s="1">
        <f>DATE(2014,5,11) + TIME(19,24,53)</f>
        <v>41770.808946759258</v>
      </c>
      <c r="C1995">
        <v>80</v>
      </c>
      <c r="D1995">
        <v>79.964729309000006</v>
      </c>
      <c r="E1995">
        <v>50</v>
      </c>
      <c r="F1995">
        <v>49.207958220999998</v>
      </c>
      <c r="G1995">
        <v>1384.5106201000001</v>
      </c>
      <c r="H1995">
        <v>1369.9538574000001</v>
      </c>
      <c r="I1995">
        <v>1289.5197754000001</v>
      </c>
      <c r="J1995">
        <v>1270.3897704999999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1472.1350789999999</v>
      </c>
      <c r="B1996" s="1">
        <f>DATE(2014,5,12) + TIME(3,14,30)</f>
        <v>41771.135069444441</v>
      </c>
      <c r="C1996">
        <v>80</v>
      </c>
      <c r="D1996">
        <v>79.964729309000006</v>
      </c>
      <c r="E1996">
        <v>50</v>
      </c>
      <c r="F1996">
        <v>49.188068389999998</v>
      </c>
      <c r="G1996">
        <v>1384.4567870999999</v>
      </c>
      <c r="H1996">
        <v>1369.9121094</v>
      </c>
      <c r="I1996">
        <v>1289.5146483999999</v>
      </c>
      <c r="J1996">
        <v>1270.3828125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1472.4671559999999</v>
      </c>
      <c r="B1997" s="1">
        <f>DATE(2014,5,12) + TIME(11,12,42)</f>
        <v>41771.467152777775</v>
      </c>
      <c r="C1997">
        <v>80</v>
      </c>
      <c r="D1997">
        <v>79.964721679999997</v>
      </c>
      <c r="E1997">
        <v>50</v>
      </c>
      <c r="F1997">
        <v>49.167915344000001</v>
      </c>
      <c r="G1997">
        <v>1384.4034423999999</v>
      </c>
      <c r="H1997">
        <v>1369.8707274999999</v>
      </c>
      <c r="I1997">
        <v>1289.5093993999999</v>
      </c>
      <c r="J1997">
        <v>1270.3757324000001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1472.8061709999999</v>
      </c>
      <c r="B1998" s="1">
        <f>DATE(2014,5,12) + TIME(19,20,53)</f>
        <v>41771.806168981479</v>
      </c>
      <c r="C1998">
        <v>80</v>
      </c>
      <c r="D1998">
        <v>79.964714049999998</v>
      </c>
      <c r="E1998">
        <v>50</v>
      </c>
      <c r="F1998">
        <v>49.147464751999998</v>
      </c>
      <c r="G1998">
        <v>1384.3504639</v>
      </c>
      <c r="H1998">
        <v>1369.8295897999999</v>
      </c>
      <c r="I1998">
        <v>1289.5040283000001</v>
      </c>
      <c r="J1998">
        <v>1270.3685303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1473.1531809999999</v>
      </c>
      <c r="B1999" s="1">
        <f>DATE(2014,5,13) + TIME(3,40,34)</f>
        <v>41772.153171296297</v>
      </c>
      <c r="C1999">
        <v>80</v>
      </c>
      <c r="D1999">
        <v>79.964706421000002</v>
      </c>
      <c r="E1999">
        <v>50</v>
      </c>
      <c r="F1999">
        <v>49.126663207999997</v>
      </c>
      <c r="G1999">
        <v>1384.2976074000001</v>
      </c>
      <c r="H1999">
        <v>1369.7885742000001</v>
      </c>
      <c r="I1999">
        <v>1289.4986572</v>
      </c>
      <c r="J1999">
        <v>1270.3610839999999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1473.509337</v>
      </c>
      <c r="B2000" s="1">
        <f>DATE(2014,5,13) + TIME(12,13,26)</f>
        <v>41772.509328703702</v>
      </c>
      <c r="C2000">
        <v>80</v>
      </c>
      <c r="D2000">
        <v>79.964698791999993</v>
      </c>
      <c r="E2000">
        <v>50</v>
      </c>
      <c r="F2000">
        <v>49.105461120999998</v>
      </c>
      <c r="G2000">
        <v>1384.2446289</v>
      </c>
      <c r="H2000">
        <v>1369.7475586</v>
      </c>
      <c r="I2000">
        <v>1289.4930420000001</v>
      </c>
      <c r="J2000">
        <v>1270.3535156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1473.8723010000001</v>
      </c>
      <c r="B2001" s="1">
        <f>DATE(2014,5,13) + TIME(20,56,6)</f>
        <v>41772.872291666667</v>
      </c>
      <c r="C2001">
        <v>80</v>
      </c>
      <c r="D2001">
        <v>79.964683532999999</v>
      </c>
      <c r="E2001">
        <v>50</v>
      </c>
      <c r="F2001">
        <v>49.083934784</v>
      </c>
      <c r="G2001">
        <v>1384.1916504000001</v>
      </c>
      <c r="H2001">
        <v>1369.706543</v>
      </c>
      <c r="I2001">
        <v>1289.4873047000001</v>
      </c>
      <c r="J2001">
        <v>1270.3457031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1474.2411239999999</v>
      </c>
      <c r="B2002" s="1">
        <f>DATE(2014,5,14) + TIME(5,47,13)</f>
        <v>41773.241122685184</v>
      </c>
      <c r="C2002">
        <v>80</v>
      </c>
      <c r="D2002">
        <v>79.964675903</v>
      </c>
      <c r="E2002">
        <v>50</v>
      </c>
      <c r="F2002">
        <v>49.062133789000001</v>
      </c>
      <c r="G2002">
        <v>1384.1387939000001</v>
      </c>
      <c r="H2002">
        <v>1369.6656493999999</v>
      </c>
      <c r="I2002">
        <v>1289.4814452999999</v>
      </c>
      <c r="J2002">
        <v>1270.3378906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1474.6167929999999</v>
      </c>
      <c r="B2003" s="1">
        <f>DATE(2014,5,14) + TIME(14,48,10)</f>
        <v>41773.616782407407</v>
      </c>
      <c r="C2003">
        <v>80</v>
      </c>
      <c r="D2003">
        <v>79.964660644999995</v>
      </c>
      <c r="E2003">
        <v>50</v>
      </c>
      <c r="F2003">
        <v>49.040031433000003</v>
      </c>
      <c r="G2003">
        <v>1384.0863036999999</v>
      </c>
      <c r="H2003">
        <v>1369.625</v>
      </c>
      <c r="I2003">
        <v>1289.4754639</v>
      </c>
      <c r="J2003">
        <v>1270.3297118999999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1475.000323</v>
      </c>
      <c r="B2004" s="1">
        <f>DATE(2014,5,15) + TIME(0,0,27)</f>
        <v>41774.0003125</v>
      </c>
      <c r="C2004">
        <v>80</v>
      </c>
      <c r="D2004">
        <v>79.964645386000001</v>
      </c>
      <c r="E2004">
        <v>50</v>
      </c>
      <c r="F2004">
        <v>49.017597197999997</v>
      </c>
      <c r="G2004">
        <v>1384.0340576000001</v>
      </c>
      <c r="H2004">
        <v>1369.5845947</v>
      </c>
      <c r="I2004">
        <v>1289.4693603999999</v>
      </c>
      <c r="J2004">
        <v>1270.3215332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1475.3928089999999</v>
      </c>
      <c r="B2005" s="1">
        <f>DATE(2014,5,15) + TIME(9,25,38)</f>
        <v>41774.392800925925</v>
      </c>
      <c r="C2005">
        <v>80</v>
      </c>
      <c r="D2005">
        <v>79.964630127000007</v>
      </c>
      <c r="E2005">
        <v>50</v>
      </c>
      <c r="F2005">
        <v>48.994777679000002</v>
      </c>
      <c r="G2005">
        <v>1383.9818115</v>
      </c>
      <c r="H2005">
        <v>1369.5441894999999</v>
      </c>
      <c r="I2005">
        <v>1289.4631348</v>
      </c>
      <c r="J2005">
        <v>1270.3131103999999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1475.7954460000001</v>
      </c>
      <c r="B2006" s="1">
        <f>DATE(2014,5,15) + TIME(19,5,26)</f>
        <v>41774.795439814814</v>
      </c>
      <c r="C2006">
        <v>80</v>
      </c>
      <c r="D2006">
        <v>79.964622497999997</v>
      </c>
      <c r="E2006">
        <v>50</v>
      </c>
      <c r="F2006">
        <v>48.971530913999999</v>
      </c>
      <c r="G2006">
        <v>1383.9295654</v>
      </c>
      <c r="H2006">
        <v>1369.5037841999999</v>
      </c>
      <c r="I2006">
        <v>1289.4567870999999</v>
      </c>
      <c r="J2006">
        <v>1270.3044434000001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1476.2061650000001</v>
      </c>
      <c r="B2007" s="1">
        <f>DATE(2014,5,16) + TIME(4,56,52)</f>
        <v>41775.206157407411</v>
      </c>
      <c r="C2007">
        <v>80</v>
      </c>
      <c r="D2007">
        <v>79.964607239000003</v>
      </c>
      <c r="E2007">
        <v>50</v>
      </c>
      <c r="F2007">
        <v>48.947917938000003</v>
      </c>
      <c r="G2007">
        <v>1383.8771973</v>
      </c>
      <c r="H2007">
        <v>1369.4632568</v>
      </c>
      <c r="I2007">
        <v>1289.4501952999999</v>
      </c>
      <c r="J2007">
        <v>1270.2956543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1476.6258700000001</v>
      </c>
      <c r="B2008" s="1">
        <f>DATE(2014,5,16) + TIME(15,1,15)</f>
        <v>41775.625868055555</v>
      </c>
      <c r="C2008">
        <v>80</v>
      </c>
      <c r="D2008">
        <v>79.964591979999994</v>
      </c>
      <c r="E2008">
        <v>50</v>
      </c>
      <c r="F2008">
        <v>48.923912047999998</v>
      </c>
      <c r="G2008">
        <v>1383.8248291</v>
      </c>
      <c r="H2008">
        <v>1369.4227295000001</v>
      </c>
      <c r="I2008">
        <v>1289.4434814000001</v>
      </c>
      <c r="J2008">
        <v>1270.2866211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1477.0557429999999</v>
      </c>
      <c r="B2009" s="1">
        <f>DATE(2014,5,17) + TIME(1,20,16)</f>
        <v>41776.05574074074</v>
      </c>
      <c r="C2009">
        <v>80</v>
      </c>
      <c r="D2009">
        <v>79.964576721</v>
      </c>
      <c r="E2009">
        <v>50</v>
      </c>
      <c r="F2009">
        <v>48.899478911999999</v>
      </c>
      <c r="G2009">
        <v>1383.7725829999999</v>
      </c>
      <c r="H2009">
        <v>1369.3823242000001</v>
      </c>
      <c r="I2009">
        <v>1289.4366454999999</v>
      </c>
      <c r="J2009">
        <v>1270.2773437999999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1477.4923670000001</v>
      </c>
      <c r="B2010" s="1">
        <f>DATE(2014,5,17) + TIME(11,49,0)</f>
        <v>41776.492361111108</v>
      </c>
      <c r="C2010">
        <v>80</v>
      </c>
      <c r="D2010">
        <v>79.964561462000006</v>
      </c>
      <c r="E2010">
        <v>50</v>
      </c>
      <c r="F2010">
        <v>48.874729156000001</v>
      </c>
      <c r="G2010">
        <v>1383.7200928</v>
      </c>
      <c r="H2010">
        <v>1369.3417969</v>
      </c>
      <c r="I2010">
        <v>1289.4295654</v>
      </c>
      <c r="J2010">
        <v>1270.2678223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1477.935426</v>
      </c>
      <c r="B2011" s="1">
        <f>DATE(2014,5,17) + TIME(22,27,0)</f>
        <v>41776.935416666667</v>
      </c>
      <c r="C2011">
        <v>80</v>
      </c>
      <c r="D2011">
        <v>79.964546204000001</v>
      </c>
      <c r="E2011">
        <v>50</v>
      </c>
      <c r="F2011">
        <v>48.849697112999998</v>
      </c>
      <c r="G2011">
        <v>1383.6678466999999</v>
      </c>
      <c r="H2011">
        <v>1369.3013916</v>
      </c>
      <c r="I2011">
        <v>1289.4223632999999</v>
      </c>
      <c r="J2011">
        <v>1270.2581786999999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1478.3862999999999</v>
      </c>
      <c r="B2012" s="1">
        <f>DATE(2014,5,18) + TIME(9,16,16)</f>
        <v>41777.386296296296</v>
      </c>
      <c r="C2012">
        <v>80</v>
      </c>
      <c r="D2012">
        <v>79.964530945000007</v>
      </c>
      <c r="E2012">
        <v>50</v>
      </c>
      <c r="F2012">
        <v>48.824356078999998</v>
      </c>
      <c r="G2012">
        <v>1383.6160889</v>
      </c>
      <c r="H2012">
        <v>1369.2613524999999</v>
      </c>
      <c r="I2012">
        <v>1289.4151611</v>
      </c>
      <c r="J2012">
        <v>1270.2482910000001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1478.8464309999999</v>
      </c>
      <c r="B2013" s="1">
        <f>DATE(2014,5,18) + TIME(20,18,51)</f>
        <v>41777.84642361111</v>
      </c>
      <c r="C2013">
        <v>80</v>
      </c>
      <c r="D2013">
        <v>79.964515685999999</v>
      </c>
      <c r="E2013">
        <v>50</v>
      </c>
      <c r="F2013">
        <v>48.798664092999999</v>
      </c>
      <c r="G2013">
        <v>1383.5644531</v>
      </c>
      <c r="H2013">
        <v>1369.2214355000001</v>
      </c>
      <c r="I2013">
        <v>1289.4077147999999</v>
      </c>
      <c r="J2013">
        <v>1270.2382812000001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1479.3173730000001</v>
      </c>
      <c r="B2014" s="1">
        <f>DATE(2014,5,19) + TIME(7,37,1)</f>
        <v>41778.317372685182</v>
      </c>
      <c r="C2014">
        <v>80</v>
      </c>
      <c r="D2014">
        <v>79.964500427000004</v>
      </c>
      <c r="E2014">
        <v>50</v>
      </c>
      <c r="F2014">
        <v>48.772556305000002</v>
      </c>
      <c r="G2014">
        <v>1383.5128173999999</v>
      </c>
      <c r="H2014">
        <v>1369.1815185999999</v>
      </c>
      <c r="I2014">
        <v>1289.4001464999999</v>
      </c>
      <c r="J2014">
        <v>1270.2280272999999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1479.8010750000001</v>
      </c>
      <c r="B2015" s="1">
        <f>DATE(2014,5,19) + TIME(19,13,32)</f>
        <v>41778.801064814812</v>
      </c>
      <c r="C2015">
        <v>80</v>
      </c>
      <c r="D2015">
        <v>79.964485167999996</v>
      </c>
      <c r="E2015">
        <v>50</v>
      </c>
      <c r="F2015">
        <v>48.745960236000002</v>
      </c>
      <c r="G2015">
        <v>1383.4609375</v>
      </c>
      <c r="H2015">
        <v>1369.1414795000001</v>
      </c>
      <c r="I2015">
        <v>1289.3923339999999</v>
      </c>
      <c r="J2015">
        <v>1270.2174072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1480.298311</v>
      </c>
      <c r="B2016" s="1">
        <f>DATE(2014,5,20) + TIME(7,9,34)</f>
        <v>41779.298310185186</v>
      </c>
      <c r="C2016">
        <v>80</v>
      </c>
      <c r="D2016">
        <v>79.964469910000005</v>
      </c>
      <c r="E2016">
        <v>50</v>
      </c>
      <c r="F2016">
        <v>48.718822479000004</v>
      </c>
      <c r="G2016">
        <v>1383.4089355000001</v>
      </c>
      <c r="H2016">
        <v>1369.1011963000001</v>
      </c>
      <c r="I2016">
        <v>1289.3842772999999</v>
      </c>
      <c r="J2016">
        <v>1270.206543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1480.7997359999999</v>
      </c>
      <c r="B2017" s="1">
        <f>DATE(2014,5,20) + TIME(19,11,37)</f>
        <v>41779.799733796295</v>
      </c>
      <c r="C2017">
        <v>80</v>
      </c>
      <c r="D2017">
        <v>79.964462280000006</v>
      </c>
      <c r="E2017">
        <v>50</v>
      </c>
      <c r="F2017">
        <v>48.691425322999997</v>
      </c>
      <c r="G2017">
        <v>1383.3564452999999</v>
      </c>
      <c r="H2017">
        <v>1369.0605469</v>
      </c>
      <c r="I2017">
        <v>1289.3759766000001</v>
      </c>
      <c r="J2017">
        <v>1270.1954346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1481.3066710000001</v>
      </c>
      <c r="B2018" s="1">
        <f>DATE(2014,5,21) + TIME(7,21,36)</f>
        <v>41780.306666666664</v>
      </c>
      <c r="C2018">
        <v>80</v>
      </c>
      <c r="D2018">
        <v>79.964447020999998</v>
      </c>
      <c r="E2018">
        <v>50</v>
      </c>
      <c r="F2018">
        <v>48.663803100999999</v>
      </c>
      <c r="G2018">
        <v>1383.3045654</v>
      </c>
      <c r="H2018">
        <v>1369.0205077999999</v>
      </c>
      <c r="I2018">
        <v>1289.3676757999999</v>
      </c>
      <c r="J2018">
        <v>1270.1842041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1481.8203960000001</v>
      </c>
      <c r="B2019" s="1">
        <f>DATE(2014,5,21) + TIME(19,41,22)</f>
        <v>41780.820393518516</v>
      </c>
      <c r="C2019">
        <v>80</v>
      </c>
      <c r="D2019">
        <v>79.964431762999993</v>
      </c>
      <c r="E2019">
        <v>50</v>
      </c>
      <c r="F2019">
        <v>48.635948181000003</v>
      </c>
      <c r="G2019">
        <v>1383.2530518000001</v>
      </c>
      <c r="H2019">
        <v>1368.9807129000001</v>
      </c>
      <c r="I2019">
        <v>1289.3591309000001</v>
      </c>
      <c r="J2019">
        <v>1270.1727295000001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1482.3422290000001</v>
      </c>
      <c r="B2020" s="1">
        <f>DATE(2014,5,22) + TIME(8,12,48)</f>
        <v>41781.342222222222</v>
      </c>
      <c r="C2020">
        <v>80</v>
      </c>
      <c r="D2020">
        <v>79.964416503999999</v>
      </c>
      <c r="E2020">
        <v>50</v>
      </c>
      <c r="F2020">
        <v>48.607833862</v>
      </c>
      <c r="G2020">
        <v>1383.2020264</v>
      </c>
      <c r="H2020">
        <v>1368.9411620999999</v>
      </c>
      <c r="I2020">
        <v>1289.3505858999999</v>
      </c>
      <c r="J2020">
        <v>1270.1610106999999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1482.873562</v>
      </c>
      <c r="B2021" s="1">
        <f>DATE(2014,5,22) + TIME(20,57,55)</f>
        <v>41781.873553240737</v>
      </c>
      <c r="C2021">
        <v>80</v>
      </c>
      <c r="D2021">
        <v>79.964408875000004</v>
      </c>
      <c r="E2021">
        <v>50</v>
      </c>
      <c r="F2021">
        <v>48.579410553000002</v>
      </c>
      <c r="G2021">
        <v>1383.1511230000001</v>
      </c>
      <c r="H2021">
        <v>1368.9017334</v>
      </c>
      <c r="I2021">
        <v>1289.3417969</v>
      </c>
      <c r="J2021">
        <v>1270.1491699000001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1483.4158829999999</v>
      </c>
      <c r="B2022" s="1">
        <f>DATE(2014,5,23) + TIME(9,58,52)</f>
        <v>41782.415879629632</v>
      </c>
      <c r="C2022">
        <v>80</v>
      </c>
      <c r="D2022">
        <v>79.964393615999995</v>
      </c>
      <c r="E2022">
        <v>50</v>
      </c>
      <c r="F2022">
        <v>48.550621032999999</v>
      </c>
      <c r="G2022">
        <v>1383.1002197</v>
      </c>
      <c r="H2022">
        <v>1368.8623047000001</v>
      </c>
      <c r="I2022">
        <v>1289.3328856999999</v>
      </c>
      <c r="J2022">
        <v>1270.1370850000001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1483.9707969999999</v>
      </c>
      <c r="B2023" s="1">
        <f>DATE(2014,5,23) + TIME(23,17,56)</f>
        <v>41782.97078703704</v>
      </c>
      <c r="C2023">
        <v>80</v>
      </c>
      <c r="D2023">
        <v>79.964385985999996</v>
      </c>
      <c r="E2023">
        <v>50</v>
      </c>
      <c r="F2023">
        <v>48.521400452000002</v>
      </c>
      <c r="G2023">
        <v>1383.0493164</v>
      </c>
      <c r="H2023">
        <v>1368.822876</v>
      </c>
      <c r="I2023">
        <v>1289.3237305</v>
      </c>
      <c r="J2023">
        <v>1270.1246338000001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1484.536036</v>
      </c>
      <c r="B2024" s="1">
        <f>DATE(2014,5,24) + TIME(12,51,53)</f>
        <v>41783.536030092589</v>
      </c>
      <c r="C2024">
        <v>80</v>
      </c>
      <c r="D2024">
        <v>79.964370728000006</v>
      </c>
      <c r="E2024">
        <v>50</v>
      </c>
      <c r="F2024">
        <v>48.491786957000002</v>
      </c>
      <c r="G2024">
        <v>1382.9982910000001</v>
      </c>
      <c r="H2024">
        <v>1368.7833252</v>
      </c>
      <c r="I2024">
        <v>1289.3143310999999</v>
      </c>
      <c r="J2024">
        <v>1270.1118164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1485.1118140000001</v>
      </c>
      <c r="B2025" s="1">
        <f>DATE(2014,5,25) + TIME(2,41,0)</f>
        <v>41784.111805555556</v>
      </c>
      <c r="C2025">
        <v>80</v>
      </c>
      <c r="D2025">
        <v>79.964363098000007</v>
      </c>
      <c r="E2025">
        <v>50</v>
      </c>
      <c r="F2025">
        <v>48.461791992000002</v>
      </c>
      <c r="G2025">
        <v>1382.9471435999999</v>
      </c>
      <c r="H2025">
        <v>1368.7436522999999</v>
      </c>
      <c r="I2025">
        <v>1289.3046875</v>
      </c>
      <c r="J2025">
        <v>1270.0987548999999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1485.700077</v>
      </c>
      <c r="B2026" s="1">
        <f>DATE(2014,5,25) + TIME(16,48,6)</f>
        <v>41784.700069444443</v>
      </c>
      <c r="C2026">
        <v>80</v>
      </c>
      <c r="D2026">
        <v>79.964347838999998</v>
      </c>
      <c r="E2026">
        <v>50</v>
      </c>
      <c r="F2026">
        <v>48.431362151999998</v>
      </c>
      <c r="G2026">
        <v>1382.8961182</v>
      </c>
      <c r="H2026">
        <v>1368.7039795000001</v>
      </c>
      <c r="I2026">
        <v>1289.2947998</v>
      </c>
      <c r="J2026">
        <v>1270.0854492000001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1486.3032069999999</v>
      </c>
      <c r="B2027" s="1">
        <f>DATE(2014,5,26) + TIME(7,16,37)</f>
        <v>41785.303206018521</v>
      </c>
      <c r="C2027">
        <v>80</v>
      </c>
      <c r="D2027">
        <v>79.964340210000003</v>
      </c>
      <c r="E2027">
        <v>50</v>
      </c>
      <c r="F2027">
        <v>48.400421143000003</v>
      </c>
      <c r="G2027">
        <v>1382.8448486</v>
      </c>
      <c r="H2027">
        <v>1368.6641846</v>
      </c>
      <c r="I2027">
        <v>1289.2847899999999</v>
      </c>
      <c r="J2027">
        <v>1270.0716553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1486.917811</v>
      </c>
      <c r="B2028" s="1">
        <f>DATE(2014,5,26) + TIME(22,1,38)</f>
        <v>41785.917800925927</v>
      </c>
      <c r="C2028">
        <v>80</v>
      </c>
      <c r="D2028">
        <v>79.964332580999994</v>
      </c>
      <c r="E2028">
        <v>50</v>
      </c>
      <c r="F2028">
        <v>48.369037628000001</v>
      </c>
      <c r="G2028">
        <v>1382.7933350000001</v>
      </c>
      <c r="H2028">
        <v>1368.6241454999999</v>
      </c>
      <c r="I2028">
        <v>1289.2744141000001</v>
      </c>
      <c r="J2028">
        <v>1270.0576172000001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1487.5443680000001</v>
      </c>
      <c r="B2029" s="1">
        <f>DATE(2014,5,27) + TIME(13,3,53)</f>
        <v>41786.544363425928</v>
      </c>
      <c r="C2029">
        <v>80</v>
      </c>
      <c r="D2029">
        <v>79.964317321999999</v>
      </c>
      <c r="E2029">
        <v>50</v>
      </c>
      <c r="F2029">
        <v>48.337219238000003</v>
      </c>
      <c r="G2029">
        <v>1382.7416992000001</v>
      </c>
      <c r="H2029">
        <v>1368.5841064000001</v>
      </c>
      <c r="I2029">
        <v>1289.2637939000001</v>
      </c>
      <c r="J2029">
        <v>1270.0430908000001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1488.1849480000001</v>
      </c>
      <c r="B2030" s="1">
        <f>DATE(2014,5,28) + TIME(4,26,19)</f>
        <v>41787.184942129628</v>
      </c>
      <c r="C2030">
        <v>80</v>
      </c>
      <c r="D2030">
        <v>79.964309692</v>
      </c>
      <c r="E2030">
        <v>50</v>
      </c>
      <c r="F2030">
        <v>48.304927825999997</v>
      </c>
      <c r="G2030">
        <v>1382.6900635</v>
      </c>
      <c r="H2030">
        <v>1368.5439452999999</v>
      </c>
      <c r="I2030">
        <v>1289.2529297000001</v>
      </c>
      <c r="J2030">
        <v>1270.0283202999999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1488.8372139999999</v>
      </c>
      <c r="B2031" s="1">
        <f>DATE(2014,5,28) + TIME(20,5,35)</f>
        <v>41787.837210648147</v>
      </c>
      <c r="C2031">
        <v>80</v>
      </c>
      <c r="D2031">
        <v>79.964302063000005</v>
      </c>
      <c r="E2031">
        <v>50</v>
      </c>
      <c r="F2031">
        <v>48.272205352999997</v>
      </c>
      <c r="G2031">
        <v>1382.6383057</v>
      </c>
      <c r="H2031">
        <v>1368.5035399999999</v>
      </c>
      <c r="I2031">
        <v>1289.2416992000001</v>
      </c>
      <c r="J2031">
        <v>1270.0130615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1489.492561</v>
      </c>
      <c r="B2032" s="1">
        <f>DATE(2014,5,29) + TIME(11,49,17)</f>
        <v>41788.49255787037</v>
      </c>
      <c r="C2032">
        <v>80</v>
      </c>
      <c r="D2032">
        <v>79.964294433999996</v>
      </c>
      <c r="E2032">
        <v>50</v>
      </c>
      <c r="F2032">
        <v>48.239303589000002</v>
      </c>
      <c r="G2032">
        <v>1382.5864257999999</v>
      </c>
      <c r="H2032">
        <v>1368.4632568</v>
      </c>
      <c r="I2032">
        <v>1289.2302245999999</v>
      </c>
      <c r="J2032">
        <v>1269.9974365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1490.1530789999999</v>
      </c>
      <c r="B2033" s="1">
        <f>DATE(2014,5,30) + TIME(3,40,26)</f>
        <v>41789.153078703705</v>
      </c>
      <c r="C2033">
        <v>80</v>
      </c>
      <c r="D2033">
        <v>79.964279175000001</v>
      </c>
      <c r="E2033">
        <v>50</v>
      </c>
      <c r="F2033">
        <v>48.206279754999997</v>
      </c>
      <c r="G2033">
        <v>1382.5352783000001</v>
      </c>
      <c r="H2033">
        <v>1368.4233397999999</v>
      </c>
      <c r="I2033">
        <v>1289.2186279</v>
      </c>
      <c r="J2033">
        <v>1269.9816894999999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1490.820841</v>
      </c>
      <c r="B2034" s="1">
        <f>DATE(2014,5,30) + TIME(19,42,0)</f>
        <v>41789.820833333331</v>
      </c>
      <c r="C2034">
        <v>80</v>
      </c>
      <c r="D2034">
        <v>79.964271545000003</v>
      </c>
      <c r="E2034">
        <v>50</v>
      </c>
      <c r="F2034">
        <v>48.173114777000002</v>
      </c>
      <c r="G2034">
        <v>1382.4846190999999</v>
      </c>
      <c r="H2034">
        <v>1368.3837891000001</v>
      </c>
      <c r="I2034">
        <v>1289.2069091999999</v>
      </c>
      <c r="J2034">
        <v>1269.9656981999999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1491.4979519999999</v>
      </c>
      <c r="B2035" s="1">
        <f>DATE(2014,5,31) + TIME(11,57,3)</f>
        <v>41790.49795138889</v>
      </c>
      <c r="C2035">
        <v>80</v>
      </c>
      <c r="D2035">
        <v>79.964263915999993</v>
      </c>
      <c r="E2035">
        <v>50</v>
      </c>
      <c r="F2035">
        <v>48.139755248999997</v>
      </c>
      <c r="G2035">
        <v>1382.4343262</v>
      </c>
      <c r="H2035">
        <v>1368.3444824000001</v>
      </c>
      <c r="I2035">
        <v>1289.1950684000001</v>
      </c>
      <c r="J2035">
        <v>1269.9493408000001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1492</v>
      </c>
      <c r="B2036" s="1">
        <f>DATE(2014,6,1) + TIME(0,0,0)</f>
        <v>41791</v>
      </c>
      <c r="C2036">
        <v>80</v>
      </c>
      <c r="D2036">
        <v>79.964256286999998</v>
      </c>
      <c r="E2036">
        <v>50</v>
      </c>
      <c r="F2036">
        <v>48.111450195000003</v>
      </c>
      <c r="G2036">
        <v>1382.3841553</v>
      </c>
      <c r="H2036">
        <v>1368.3052978999999</v>
      </c>
      <c r="I2036">
        <v>1289.1823730000001</v>
      </c>
      <c r="J2036">
        <v>1269.9331055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1492.6886489999999</v>
      </c>
      <c r="B2037" s="1">
        <f>DATE(2014,6,1) + TIME(16,31,39)</f>
        <v>41791.688645833332</v>
      </c>
      <c r="C2037">
        <v>80</v>
      </c>
      <c r="D2037">
        <v>79.964256286999998</v>
      </c>
      <c r="E2037">
        <v>50</v>
      </c>
      <c r="F2037">
        <v>48.079650878999999</v>
      </c>
      <c r="G2037">
        <v>1382.3474120999999</v>
      </c>
      <c r="H2037">
        <v>1368.2766113</v>
      </c>
      <c r="I2037">
        <v>1289.1739502</v>
      </c>
      <c r="J2037">
        <v>1269.9199219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1493.3983679999999</v>
      </c>
      <c r="B2038" s="1">
        <f>DATE(2014,6,2) + TIME(9,33,39)</f>
        <v>41792.398368055554</v>
      </c>
      <c r="C2038">
        <v>80</v>
      </c>
      <c r="D2038">
        <v>79.964248656999999</v>
      </c>
      <c r="E2038">
        <v>50</v>
      </c>
      <c r="F2038">
        <v>48.046493529999999</v>
      </c>
      <c r="G2038">
        <v>1382.2980957</v>
      </c>
      <c r="H2038">
        <v>1368.2379149999999</v>
      </c>
      <c r="I2038">
        <v>1289.1613769999999</v>
      </c>
      <c r="J2038">
        <v>1269.902832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1494.1212539999999</v>
      </c>
      <c r="B2039" s="1">
        <f>DATE(2014,6,3) + TIME(2,54,36)</f>
        <v>41793.121249999997</v>
      </c>
      <c r="C2039">
        <v>80</v>
      </c>
      <c r="D2039">
        <v>79.964241028000004</v>
      </c>
      <c r="E2039">
        <v>50</v>
      </c>
      <c r="F2039">
        <v>48.012428284000002</v>
      </c>
      <c r="G2039">
        <v>1382.2478027</v>
      </c>
      <c r="H2039">
        <v>1368.1986084</v>
      </c>
      <c r="I2039">
        <v>1289.1484375</v>
      </c>
      <c r="J2039">
        <v>1269.8851318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1494.859526</v>
      </c>
      <c r="B2040" s="1">
        <f>DATE(2014,6,3) + TIME(20,37,43)</f>
        <v>41793.859525462962</v>
      </c>
      <c r="C2040">
        <v>80</v>
      </c>
      <c r="D2040">
        <v>79.964233398000005</v>
      </c>
      <c r="E2040">
        <v>50</v>
      </c>
      <c r="F2040">
        <v>47.977649689000003</v>
      </c>
      <c r="G2040">
        <v>1382.1975098</v>
      </c>
      <c r="H2040">
        <v>1368.1591797000001</v>
      </c>
      <c r="I2040">
        <v>1289.1351318</v>
      </c>
      <c r="J2040">
        <v>1269.8668213000001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1495.6154100000001</v>
      </c>
      <c r="B2041" s="1">
        <f>DATE(2014,6,4) + TIME(14,46,11)</f>
        <v>41794.615405092591</v>
      </c>
      <c r="C2041">
        <v>80</v>
      </c>
      <c r="D2041">
        <v>79.964233398000005</v>
      </c>
      <c r="E2041">
        <v>50</v>
      </c>
      <c r="F2041">
        <v>47.942211151000002</v>
      </c>
      <c r="G2041">
        <v>1382.1469727000001</v>
      </c>
      <c r="H2041">
        <v>1368.1195068</v>
      </c>
      <c r="I2041">
        <v>1289.1214600000001</v>
      </c>
      <c r="J2041">
        <v>1269.8479004000001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1496.3913640000001</v>
      </c>
      <c r="B2042" s="1">
        <f>DATE(2014,6,5) + TIME(9,23,33)</f>
        <v>41795.39135416667</v>
      </c>
      <c r="C2042">
        <v>80</v>
      </c>
      <c r="D2042">
        <v>79.964225768999995</v>
      </c>
      <c r="E2042">
        <v>50</v>
      </c>
      <c r="F2042">
        <v>47.906089782999999</v>
      </c>
      <c r="G2042">
        <v>1382.0961914</v>
      </c>
      <c r="H2042">
        <v>1368.0795897999999</v>
      </c>
      <c r="I2042">
        <v>1289.1072998</v>
      </c>
      <c r="J2042">
        <v>1269.8283690999999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1497.176473</v>
      </c>
      <c r="B2043" s="1">
        <f>DATE(2014,6,6) + TIME(4,14,7)</f>
        <v>41796.176469907405</v>
      </c>
      <c r="C2043">
        <v>80</v>
      </c>
      <c r="D2043">
        <v>79.964225768999995</v>
      </c>
      <c r="E2043">
        <v>50</v>
      </c>
      <c r="F2043">
        <v>47.869514465000002</v>
      </c>
      <c r="G2043">
        <v>1382.0447998</v>
      </c>
      <c r="H2043">
        <v>1368.0391846</v>
      </c>
      <c r="I2043">
        <v>1289.0927733999999</v>
      </c>
      <c r="J2043">
        <v>1269.8081055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1497.96657</v>
      </c>
      <c r="B2044" s="1">
        <f>DATE(2014,6,6) + TIME(23,11,51)</f>
        <v>41796.966562499998</v>
      </c>
      <c r="C2044">
        <v>80</v>
      </c>
      <c r="D2044">
        <v>79.96421814</v>
      </c>
      <c r="E2044">
        <v>50</v>
      </c>
      <c r="F2044">
        <v>47.832714080999999</v>
      </c>
      <c r="G2044">
        <v>1381.9936522999999</v>
      </c>
      <c r="H2044">
        <v>1367.9989014</v>
      </c>
      <c r="I2044">
        <v>1289.0777588000001</v>
      </c>
      <c r="J2044">
        <v>1269.7874756000001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1498.7642530000001</v>
      </c>
      <c r="B2045" s="1">
        <f>DATE(2014,6,7) + TIME(18,20,31)</f>
        <v>41797.764247685183</v>
      </c>
      <c r="C2045">
        <v>80</v>
      </c>
      <c r="D2045">
        <v>79.96421814</v>
      </c>
      <c r="E2045">
        <v>50</v>
      </c>
      <c r="F2045">
        <v>47.795753478999998</v>
      </c>
      <c r="G2045">
        <v>1381.9429932</v>
      </c>
      <c r="H2045">
        <v>1367.9591064000001</v>
      </c>
      <c r="I2045">
        <v>1289.0626221</v>
      </c>
      <c r="J2045">
        <v>1269.7664795000001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1499.572126</v>
      </c>
      <c r="B2046" s="1">
        <f>DATE(2014,6,8) + TIME(13,43,51)</f>
        <v>41798.572118055556</v>
      </c>
      <c r="C2046">
        <v>80</v>
      </c>
      <c r="D2046">
        <v>79.964210510000001</v>
      </c>
      <c r="E2046">
        <v>50</v>
      </c>
      <c r="F2046">
        <v>47.758605957</v>
      </c>
      <c r="G2046">
        <v>1381.8927002</v>
      </c>
      <c r="H2046">
        <v>1367.9194336</v>
      </c>
      <c r="I2046">
        <v>1289.0472411999999</v>
      </c>
      <c r="J2046">
        <v>1269.7448730000001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1500.392889</v>
      </c>
      <c r="B2047" s="1">
        <f>DATE(2014,6,9) + TIME(9,25,45)</f>
        <v>41799.392881944441</v>
      </c>
      <c r="C2047">
        <v>80</v>
      </c>
      <c r="D2047">
        <v>79.964210510000001</v>
      </c>
      <c r="E2047">
        <v>50</v>
      </c>
      <c r="F2047">
        <v>47.721191406000003</v>
      </c>
      <c r="G2047">
        <v>1381.8426514</v>
      </c>
      <c r="H2047">
        <v>1367.8797606999999</v>
      </c>
      <c r="I2047">
        <v>1289.0314940999999</v>
      </c>
      <c r="J2047">
        <v>1269.7229004000001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1501.226964</v>
      </c>
      <c r="B2048" s="1">
        <f>DATE(2014,6,10) + TIME(5,26,49)</f>
        <v>41800.226956018516</v>
      </c>
      <c r="C2048">
        <v>80</v>
      </c>
      <c r="D2048">
        <v>79.964202881000006</v>
      </c>
      <c r="E2048">
        <v>50</v>
      </c>
      <c r="F2048">
        <v>47.683460236000002</v>
      </c>
      <c r="G2048">
        <v>1381.7924805</v>
      </c>
      <c r="H2048">
        <v>1367.8400879000001</v>
      </c>
      <c r="I2048">
        <v>1289.0153809000001</v>
      </c>
      <c r="J2048">
        <v>1269.7001952999999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1502.0718890000001</v>
      </c>
      <c r="B2049" s="1">
        <f>DATE(2014,6,11) + TIME(1,43,31)</f>
        <v>41801.071886574071</v>
      </c>
      <c r="C2049">
        <v>80</v>
      </c>
      <c r="D2049">
        <v>79.964202881000006</v>
      </c>
      <c r="E2049">
        <v>50</v>
      </c>
      <c r="F2049">
        <v>47.645439148000001</v>
      </c>
      <c r="G2049">
        <v>1381.7423096</v>
      </c>
      <c r="H2049">
        <v>1367.8004149999999</v>
      </c>
      <c r="I2049">
        <v>1288.9987793</v>
      </c>
      <c r="J2049">
        <v>1269.6770019999999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1502.9302909999999</v>
      </c>
      <c r="B2050" s="1">
        <f>DATE(2014,6,11) + TIME(22,19,37)</f>
        <v>41801.930289351854</v>
      </c>
      <c r="C2050">
        <v>80</v>
      </c>
      <c r="D2050">
        <v>79.964202881000006</v>
      </c>
      <c r="E2050">
        <v>50</v>
      </c>
      <c r="F2050">
        <v>47.607101440000001</v>
      </c>
      <c r="G2050">
        <v>1381.6922606999999</v>
      </c>
      <c r="H2050">
        <v>1367.7607422000001</v>
      </c>
      <c r="I2050">
        <v>1288.9818115</v>
      </c>
      <c r="J2050">
        <v>1269.6530762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1503.804889</v>
      </c>
      <c r="B2051" s="1">
        <f>DATE(2014,6,12) + TIME(19,19,2)</f>
        <v>41802.804884259262</v>
      </c>
      <c r="C2051">
        <v>80</v>
      </c>
      <c r="D2051">
        <v>79.964202881000006</v>
      </c>
      <c r="E2051">
        <v>50</v>
      </c>
      <c r="F2051">
        <v>47.568370819000002</v>
      </c>
      <c r="G2051">
        <v>1381.6422118999999</v>
      </c>
      <c r="H2051">
        <v>1367.7210693</v>
      </c>
      <c r="I2051">
        <v>1288.9643555</v>
      </c>
      <c r="J2051">
        <v>1269.628418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1504.6968460000001</v>
      </c>
      <c r="B2052" s="1">
        <f>DATE(2014,6,13) + TIME(16,43,27)</f>
        <v>41803.696840277778</v>
      </c>
      <c r="C2052">
        <v>80</v>
      </c>
      <c r="D2052">
        <v>79.964202881000006</v>
      </c>
      <c r="E2052">
        <v>50</v>
      </c>
      <c r="F2052">
        <v>47.529182433999999</v>
      </c>
      <c r="G2052">
        <v>1381.5919189000001</v>
      </c>
      <c r="H2052">
        <v>1367.6811522999999</v>
      </c>
      <c r="I2052">
        <v>1288.9464111</v>
      </c>
      <c r="J2052">
        <v>1269.6031493999999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1505.6020799999999</v>
      </c>
      <c r="B2053" s="1">
        <f>DATE(2014,6,14) + TIME(14,26,59)</f>
        <v>41804.602071759262</v>
      </c>
      <c r="C2053">
        <v>80</v>
      </c>
      <c r="D2053">
        <v>79.964202881000006</v>
      </c>
      <c r="E2053">
        <v>50</v>
      </c>
      <c r="F2053">
        <v>47.489589690999999</v>
      </c>
      <c r="G2053">
        <v>1381.5415039</v>
      </c>
      <c r="H2053">
        <v>1367.6409911999999</v>
      </c>
      <c r="I2053">
        <v>1288.9279785000001</v>
      </c>
      <c r="J2053">
        <v>1269.5769043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1506.5230979999999</v>
      </c>
      <c r="B2054" s="1">
        <f>DATE(2014,6,15) + TIME(12,33,15)</f>
        <v>41805.523090277777</v>
      </c>
      <c r="C2054">
        <v>80</v>
      </c>
      <c r="D2054">
        <v>79.964202881000006</v>
      </c>
      <c r="E2054">
        <v>50</v>
      </c>
      <c r="F2054">
        <v>47.449581146</v>
      </c>
      <c r="G2054">
        <v>1381.4910889</v>
      </c>
      <c r="H2054">
        <v>1367.6008300999999</v>
      </c>
      <c r="I2054">
        <v>1288.9089355000001</v>
      </c>
      <c r="J2054">
        <v>1269.5498047000001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1507.4622449999999</v>
      </c>
      <c r="B2055" s="1">
        <f>DATE(2014,6,16) + TIME(11,5,37)</f>
        <v>41806.462233796294</v>
      </c>
      <c r="C2055">
        <v>80</v>
      </c>
      <c r="D2055">
        <v>79.964202881000006</v>
      </c>
      <c r="E2055">
        <v>50</v>
      </c>
      <c r="F2055">
        <v>47.409111023000001</v>
      </c>
      <c r="G2055">
        <v>1381.4404297000001</v>
      </c>
      <c r="H2055">
        <v>1367.5605469</v>
      </c>
      <c r="I2055">
        <v>1288.8894043</v>
      </c>
      <c r="J2055">
        <v>1269.5219727000001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1508.404978</v>
      </c>
      <c r="B2056" s="1">
        <f>DATE(2014,6,17) + TIME(9,43,10)</f>
        <v>41807.404976851853</v>
      </c>
      <c r="C2056">
        <v>80</v>
      </c>
      <c r="D2056">
        <v>79.964202881000006</v>
      </c>
      <c r="E2056">
        <v>50</v>
      </c>
      <c r="F2056">
        <v>47.368412018000001</v>
      </c>
      <c r="G2056">
        <v>1381.3896483999999</v>
      </c>
      <c r="H2056">
        <v>1367.5198975000001</v>
      </c>
      <c r="I2056">
        <v>1288.8692627</v>
      </c>
      <c r="J2056">
        <v>1269.4931641000001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1509.3541620000001</v>
      </c>
      <c r="B2057" s="1">
        <f>DATE(2014,6,18) + TIME(8,29,59)</f>
        <v>41808.354155092595</v>
      </c>
      <c r="C2057">
        <v>80</v>
      </c>
      <c r="D2057">
        <v>79.964202881000006</v>
      </c>
      <c r="E2057">
        <v>50</v>
      </c>
      <c r="F2057">
        <v>47.327617644999997</v>
      </c>
      <c r="G2057">
        <v>1381.3394774999999</v>
      </c>
      <c r="H2057">
        <v>1367.4797363</v>
      </c>
      <c r="I2057">
        <v>1288.8487548999999</v>
      </c>
      <c r="J2057">
        <v>1269.4637451000001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1510.3126560000001</v>
      </c>
      <c r="B2058" s="1">
        <f>DATE(2014,6,19) + TIME(7,30,13)</f>
        <v>41809.312650462962</v>
      </c>
      <c r="C2058">
        <v>80</v>
      </c>
      <c r="D2058">
        <v>79.964210510000001</v>
      </c>
      <c r="E2058">
        <v>50</v>
      </c>
      <c r="F2058">
        <v>47.286720275999997</v>
      </c>
      <c r="G2058">
        <v>1381.2895507999999</v>
      </c>
      <c r="H2058">
        <v>1367.4398193</v>
      </c>
      <c r="I2058">
        <v>1288.8277588000001</v>
      </c>
      <c r="J2058">
        <v>1269.4335937999999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1511.283373</v>
      </c>
      <c r="B2059" s="1">
        <f>DATE(2014,6,20) + TIME(6,48,3)</f>
        <v>41810.283368055556</v>
      </c>
      <c r="C2059">
        <v>80</v>
      </c>
      <c r="D2059">
        <v>79.964210510000001</v>
      </c>
      <c r="E2059">
        <v>50</v>
      </c>
      <c r="F2059">
        <v>47.245647429999998</v>
      </c>
      <c r="G2059">
        <v>1381.2399902</v>
      </c>
      <c r="H2059">
        <v>1367.4000243999999</v>
      </c>
      <c r="I2059">
        <v>1288.8063964999999</v>
      </c>
      <c r="J2059">
        <v>1269.4027100000001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1512.2693509999999</v>
      </c>
      <c r="B2060" s="1">
        <f>DATE(2014,6,21) + TIME(6,27,51)</f>
        <v>41811.26934027778</v>
      </c>
      <c r="C2060">
        <v>80</v>
      </c>
      <c r="D2060">
        <v>79.964210510000001</v>
      </c>
      <c r="E2060">
        <v>50</v>
      </c>
      <c r="F2060">
        <v>47.204296112000002</v>
      </c>
      <c r="G2060">
        <v>1381.1904297000001</v>
      </c>
      <c r="H2060">
        <v>1367.3603516000001</v>
      </c>
      <c r="I2060">
        <v>1288.7845459</v>
      </c>
      <c r="J2060">
        <v>1269.3709716999999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1513.2737850000001</v>
      </c>
      <c r="B2061" s="1">
        <f>DATE(2014,6,22) + TIME(6,34,15)</f>
        <v>41812.273784722223</v>
      </c>
      <c r="C2061">
        <v>80</v>
      </c>
      <c r="D2061">
        <v>79.96421814</v>
      </c>
      <c r="E2061">
        <v>50</v>
      </c>
      <c r="F2061">
        <v>47.162548065000003</v>
      </c>
      <c r="G2061">
        <v>1381.1408690999999</v>
      </c>
      <c r="H2061">
        <v>1367.3204346</v>
      </c>
      <c r="I2061">
        <v>1288.7619629000001</v>
      </c>
      <c r="J2061">
        <v>1269.3381348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1514.3001240000001</v>
      </c>
      <c r="B2062" s="1">
        <f>DATE(2014,6,23) + TIME(7,12,10)</f>
        <v>41813.300115740742</v>
      </c>
      <c r="C2062">
        <v>80</v>
      </c>
      <c r="D2062">
        <v>79.96421814</v>
      </c>
      <c r="E2062">
        <v>50</v>
      </c>
      <c r="F2062">
        <v>47.120288848999998</v>
      </c>
      <c r="G2062">
        <v>1381.0909423999999</v>
      </c>
      <c r="H2062">
        <v>1367.2802733999999</v>
      </c>
      <c r="I2062">
        <v>1288.7386475000001</v>
      </c>
      <c r="J2062">
        <v>1269.3041992000001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1515.35275</v>
      </c>
      <c r="B2063" s="1">
        <f>DATE(2014,6,24) + TIME(8,27,57)</f>
        <v>41814.352743055555</v>
      </c>
      <c r="C2063">
        <v>80</v>
      </c>
      <c r="D2063">
        <v>79.964225768999995</v>
      </c>
      <c r="E2063">
        <v>50</v>
      </c>
      <c r="F2063">
        <v>47.077365874999998</v>
      </c>
      <c r="G2063">
        <v>1381.0407714999999</v>
      </c>
      <c r="H2063">
        <v>1367.2398682</v>
      </c>
      <c r="I2063">
        <v>1288.7145995999999</v>
      </c>
      <c r="J2063">
        <v>1269.2689209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1516.433278</v>
      </c>
      <c r="B2064" s="1">
        <f>DATE(2014,6,25) + TIME(10,23,55)</f>
        <v>41815.433275462965</v>
      </c>
      <c r="C2064">
        <v>80</v>
      </c>
      <c r="D2064">
        <v>79.964233398000005</v>
      </c>
      <c r="E2064">
        <v>50</v>
      </c>
      <c r="F2064">
        <v>47.033672332999998</v>
      </c>
      <c r="G2064">
        <v>1380.9899902</v>
      </c>
      <c r="H2064">
        <v>1367.1988524999999</v>
      </c>
      <c r="I2064">
        <v>1288.6895752</v>
      </c>
      <c r="J2064">
        <v>1269.2321777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1517.5148899999999</v>
      </c>
      <c r="B2065" s="1">
        <f>DATE(2014,6,26) + TIME(12,21,26)</f>
        <v>41816.514884259261</v>
      </c>
      <c r="C2065">
        <v>80</v>
      </c>
      <c r="D2065">
        <v>79.964241028000004</v>
      </c>
      <c r="E2065">
        <v>50</v>
      </c>
      <c r="F2065">
        <v>46.989589690999999</v>
      </c>
      <c r="G2065">
        <v>1380.9385986</v>
      </c>
      <c r="H2065">
        <v>1367.1572266000001</v>
      </c>
      <c r="I2065">
        <v>1288.6634521000001</v>
      </c>
      <c r="J2065">
        <v>1269.1939697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1518.600925</v>
      </c>
      <c r="B2066" s="1">
        <f>DATE(2014,6,27) + TIME(14,25,19)</f>
        <v>41817.600914351853</v>
      </c>
      <c r="C2066">
        <v>80</v>
      </c>
      <c r="D2066">
        <v>79.964241028000004</v>
      </c>
      <c r="E2066">
        <v>50</v>
      </c>
      <c r="F2066">
        <v>46.945442200000002</v>
      </c>
      <c r="G2066">
        <v>1380.8878173999999</v>
      </c>
      <c r="H2066">
        <v>1367.1162108999999</v>
      </c>
      <c r="I2066">
        <v>1288.6369629000001</v>
      </c>
      <c r="J2066">
        <v>1269.1547852000001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1519.6947540000001</v>
      </c>
      <c r="B2067" s="1">
        <f>DATE(2014,6,28) + TIME(16,40,26)</f>
        <v>41818.694745370369</v>
      </c>
      <c r="C2067">
        <v>80</v>
      </c>
      <c r="D2067">
        <v>79.964248656999999</v>
      </c>
      <c r="E2067">
        <v>50</v>
      </c>
      <c r="F2067">
        <v>46.901275634999998</v>
      </c>
      <c r="G2067">
        <v>1380.8375243999999</v>
      </c>
      <c r="H2067">
        <v>1367.0754394999999</v>
      </c>
      <c r="I2067">
        <v>1288.6099853999999</v>
      </c>
      <c r="J2067">
        <v>1269.1148682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1520.799759</v>
      </c>
      <c r="B2068" s="1">
        <f>DATE(2014,6,29) + TIME(19,11,39)</f>
        <v>41819.799756944441</v>
      </c>
      <c r="C2068">
        <v>80</v>
      </c>
      <c r="D2068">
        <v>79.964256286999998</v>
      </c>
      <c r="E2068">
        <v>50</v>
      </c>
      <c r="F2068">
        <v>46.857036591000004</v>
      </c>
      <c r="G2068">
        <v>1380.7875977000001</v>
      </c>
      <c r="H2068">
        <v>1367.0347899999999</v>
      </c>
      <c r="I2068">
        <v>1288.5823975000001</v>
      </c>
      <c r="J2068">
        <v>1269.0738524999999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1521.919414</v>
      </c>
      <c r="B2069" s="1">
        <f>DATE(2014,6,30) + TIME(22,3,57)</f>
        <v>41820.919409722221</v>
      </c>
      <c r="C2069">
        <v>80</v>
      </c>
      <c r="D2069">
        <v>79.964263915999993</v>
      </c>
      <c r="E2069">
        <v>50</v>
      </c>
      <c r="F2069">
        <v>46.812618256</v>
      </c>
      <c r="G2069">
        <v>1380.737793</v>
      </c>
      <c r="H2069">
        <v>1366.9943848</v>
      </c>
      <c r="I2069">
        <v>1288.5541992000001</v>
      </c>
      <c r="J2069">
        <v>1269.0317382999999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1522</v>
      </c>
      <c r="B2070" s="1">
        <f>DATE(2014,7,1) + TIME(0,0,0)</f>
        <v>41821</v>
      </c>
      <c r="C2070">
        <v>80</v>
      </c>
      <c r="D2070">
        <v>79.964256286999998</v>
      </c>
      <c r="E2070">
        <v>50</v>
      </c>
      <c r="F2070">
        <v>46.805236815999997</v>
      </c>
      <c r="G2070">
        <v>1380.6917725000001</v>
      </c>
      <c r="H2070">
        <v>1366.9573975000001</v>
      </c>
      <c r="I2070">
        <v>1288.5258789</v>
      </c>
      <c r="J2070">
        <v>1268.9992675999999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1523.1379440000001</v>
      </c>
      <c r="B2071" s="1">
        <f>DATE(2014,7,2) + TIME(3,18,38)</f>
        <v>41822.137939814813</v>
      </c>
      <c r="C2071">
        <v>80</v>
      </c>
      <c r="D2071">
        <v>79.964271545000003</v>
      </c>
      <c r="E2071">
        <v>50</v>
      </c>
      <c r="F2071">
        <v>46.763095856</v>
      </c>
      <c r="G2071">
        <v>1380.6842041</v>
      </c>
      <c r="H2071">
        <v>1366.9505615</v>
      </c>
      <c r="I2071">
        <v>1288.5229492000001</v>
      </c>
      <c r="J2071">
        <v>1268.9842529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1524.2998520000001</v>
      </c>
      <c r="B2072" s="1">
        <f>DATE(2014,7,3) + TIME(7,11,47)</f>
        <v>41823.299849537034</v>
      </c>
      <c r="C2072">
        <v>80</v>
      </c>
      <c r="D2072">
        <v>79.964279175000001</v>
      </c>
      <c r="E2072">
        <v>50</v>
      </c>
      <c r="F2072">
        <v>46.718936919999997</v>
      </c>
      <c r="G2072">
        <v>1380.6346435999999</v>
      </c>
      <c r="H2072">
        <v>1366.9101562000001</v>
      </c>
      <c r="I2072">
        <v>1288.4932861</v>
      </c>
      <c r="J2072">
        <v>1268.9398193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1525.4859799999999</v>
      </c>
      <c r="B2073" s="1">
        <f>DATE(2014,7,4) + TIME(11,39,48)</f>
        <v>41824.485972222225</v>
      </c>
      <c r="C2073">
        <v>80</v>
      </c>
      <c r="D2073">
        <v>79.964286803999997</v>
      </c>
      <c r="E2073">
        <v>50</v>
      </c>
      <c r="F2073">
        <v>46.673606872999997</v>
      </c>
      <c r="G2073">
        <v>1380.5843506000001</v>
      </c>
      <c r="H2073">
        <v>1366.8691406</v>
      </c>
      <c r="I2073">
        <v>1288.4624022999999</v>
      </c>
      <c r="J2073">
        <v>1268.8933105000001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1526.689239</v>
      </c>
      <c r="B2074" s="1">
        <f>DATE(2014,7,5) + TIME(16,32,30)</f>
        <v>41825.689236111109</v>
      </c>
      <c r="C2074">
        <v>80</v>
      </c>
      <c r="D2074">
        <v>79.964302063000005</v>
      </c>
      <c r="E2074">
        <v>50</v>
      </c>
      <c r="F2074">
        <v>46.627552031999997</v>
      </c>
      <c r="G2074">
        <v>1380.5336914</v>
      </c>
      <c r="H2074">
        <v>1366.8276367000001</v>
      </c>
      <c r="I2074">
        <v>1288.4302978999999</v>
      </c>
      <c r="J2074">
        <v>1268.8448486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1527.913446</v>
      </c>
      <c r="B2075" s="1">
        <f>DATE(2014,7,6) + TIME(21,55,21)</f>
        <v>41826.913437499999</v>
      </c>
      <c r="C2075">
        <v>80</v>
      </c>
      <c r="D2075">
        <v>79.964309692</v>
      </c>
      <c r="E2075">
        <v>50</v>
      </c>
      <c r="F2075">
        <v>46.580970764</v>
      </c>
      <c r="G2075">
        <v>1380.4830322</v>
      </c>
      <c r="H2075">
        <v>1366.7860106999999</v>
      </c>
      <c r="I2075">
        <v>1288.3974608999999</v>
      </c>
      <c r="J2075">
        <v>1268.7947998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1529.158124</v>
      </c>
      <c r="B2076" s="1">
        <f>DATE(2014,7,8) + TIME(3,47,41)</f>
        <v>41828.158113425925</v>
      </c>
      <c r="C2076">
        <v>80</v>
      </c>
      <c r="D2076">
        <v>79.964317321999999</v>
      </c>
      <c r="E2076">
        <v>50</v>
      </c>
      <c r="F2076">
        <v>46.533927917</v>
      </c>
      <c r="G2076">
        <v>1380.4320068</v>
      </c>
      <c r="H2076">
        <v>1366.7441406</v>
      </c>
      <c r="I2076">
        <v>1288.3635254000001</v>
      </c>
      <c r="J2076">
        <v>1268.7429199000001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1530.409688</v>
      </c>
      <c r="B2077" s="1">
        <f>DATE(2014,7,9) + TIME(9,49,57)</f>
        <v>41829.409687500003</v>
      </c>
      <c r="C2077">
        <v>80</v>
      </c>
      <c r="D2077">
        <v>79.964332580999994</v>
      </c>
      <c r="E2077">
        <v>50</v>
      </c>
      <c r="F2077">
        <v>46.48664093</v>
      </c>
      <c r="G2077">
        <v>1380.3808594</v>
      </c>
      <c r="H2077">
        <v>1366.7021483999999</v>
      </c>
      <c r="I2077">
        <v>1288.3284911999999</v>
      </c>
      <c r="J2077">
        <v>1268.6893310999999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1531.672151</v>
      </c>
      <c r="B2078" s="1">
        <f>DATE(2014,7,10) + TIME(16,7,53)</f>
        <v>41830.6721412037</v>
      </c>
      <c r="C2078">
        <v>80</v>
      </c>
      <c r="D2078">
        <v>79.964340210000003</v>
      </c>
      <c r="E2078">
        <v>50</v>
      </c>
      <c r="F2078">
        <v>46.439300537000001</v>
      </c>
      <c r="G2078">
        <v>1380.3300781</v>
      </c>
      <c r="H2078">
        <v>1366.6602783000001</v>
      </c>
      <c r="I2078">
        <v>1288.2928466999999</v>
      </c>
      <c r="J2078">
        <v>1268.6345214999999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1532.9495750000001</v>
      </c>
      <c r="B2079" s="1">
        <f>DATE(2014,7,11) + TIME(22,47,23)</f>
        <v>41831.949571759258</v>
      </c>
      <c r="C2079">
        <v>80</v>
      </c>
      <c r="D2079">
        <v>79.964355468999997</v>
      </c>
      <c r="E2079">
        <v>50</v>
      </c>
      <c r="F2079">
        <v>46.391880035</v>
      </c>
      <c r="G2079">
        <v>1380.2794189000001</v>
      </c>
      <c r="H2079">
        <v>1366.6185303</v>
      </c>
      <c r="I2079">
        <v>1288.2564697</v>
      </c>
      <c r="J2079">
        <v>1268.5782471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1534.2461900000001</v>
      </c>
      <c r="B2080" s="1">
        <f>DATE(2014,7,13) + TIME(5,54,30)</f>
        <v>41833.246180555558</v>
      </c>
      <c r="C2080">
        <v>80</v>
      </c>
      <c r="D2080">
        <v>79.964363098000007</v>
      </c>
      <c r="E2080">
        <v>50</v>
      </c>
      <c r="F2080">
        <v>46.344291687000002</v>
      </c>
      <c r="G2080">
        <v>1380.2288818</v>
      </c>
      <c r="H2080">
        <v>1366.5766602000001</v>
      </c>
      <c r="I2080">
        <v>1288.2191161999999</v>
      </c>
      <c r="J2080">
        <v>1268.5202637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1535.558149</v>
      </c>
      <c r="B2081" s="1">
        <f>DATE(2014,7,14) + TIME(13,23,44)</f>
        <v>41834.558148148149</v>
      </c>
      <c r="C2081">
        <v>80</v>
      </c>
      <c r="D2081">
        <v>79.964378357000001</v>
      </c>
      <c r="E2081">
        <v>50</v>
      </c>
      <c r="F2081">
        <v>46.296531676999997</v>
      </c>
      <c r="G2081">
        <v>1380.1782227000001</v>
      </c>
      <c r="H2081">
        <v>1366.5347899999999</v>
      </c>
      <c r="I2081">
        <v>1288.1807861</v>
      </c>
      <c r="J2081">
        <v>1268.4605713000001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1536.8848290000001</v>
      </c>
      <c r="B2082" s="1">
        <f>DATE(2014,7,15) + TIME(21,14,9)</f>
        <v>41835.884826388887</v>
      </c>
      <c r="C2082">
        <v>80</v>
      </c>
      <c r="D2082">
        <v>79.964393615999995</v>
      </c>
      <c r="E2082">
        <v>50</v>
      </c>
      <c r="F2082">
        <v>46.248668670999997</v>
      </c>
      <c r="G2082">
        <v>1380.1275635</v>
      </c>
      <c r="H2082">
        <v>1366.4926757999999</v>
      </c>
      <c r="I2082">
        <v>1288.1414795000001</v>
      </c>
      <c r="J2082">
        <v>1268.3991699000001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1538.2302769999999</v>
      </c>
      <c r="B2083" s="1">
        <f>DATE(2014,7,17) + TIME(5,31,35)</f>
        <v>41837.230266203704</v>
      </c>
      <c r="C2083">
        <v>80</v>
      </c>
      <c r="D2083">
        <v>79.964401245000005</v>
      </c>
      <c r="E2083">
        <v>50</v>
      </c>
      <c r="F2083">
        <v>46.200698852999999</v>
      </c>
      <c r="G2083">
        <v>1380.0769043</v>
      </c>
      <c r="H2083">
        <v>1366.4506836</v>
      </c>
      <c r="I2083">
        <v>1288.1013184000001</v>
      </c>
      <c r="J2083">
        <v>1268.3361815999999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1539.5987230000001</v>
      </c>
      <c r="B2084" s="1">
        <f>DATE(2014,7,18) + TIME(14,22,9)</f>
        <v>41838.598715277774</v>
      </c>
      <c r="C2084">
        <v>80</v>
      </c>
      <c r="D2084">
        <v>79.964416503999999</v>
      </c>
      <c r="E2084">
        <v>50</v>
      </c>
      <c r="F2084">
        <v>46.152557373</v>
      </c>
      <c r="G2084">
        <v>1380.0261230000001</v>
      </c>
      <c r="H2084">
        <v>1366.4084473</v>
      </c>
      <c r="I2084">
        <v>1288.0601807</v>
      </c>
      <c r="J2084">
        <v>1268.2712402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1540.9946910000001</v>
      </c>
      <c r="B2085" s="1">
        <f>DATE(2014,7,19) + TIME(23,52,21)</f>
        <v>41839.994687500002</v>
      </c>
      <c r="C2085">
        <v>80</v>
      </c>
      <c r="D2085">
        <v>79.964431762999993</v>
      </c>
      <c r="E2085">
        <v>50</v>
      </c>
      <c r="F2085">
        <v>46.104160309000001</v>
      </c>
      <c r="G2085">
        <v>1379.9752197</v>
      </c>
      <c r="H2085">
        <v>1366.3659668</v>
      </c>
      <c r="I2085">
        <v>1288.0178223</v>
      </c>
      <c r="J2085">
        <v>1268.2043457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1542.423106</v>
      </c>
      <c r="B2086" s="1">
        <f>DATE(2014,7,21) + TIME(10,9,16)</f>
        <v>41841.423101851855</v>
      </c>
      <c r="C2086">
        <v>80</v>
      </c>
      <c r="D2086">
        <v>79.964447020999998</v>
      </c>
      <c r="E2086">
        <v>50</v>
      </c>
      <c r="F2086">
        <v>46.055408477999997</v>
      </c>
      <c r="G2086">
        <v>1379.9238281</v>
      </c>
      <c r="H2086">
        <v>1366.3229980000001</v>
      </c>
      <c r="I2086">
        <v>1287.9742432</v>
      </c>
      <c r="J2086">
        <v>1268.1350098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1543.865538</v>
      </c>
      <c r="B2087" s="1">
        <f>DATE(2014,7,22) + TIME(20,46,22)</f>
        <v>41842.865532407406</v>
      </c>
      <c r="C2087">
        <v>80</v>
      </c>
      <c r="D2087">
        <v>79.964462280000006</v>
      </c>
      <c r="E2087">
        <v>50</v>
      </c>
      <c r="F2087">
        <v>46.006469727000002</v>
      </c>
      <c r="G2087">
        <v>1379.8718262</v>
      </c>
      <c r="H2087">
        <v>1366.2795410000001</v>
      </c>
      <c r="I2087">
        <v>1287.9291992000001</v>
      </c>
      <c r="J2087">
        <v>1268.0633545000001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1545.3218959999999</v>
      </c>
      <c r="B2088" s="1">
        <f>DATE(2014,7,24) + TIME(7,43,31)</f>
        <v>41844.321886574071</v>
      </c>
      <c r="C2088">
        <v>80</v>
      </c>
      <c r="D2088">
        <v>79.964477539000001</v>
      </c>
      <c r="E2088">
        <v>50</v>
      </c>
      <c r="F2088">
        <v>45.95765686</v>
      </c>
      <c r="G2088">
        <v>1379.8198242000001</v>
      </c>
      <c r="H2088">
        <v>1366.2360839999999</v>
      </c>
      <c r="I2088">
        <v>1287.8833007999999</v>
      </c>
      <c r="J2088">
        <v>1267.9898682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1546.7859820000001</v>
      </c>
      <c r="B2089" s="1">
        <f>DATE(2014,7,25) + TIME(18,51,48)</f>
        <v>41845.78597222222</v>
      </c>
      <c r="C2089">
        <v>80</v>
      </c>
      <c r="D2089">
        <v>79.964500427000004</v>
      </c>
      <c r="E2089">
        <v>50</v>
      </c>
      <c r="F2089">
        <v>45.909183501999998</v>
      </c>
      <c r="G2089">
        <v>1379.7680664</v>
      </c>
      <c r="H2089">
        <v>1366.1925048999999</v>
      </c>
      <c r="I2089">
        <v>1287.8365478999999</v>
      </c>
      <c r="J2089">
        <v>1267.9147949000001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1548.262164</v>
      </c>
      <c r="B2090" s="1">
        <f>DATE(2014,7,27) + TIME(6,17,30)</f>
        <v>41847.262152777781</v>
      </c>
      <c r="C2090">
        <v>80</v>
      </c>
      <c r="D2090">
        <v>79.964515685999999</v>
      </c>
      <c r="E2090">
        <v>50</v>
      </c>
      <c r="F2090">
        <v>45.861186981000003</v>
      </c>
      <c r="G2090">
        <v>1379.7165527</v>
      </c>
      <c r="H2090">
        <v>1366.1492920000001</v>
      </c>
      <c r="I2090">
        <v>1287.7891846</v>
      </c>
      <c r="J2090">
        <v>1267.8382568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1549.7548959999999</v>
      </c>
      <c r="B2091" s="1">
        <f>DATE(2014,7,28) + TIME(18,7,3)</f>
        <v>41848.754895833335</v>
      </c>
      <c r="C2091">
        <v>80</v>
      </c>
      <c r="D2091">
        <v>79.964530945000007</v>
      </c>
      <c r="E2091">
        <v>50</v>
      </c>
      <c r="F2091">
        <v>45.813663482999999</v>
      </c>
      <c r="G2091">
        <v>1379.6652832</v>
      </c>
      <c r="H2091">
        <v>1366.1060791</v>
      </c>
      <c r="I2091">
        <v>1287.7412108999999</v>
      </c>
      <c r="J2091">
        <v>1267.760376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1551.268828</v>
      </c>
      <c r="B2092" s="1">
        <f>DATE(2014,7,30) + TIME(6,27,6)</f>
        <v>41850.268819444442</v>
      </c>
      <c r="C2092">
        <v>80</v>
      </c>
      <c r="D2092">
        <v>79.964546204000001</v>
      </c>
      <c r="E2092">
        <v>50</v>
      </c>
      <c r="F2092">
        <v>45.766582489000001</v>
      </c>
      <c r="G2092">
        <v>1379.6138916</v>
      </c>
      <c r="H2092">
        <v>1366.0627440999999</v>
      </c>
      <c r="I2092">
        <v>1287.6922606999999</v>
      </c>
      <c r="J2092">
        <v>1267.6807861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1552.808888</v>
      </c>
      <c r="B2093" s="1">
        <f>DATE(2014,7,31) + TIME(19,24,47)</f>
        <v>41851.808877314812</v>
      </c>
      <c r="C2093">
        <v>80</v>
      </c>
      <c r="D2093">
        <v>79.964569092000005</v>
      </c>
      <c r="E2093">
        <v>50</v>
      </c>
      <c r="F2093">
        <v>45.719898223999998</v>
      </c>
      <c r="G2093">
        <v>1379.5625</v>
      </c>
      <c r="H2093">
        <v>1366.0191649999999</v>
      </c>
      <c r="I2093">
        <v>1287.6425781</v>
      </c>
      <c r="J2093">
        <v>1267.5993652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1553</v>
      </c>
      <c r="B2094" s="1">
        <f>DATE(2014,8,1) + TIME(0,0,0)</f>
        <v>41852</v>
      </c>
      <c r="C2094">
        <v>80</v>
      </c>
      <c r="D2094">
        <v>79.964561462000006</v>
      </c>
      <c r="E2094">
        <v>50</v>
      </c>
      <c r="F2094">
        <v>45.705635071000003</v>
      </c>
      <c r="G2094">
        <v>1379.5126952999999</v>
      </c>
      <c r="H2094">
        <v>1365.9772949000001</v>
      </c>
      <c r="I2094">
        <v>1287.5976562000001</v>
      </c>
      <c r="J2094">
        <v>1267.5358887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1554.571465</v>
      </c>
      <c r="B2095" s="1">
        <f>DATE(2014,8,2) + TIME(13,42,54)</f>
        <v>41853.571458333332</v>
      </c>
      <c r="C2095">
        <v>80</v>
      </c>
      <c r="D2095">
        <v>79.964591979999994</v>
      </c>
      <c r="E2095">
        <v>50</v>
      </c>
      <c r="F2095">
        <v>45.665344238000003</v>
      </c>
      <c r="G2095">
        <v>1379.5039062000001</v>
      </c>
      <c r="H2095">
        <v>1365.9696045000001</v>
      </c>
      <c r="I2095">
        <v>1287.5841064000001</v>
      </c>
      <c r="J2095">
        <v>1267.5025635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1556.1852269999999</v>
      </c>
      <c r="B2096" s="1">
        <f>DATE(2014,8,4) + TIME(4,26,43)</f>
        <v>41855.185219907406</v>
      </c>
      <c r="C2096">
        <v>80</v>
      </c>
      <c r="D2096">
        <v>79.964607239000003</v>
      </c>
      <c r="E2096">
        <v>50</v>
      </c>
      <c r="F2096">
        <v>45.621360779</v>
      </c>
      <c r="G2096">
        <v>1379.4520264</v>
      </c>
      <c r="H2096">
        <v>1365.9256591999999</v>
      </c>
      <c r="I2096">
        <v>1287.5329589999999</v>
      </c>
      <c r="J2096">
        <v>1267.4187012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1557.8276000000001</v>
      </c>
      <c r="B2097" s="1">
        <f>DATE(2014,8,5) + TIME(19,51,44)</f>
        <v>41856.827592592592</v>
      </c>
      <c r="C2097">
        <v>80</v>
      </c>
      <c r="D2097">
        <v>79.964630127000007</v>
      </c>
      <c r="E2097">
        <v>50</v>
      </c>
      <c r="F2097">
        <v>45.576568604000002</v>
      </c>
      <c r="G2097">
        <v>1379.3989257999999</v>
      </c>
      <c r="H2097">
        <v>1365.8804932</v>
      </c>
      <c r="I2097">
        <v>1287.4797363</v>
      </c>
      <c r="J2097">
        <v>1267.3306885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1559.4731939999999</v>
      </c>
      <c r="B2098" s="1">
        <f>DATE(2014,8,7) + TIME(11,21,23)</f>
        <v>41858.473182870373</v>
      </c>
      <c r="C2098">
        <v>80</v>
      </c>
      <c r="D2098">
        <v>79.964653014999996</v>
      </c>
      <c r="E2098">
        <v>50</v>
      </c>
      <c r="F2098">
        <v>45.532382964999996</v>
      </c>
      <c r="G2098">
        <v>1379.3455810999999</v>
      </c>
      <c r="H2098">
        <v>1365.8350829999999</v>
      </c>
      <c r="I2098">
        <v>1287.4254149999999</v>
      </c>
      <c r="J2098">
        <v>1267.2403564000001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1561.1287110000001</v>
      </c>
      <c r="B2099" s="1">
        <f>DATE(2014,8,9) + TIME(3,5,20)</f>
        <v>41860.128703703704</v>
      </c>
      <c r="C2099">
        <v>80</v>
      </c>
      <c r="D2099">
        <v>79.964675903</v>
      </c>
      <c r="E2099">
        <v>50</v>
      </c>
      <c r="F2099">
        <v>45.489574431999998</v>
      </c>
      <c r="G2099">
        <v>1379.2926024999999</v>
      </c>
      <c r="H2099">
        <v>1365.7897949000001</v>
      </c>
      <c r="I2099">
        <v>1287.3709716999999</v>
      </c>
      <c r="J2099">
        <v>1267.1492920000001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1562.799287</v>
      </c>
      <c r="B2100" s="1">
        <f>DATE(2014,8,10) + TIME(19,10,58)</f>
        <v>41861.79928240741</v>
      </c>
      <c r="C2100">
        <v>80</v>
      </c>
      <c r="D2100">
        <v>79.964691161999994</v>
      </c>
      <c r="E2100">
        <v>50</v>
      </c>
      <c r="F2100">
        <v>45.448383331000002</v>
      </c>
      <c r="G2100">
        <v>1379.2398682</v>
      </c>
      <c r="H2100">
        <v>1365.744751</v>
      </c>
      <c r="I2100">
        <v>1287.3162841999999</v>
      </c>
      <c r="J2100">
        <v>1267.057251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1564.4901970000001</v>
      </c>
      <c r="B2101" s="1">
        <f>DATE(2014,8,12) + TIME(11,45,53)</f>
        <v>41863.49019675926</v>
      </c>
      <c r="C2101">
        <v>80</v>
      </c>
      <c r="D2101">
        <v>79.964714049999998</v>
      </c>
      <c r="E2101">
        <v>50</v>
      </c>
      <c r="F2101">
        <v>45.408920287999997</v>
      </c>
      <c r="G2101">
        <v>1379.1871338000001</v>
      </c>
      <c r="H2101">
        <v>1365.699707</v>
      </c>
      <c r="I2101">
        <v>1287.2612305</v>
      </c>
      <c r="J2101">
        <v>1266.9644774999999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1566.2069690000001</v>
      </c>
      <c r="B2102" s="1">
        <f>DATE(2014,8,14) + TIME(4,58,2)</f>
        <v>41865.206967592596</v>
      </c>
      <c r="C2102">
        <v>80</v>
      </c>
      <c r="D2102">
        <v>79.964736938000001</v>
      </c>
      <c r="E2102">
        <v>50</v>
      </c>
      <c r="F2102">
        <v>45.371303558000001</v>
      </c>
      <c r="G2102">
        <v>1379.1342772999999</v>
      </c>
      <c r="H2102">
        <v>1365.6544189000001</v>
      </c>
      <c r="I2102">
        <v>1287.2059326000001</v>
      </c>
      <c r="J2102">
        <v>1266.8706055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1567.9555270000001</v>
      </c>
      <c r="B2103" s="1">
        <f>DATE(2014,8,15) + TIME(22,55,57)</f>
        <v>41866.955520833333</v>
      </c>
      <c r="C2103">
        <v>80</v>
      </c>
      <c r="D2103">
        <v>79.964759826999995</v>
      </c>
      <c r="E2103">
        <v>50</v>
      </c>
      <c r="F2103">
        <v>45.335685730000002</v>
      </c>
      <c r="G2103">
        <v>1379.0812988</v>
      </c>
      <c r="H2103">
        <v>1365.6087646000001</v>
      </c>
      <c r="I2103">
        <v>1287.1502685999999</v>
      </c>
      <c r="J2103">
        <v>1266.7756348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1569.7418319999999</v>
      </c>
      <c r="B2104" s="1">
        <f>DATE(2014,8,17) + TIME(17,48,14)</f>
        <v>41868.741828703707</v>
      </c>
      <c r="C2104">
        <v>80</v>
      </c>
      <c r="D2104">
        <v>79.964782714999998</v>
      </c>
      <c r="E2104">
        <v>50</v>
      </c>
      <c r="F2104">
        <v>45.302268982000001</v>
      </c>
      <c r="G2104">
        <v>1379.0277100000001</v>
      </c>
      <c r="H2104">
        <v>1365.5627440999999</v>
      </c>
      <c r="I2104">
        <v>1287.0939940999999</v>
      </c>
      <c r="J2104">
        <v>1266.6794434000001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1571.549833</v>
      </c>
      <c r="B2105" s="1">
        <f>DATE(2014,8,19) + TIME(13,11,45)</f>
        <v>41870.549826388888</v>
      </c>
      <c r="C2105">
        <v>80</v>
      </c>
      <c r="D2105">
        <v>79.964813231999997</v>
      </c>
      <c r="E2105">
        <v>50</v>
      </c>
      <c r="F2105">
        <v>45.271430969000001</v>
      </c>
      <c r="G2105">
        <v>1378.9735106999999</v>
      </c>
      <c r="H2105">
        <v>1365.5159911999999</v>
      </c>
      <c r="I2105">
        <v>1287.0373535000001</v>
      </c>
      <c r="J2105">
        <v>1266.5819091999999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1573.3852429999999</v>
      </c>
      <c r="B2106" s="1">
        <f>DATE(2014,8,21) + TIME(9,14,44)</f>
        <v>41872.385231481479</v>
      </c>
      <c r="C2106">
        <v>80</v>
      </c>
      <c r="D2106">
        <v>79.964836121000005</v>
      </c>
      <c r="E2106">
        <v>50</v>
      </c>
      <c r="F2106">
        <v>45.243667602999999</v>
      </c>
      <c r="G2106">
        <v>1378.9193115</v>
      </c>
      <c r="H2106">
        <v>1365.4691161999999</v>
      </c>
      <c r="I2106">
        <v>1286.9808350000001</v>
      </c>
      <c r="J2106">
        <v>1266.4842529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1575.2508800000001</v>
      </c>
      <c r="B2107" s="1">
        <f>DATE(2014,8,23) + TIME(6,1,15)</f>
        <v>41874.250868055555</v>
      </c>
      <c r="C2107">
        <v>80</v>
      </c>
      <c r="D2107">
        <v>79.964859008999994</v>
      </c>
      <c r="E2107">
        <v>50</v>
      </c>
      <c r="F2107">
        <v>45.219394684000001</v>
      </c>
      <c r="G2107">
        <v>1378.8647461</v>
      </c>
      <c r="H2107">
        <v>1365.421875</v>
      </c>
      <c r="I2107">
        <v>1286.9244385</v>
      </c>
      <c r="J2107">
        <v>1266.3862305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1577.129512</v>
      </c>
      <c r="B2108" s="1">
        <f>DATE(2014,8,25) + TIME(3,6,29)</f>
        <v>41876.129502314812</v>
      </c>
      <c r="C2108">
        <v>80</v>
      </c>
      <c r="D2108">
        <v>79.964889525999993</v>
      </c>
      <c r="E2108">
        <v>50</v>
      </c>
      <c r="F2108">
        <v>45.199127197000003</v>
      </c>
      <c r="G2108">
        <v>1378.8096923999999</v>
      </c>
      <c r="H2108">
        <v>1365.3741454999999</v>
      </c>
      <c r="I2108">
        <v>1286.8682861</v>
      </c>
      <c r="J2108">
        <v>1266.2883300999999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1579.027734</v>
      </c>
      <c r="B2109" s="1">
        <f>DATE(2014,8,27) + TIME(0,39,56)</f>
        <v>41878.027731481481</v>
      </c>
      <c r="C2109">
        <v>80</v>
      </c>
      <c r="D2109">
        <v>79.964912415000001</v>
      </c>
      <c r="E2109">
        <v>50</v>
      </c>
      <c r="F2109">
        <v>45.183410645000002</v>
      </c>
      <c r="G2109">
        <v>1378.7548827999999</v>
      </c>
      <c r="H2109">
        <v>1365.3265381000001</v>
      </c>
      <c r="I2109">
        <v>1286.8131103999999</v>
      </c>
      <c r="J2109">
        <v>1266.1914062000001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1580.95181</v>
      </c>
      <c r="B2110" s="1">
        <f>DATE(2014,8,28) + TIME(22,50,36)</f>
        <v>41879.951805555553</v>
      </c>
      <c r="C2110">
        <v>80</v>
      </c>
      <c r="D2110">
        <v>79.964942932</v>
      </c>
      <c r="E2110">
        <v>50</v>
      </c>
      <c r="F2110">
        <v>45.172729492000002</v>
      </c>
      <c r="G2110">
        <v>1378.6999512</v>
      </c>
      <c r="H2110">
        <v>1365.2786865</v>
      </c>
      <c r="I2110">
        <v>1286.7587891000001</v>
      </c>
      <c r="J2110">
        <v>1266.0957031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1582.9081550000001</v>
      </c>
      <c r="B2111" s="1">
        <f>DATE(2014,8,30) + TIME(21,47,44)</f>
        <v>41881.908148148148</v>
      </c>
      <c r="C2111">
        <v>80</v>
      </c>
      <c r="D2111">
        <v>79.964965820000003</v>
      </c>
      <c r="E2111">
        <v>50</v>
      </c>
      <c r="F2111">
        <v>45.167636870999999</v>
      </c>
      <c r="G2111">
        <v>1378.6447754000001</v>
      </c>
      <c r="H2111">
        <v>1365.2305908000001</v>
      </c>
      <c r="I2111">
        <v>1286.7054443</v>
      </c>
      <c r="J2111">
        <v>1266.0014647999999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1584</v>
      </c>
      <c r="B2112" s="1">
        <f>DATE(2014,9,1) + TIME(0,0,0)</f>
        <v>41883</v>
      </c>
      <c r="C2112">
        <v>80</v>
      </c>
      <c r="D2112">
        <v>79.964973450000002</v>
      </c>
      <c r="E2112">
        <v>50</v>
      </c>
      <c r="F2112">
        <v>45.168590545999997</v>
      </c>
      <c r="G2112">
        <v>1378.5892334</v>
      </c>
      <c r="H2112">
        <v>1365.1821289</v>
      </c>
      <c r="I2112">
        <v>1286.6571045000001</v>
      </c>
      <c r="J2112">
        <v>1265.9150391000001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1585.9839039999999</v>
      </c>
      <c r="B2113" s="1">
        <f>DATE(2014,9,2) + TIME(23,36,49)</f>
        <v>41884.983900462961</v>
      </c>
      <c r="C2113">
        <v>80</v>
      </c>
      <c r="D2113">
        <v>79.965011597</v>
      </c>
      <c r="E2113">
        <v>50</v>
      </c>
      <c r="F2113">
        <v>45.173252106</v>
      </c>
      <c r="G2113">
        <v>1378.5583495999999</v>
      </c>
      <c r="H2113">
        <v>1365.1549072</v>
      </c>
      <c r="I2113">
        <v>1286.6225586</v>
      </c>
      <c r="J2113">
        <v>1265.8544922000001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1588.003649</v>
      </c>
      <c r="B2114" s="1">
        <f>DATE(2014,9,5) + TIME(0,5,15)</f>
        <v>41887.003645833334</v>
      </c>
      <c r="C2114">
        <v>80</v>
      </c>
      <c r="D2114">
        <v>79.965042113999999</v>
      </c>
      <c r="E2114">
        <v>50</v>
      </c>
      <c r="F2114">
        <v>45.185348511000001</v>
      </c>
      <c r="G2114">
        <v>1378.5029297000001</v>
      </c>
      <c r="H2114">
        <v>1365.1064452999999</v>
      </c>
      <c r="I2114">
        <v>1286.5749512</v>
      </c>
      <c r="J2114">
        <v>1265.7691649999999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1589.0281090000001</v>
      </c>
      <c r="B2115" s="1">
        <f>DATE(2014,9,6) + TIME(0,40,28)</f>
        <v>41888.028101851851</v>
      </c>
      <c r="C2115">
        <v>80</v>
      </c>
      <c r="D2115">
        <v>79.965049743999998</v>
      </c>
      <c r="E2115">
        <v>50</v>
      </c>
      <c r="F2115">
        <v>45.201534271</v>
      </c>
      <c r="G2115">
        <v>1378.4467772999999</v>
      </c>
      <c r="H2115">
        <v>1365.057251</v>
      </c>
      <c r="I2115">
        <v>1286.5324707</v>
      </c>
      <c r="J2115">
        <v>1265.6911620999999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1590.0525689999999</v>
      </c>
      <c r="B2116" s="1">
        <f>DATE(2014,9,7) + TIME(1,15,41)</f>
        <v>41889.052557870367</v>
      </c>
      <c r="C2116">
        <v>80</v>
      </c>
      <c r="D2116">
        <v>79.965057372999993</v>
      </c>
      <c r="E2116">
        <v>50</v>
      </c>
      <c r="F2116">
        <v>45.217578887999998</v>
      </c>
      <c r="G2116">
        <v>1378.4182129000001</v>
      </c>
      <c r="H2116">
        <v>1365.0319824000001</v>
      </c>
      <c r="I2116">
        <v>1286.5057373</v>
      </c>
      <c r="J2116">
        <v>1265.6444091999999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1592.1014889999999</v>
      </c>
      <c r="B2117" s="1">
        <f>DATE(2014,9,9) + TIME(2,26,8)</f>
        <v>41891.101481481484</v>
      </c>
      <c r="C2117">
        <v>80</v>
      </c>
      <c r="D2117">
        <v>79.965095520000006</v>
      </c>
      <c r="E2117">
        <v>50</v>
      </c>
      <c r="F2117">
        <v>45.239303589000002</v>
      </c>
      <c r="G2117">
        <v>1378.3902588000001</v>
      </c>
      <c r="H2117">
        <v>1365.0073242000001</v>
      </c>
      <c r="I2117">
        <v>1286.4782714999999</v>
      </c>
      <c r="J2117">
        <v>1265.5977783000001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1594.1542300000001</v>
      </c>
      <c r="B2118" s="1">
        <f>DATE(2014,9,11) + TIME(3,42,5)</f>
        <v>41893.154224537036</v>
      </c>
      <c r="C2118">
        <v>80</v>
      </c>
      <c r="D2118">
        <v>79.965126037999994</v>
      </c>
      <c r="E2118">
        <v>50</v>
      </c>
      <c r="F2118">
        <v>45.275753021</v>
      </c>
      <c r="G2118">
        <v>1378.3344727000001</v>
      </c>
      <c r="H2118">
        <v>1364.9582519999999</v>
      </c>
      <c r="I2118">
        <v>1286.4383545000001</v>
      </c>
      <c r="J2118">
        <v>1265.5250243999999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1596.2428689999999</v>
      </c>
      <c r="B2119" s="1">
        <f>DATE(2014,9,13) + TIME(5,49,43)</f>
        <v>41895.242858796293</v>
      </c>
      <c r="C2119">
        <v>80</v>
      </c>
      <c r="D2119">
        <v>79.965156554999993</v>
      </c>
      <c r="E2119">
        <v>50</v>
      </c>
      <c r="F2119">
        <v>45.323566436999997</v>
      </c>
      <c r="G2119">
        <v>1378.2789307</v>
      </c>
      <c r="H2119">
        <v>1364.9091797000001</v>
      </c>
      <c r="I2119">
        <v>1286.3990478999999</v>
      </c>
      <c r="J2119">
        <v>1265.4544678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1598.3748169999999</v>
      </c>
      <c r="B2120" s="1">
        <f>DATE(2014,9,15) + TIME(8,59,44)</f>
        <v>41897.374814814815</v>
      </c>
      <c r="C2120">
        <v>80</v>
      </c>
      <c r="D2120">
        <v>79.965187072999996</v>
      </c>
      <c r="E2120">
        <v>50</v>
      </c>
      <c r="F2120">
        <v>45.382823944000002</v>
      </c>
      <c r="G2120">
        <v>1378.2229004000001</v>
      </c>
      <c r="H2120">
        <v>1364.8596190999999</v>
      </c>
      <c r="I2120">
        <v>1286.3618164</v>
      </c>
      <c r="J2120">
        <v>1265.3880615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1600.5580640000001</v>
      </c>
      <c r="B2121" s="1">
        <f>DATE(2014,9,17) + TIME(13,23,36)</f>
        <v>41899.558055555557</v>
      </c>
      <c r="C2121">
        <v>80</v>
      </c>
      <c r="D2121">
        <v>79.965217589999995</v>
      </c>
      <c r="E2121">
        <v>50</v>
      </c>
      <c r="F2121">
        <v>45.454479218000003</v>
      </c>
      <c r="G2121">
        <v>1378.1662598</v>
      </c>
      <c r="H2121">
        <v>1364.8094481999999</v>
      </c>
      <c r="I2121">
        <v>1286.3271483999999</v>
      </c>
      <c r="J2121">
        <v>1265.3269043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1602.7980439999999</v>
      </c>
      <c r="B2122" s="1">
        <f>DATE(2014,9,19) + TIME(19,9,11)</f>
        <v>41901.798043981478</v>
      </c>
      <c r="C2122">
        <v>80</v>
      </c>
      <c r="D2122">
        <v>79.965255737000007</v>
      </c>
      <c r="E2122">
        <v>50</v>
      </c>
      <c r="F2122">
        <v>45.539783477999997</v>
      </c>
      <c r="G2122">
        <v>1378.1087646000001</v>
      </c>
      <c r="H2122">
        <v>1364.7584228999999</v>
      </c>
      <c r="I2122">
        <v>1286.2954102000001</v>
      </c>
      <c r="J2122">
        <v>1265.2717285000001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1605.054605</v>
      </c>
      <c r="B2123" s="1">
        <f>DATE(2014,9,22) + TIME(1,18,37)</f>
        <v>41904.054594907408</v>
      </c>
      <c r="C2123">
        <v>80</v>
      </c>
      <c r="D2123">
        <v>79.965286254999995</v>
      </c>
      <c r="E2123">
        <v>50</v>
      </c>
      <c r="F2123">
        <v>45.639636993000003</v>
      </c>
      <c r="G2123">
        <v>1378.050293</v>
      </c>
      <c r="H2123">
        <v>1364.706543</v>
      </c>
      <c r="I2123">
        <v>1286.2670897999999</v>
      </c>
      <c r="J2123">
        <v>1265.2231445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1607.3421310000001</v>
      </c>
      <c r="B2124" s="1">
        <f>DATE(2014,9,24) + TIME(8,12,40)</f>
        <v>41906.342129629629</v>
      </c>
      <c r="C2124">
        <v>80</v>
      </c>
      <c r="D2124">
        <v>79.965316771999994</v>
      </c>
      <c r="E2124">
        <v>50</v>
      </c>
      <c r="F2124">
        <v>45.753875731999997</v>
      </c>
      <c r="G2124">
        <v>1377.9919434000001</v>
      </c>
      <c r="H2124">
        <v>1364.6545410000001</v>
      </c>
      <c r="I2124">
        <v>1286.2425536999999</v>
      </c>
      <c r="J2124">
        <v>1265.1827393000001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1609.6680859999999</v>
      </c>
      <c r="B2125" s="1">
        <f>DATE(2014,9,26) + TIME(16,2,2)</f>
        <v>41908.668078703704</v>
      </c>
      <c r="C2125">
        <v>80</v>
      </c>
      <c r="D2125">
        <v>79.965354919000006</v>
      </c>
      <c r="E2125">
        <v>50</v>
      </c>
      <c r="F2125">
        <v>45.883312224999997</v>
      </c>
      <c r="G2125">
        <v>1377.9334716999999</v>
      </c>
      <c r="H2125">
        <v>1364.6024170000001</v>
      </c>
      <c r="I2125">
        <v>1286.2220459</v>
      </c>
      <c r="J2125">
        <v>1265.1506348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1612.0335729999999</v>
      </c>
      <c r="B2126" s="1">
        <f>DATE(2014,9,29) + TIME(0,48,20)</f>
        <v>41911.033564814818</v>
      </c>
      <c r="C2126">
        <v>80</v>
      </c>
      <c r="D2126">
        <v>79.965385436999995</v>
      </c>
      <c r="E2126">
        <v>50</v>
      </c>
      <c r="F2126">
        <v>46.028755187999998</v>
      </c>
      <c r="G2126">
        <v>1377.8746338000001</v>
      </c>
      <c r="H2126">
        <v>1364.5498047000001</v>
      </c>
      <c r="I2126">
        <v>1286.2055664</v>
      </c>
      <c r="J2126">
        <v>1265.1271973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1614</v>
      </c>
      <c r="B2127" s="1">
        <f>DATE(2014,10,1) + TIME(0,0,0)</f>
        <v>41913</v>
      </c>
      <c r="C2127">
        <v>80</v>
      </c>
      <c r="D2127">
        <v>79.965415954999997</v>
      </c>
      <c r="E2127">
        <v>50</v>
      </c>
      <c r="F2127">
        <v>46.183067321999999</v>
      </c>
      <c r="G2127">
        <v>1377.8154297000001</v>
      </c>
      <c r="H2127">
        <v>1364.4969481999999</v>
      </c>
      <c r="I2127">
        <v>1286.1953125</v>
      </c>
      <c r="J2127">
        <v>1265.1135254000001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1616.3920800000001</v>
      </c>
      <c r="B2128" s="1">
        <f>DATE(2014,10,3) + TIME(9,24,35)</f>
        <v>41915.392071759263</v>
      </c>
      <c r="C2128">
        <v>80</v>
      </c>
      <c r="D2128">
        <v>79.965454101999995</v>
      </c>
      <c r="E2128">
        <v>50</v>
      </c>
      <c r="F2128">
        <v>46.340396880999997</v>
      </c>
      <c r="G2128">
        <v>1377.7666016000001</v>
      </c>
      <c r="H2128">
        <v>1364.4532471</v>
      </c>
      <c r="I2128">
        <v>1286.1862793</v>
      </c>
      <c r="J2128">
        <v>1265.1096190999999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1618.823474</v>
      </c>
      <c r="B2129" s="1">
        <f>DATE(2014,10,5) + TIME(19,45,48)</f>
        <v>41917.823472222219</v>
      </c>
      <c r="C2129">
        <v>80</v>
      </c>
      <c r="D2129">
        <v>79.965484618999994</v>
      </c>
      <c r="E2129">
        <v>50</v>
      </c>
      <c r="F2129">
        <v>46.524944304999998</v>
      </c>
      <c r="G2129">
        <v>1377.7081298999999</v>
      </c>
      <c r="H2129">
        <v>1364.4007568</v>
      </c>
      <c r="I2129">
        <v>1286.1826172000001</v>
      </c>
      <c r="J2129">
        <v>1265.1124268000001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1621.289072</v>
      </c>
      <c r="B2130" s="1">
        <f>DATE(2014,10,8) + TIME(6,56,15)</f>
        <v>41920.2890625</v>
      </c>
      <c r="C2130">
        <v>80</v>
      </c>
      <c r="D2130">
        <v>79.965522766000007</v>
      </c>
      <c r="E2130">
        <v>50</v>
      </c>
      <c r="F2130">
        <v>46.727340697999999</v>
      </c>
      <c r="G2130">
        <v>1377.6494141000001</v>
      </c>
      <c r="H2130">
        <v>1364.3480225000001</v>
      </c>
      <c r="I2130">
        <v>1286.1827393000001</v>
      </c>
      <c r="J2130">
        <v>1265.1247559000001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1623.779479</v>
      </c>
      <c r="B2131" s="1">
        <f>DATE(2014,10,10) + TIME(18,42,27)</f>
        <v>41922.779479166667</v>
      </c>
      <c r="C2131">
        <v>80</v>
      </c>
      <c r="D2131">
        <v>79.965560913000004</v>
      </c>
      <c r="E2131">
        <v>50</v>
      </c>
      <c r="F2131">
        <v>46.944305419999999</v>
      </c>
      <c r="G2131">
        <v>1377.5905762</v>
      </c>
      <c r="H2131">
        <v>1364.2952881000001</v>
      </c>
      <c r="I2131">
        <v>1286.1868896000001</v>
      </c>
      <c r="J2131">
        <v>1265.1464844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1626.3065329999999</v>
      </c>
      <c r="B2132" s="1">
        <f>DATE(2014,10,13) + TIME(7,21,24)</f>
        <v>41925.306527777779</v>
      </c>
      <c r="C2132">
        <v>80</v>
      </c>
      <c r="D2132">
        <v>79.965599060000002</v>
      </c>
      <c r="E2132">
        <v>50</v>
      </c>
      <c r="F2132">
        <v>47.173946381</v>
      </c>
      <c r="G2132">
        <v>1377.5319824000001</v>
      </c>
      <c r="H2132">
        <v>1364.2425536999999</v>
      </c>
      <c r="I2132">
        <v>1286.1949463000001</v>
      </c>
      <c r="J2132">
        <v>1265.1768798999999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1628.8899879999999</v>
      </c>
      <c r="B2133" s="1">
        <f>DATE(2014,10,15) + TIME(21,21,34)</f>
        <v>41927.889976851853</v>
      </c>
      <c r="C2133">
        <v>80</v>
      </c>
      <c r="D2133">
        <v>79.965637207</v>
      </c>
      <c r="E2133">
        <v>50</v>
      </c>
      <c r="F2133">
        <v>47.415805816999999</v>
      </c>
      <c r="G2133">
        <v>1377.4735106999999</v>
      </c>
      <c r="H2133">
        <v>1364.1899414</v>
      </c>
      <c r="I2133">
        <v>1286.2066649999999</v>
      </c>
      <c r="J2133">
        <v>1265.2158202999999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1631.4812890000001</v>
      </c>
      <c r="B2134" s="1">
        <f>DATE(2014,10,18) + TIME(11,33,3)</f>
        <v>41930.48128472222</v>
      </c>
      <c r="C2134">
        <v>80</v>
      </c>
      <c r="D2134">
        <v>79.965675353999998</v>
      </c>
      <c r="E2134">
        <v>50</v>
      </c>
      <c r="F2134">
        <v>47.668727875000002</v>
      </c>
      <c r="G2134">
        <v>1377.4146728999999</v>
      </c>
      <c r="H2134">
        <v>1364.1369629000001</v>
      </c>
      <c r="I2134">
        <v>1286.2222899999999</v>
      </c>
      <c r="J2134">
        <v>1265.2626952999999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1634.098375</v>
      </c>
      <c r="B2135" s="1">
        <f>DATE(2014,10,21) + TIME(2,21,39)</f>
        <v>41933.098368055558</v>
      </c>
      <c r="C2135">
        <v>80</v>
      </c>
      <c r="D2135">
        <v>79.965713500999996</v>
      </c>
      <c r="E2135">
        <v>50</v>
      </c>
      <c r="F2135">
        <v>47.928695679</v>
      </c>
      <c r="G2135">
        <v>1377.3566894999999</v>
      </c>
      <c r="H2135">
        <v>1364.0847168</v>
      </c>
      <c r="I2135">
        <v>1286.2407227000001</v>
      </c>
      <c r="J2135">
        <v>1265.3165283000001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1636.752606</v>
      </c>
      <c r="B2136" s="1">
        <f>DATE(2014,10,23) + TIME(18,3,45)</f>
        <v>41935.752604166664</v>
      </c>
      <c r="C2136">
        <v>80</v>
      </c>
      <c r="D2136">
        <v>79.965751647999994</v>
      </c>
      <c r="E2136">
        <v>50</v>
      </c>
      <c r="F2136">
        <v>48.194473266999999</v>
      </c>
      <c r="G2136">
        <v>1377.2991943</v>
      </c>
      <c r="H2136">
        <v>1364.0328368999999</v>
      </c>
      <c r="I2136">
        <v>1286.2619629000001</v>
      </c>
      <c r="J2136">
        <v>1265.3763428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1639.455555</v>
      </c>
      <c r="B2137" s="1">
        <f>DATE(2014,10,26) + TIME(10,55,59)</f>
        <v>41938.455543981479</v>
      </c>
      <c r="C2137">
        <v>80</v>
      </c>
      <c r="D2137">
        <v>79.965789795000006</v>
      </c>
      <c r="E2137">
        <v>50</v>
      </c>
      <c r="F2137">
        <v>48.465454102000002</v>
      </c>
      <c r="G2137">
        <v>1377.2418213000001</v>
      </c>
      <c r="H2137">
        <v>1363.9810791</v>
      </c>
      <c r="I2137">
        <v>1286.2855225000001</v>
      </c>
      <c r="J2137">
        <v>1265.4416504000001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1642.2314779999999</v>
      </c>
      <c r="B2138" s="1">
        <f>DATE(2014,10,29) + TIME(5,33,19)</f>
        <v>41941.231469907405</v>
      </c>
      <c r="C2138">
        <v>80</v>
      </c>
      <c r="D2138">
        <v>79.965827942000004</v>
      </c>
      <c r="E2138">
        <v>50</v>
      </c>
      <c r="F2138">
        <v>48.741142273000001</v>
      </c>
      <c r="G2138">
        <v>1377.1846923999999</v>
      </c>
      <c r="H2138">
        <v>1363.9295654</v>
      </c>
      <c r="I2138">
        <v>1286.3112793</v>
      </c>
      <c r="J2138">
        <v>1265.5115966999999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1645</v>
      </c>
      <c r="B2139" s="1">
        <f>DATE(2014,11,1) + TIME(0,0,0)</f>
        <v>41944</v>
      </c>
      <c r="C2139">
        <v>80</v>
      </c>
      <c r="D2139">
        <v>79.965873717999997</v>
      </c>
      <c r="E2139">
        <v>50</v>
      </c>
      <c r="F2139">
        <v>49.019805908000002</v>
      </c>
      <c r="G2139">
        <v>1377.1271973</v>
      </c>
      <c r="H2139">
        <v>1363.8775635</v>
      </c>
      <c r="I2139">
        <v>1286.3392334</v>
      </c>
      <c r="J2139">
        <v>1265.5858154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1645.0000010000001</v>
      </c>
      <c r="B2140" s="1">
        <f>DATE(2014,11,1) + TIME(0,0,0)</f>
        <v>41944</v>
      </c>
      <c r="C2140">
        <v>80</v>
      </c>
      <c r="D2140">
        <v>79.965721130000006</v>
      </c>
      <c r="E2140">
        <v>50</v>
      </c>
      <c r="F2140">
        <v>49.019950866999999</v>
      </c>
      <c r="G2140">
        <v>1363.0026855000001</v>
      </c>
      <c r="H2140">
        <v>1350.9388428</v>
      </c>
      <c r="I2140">
        <v>1308.0974120999999</v>
      </c>
      <c r="J2140">
        <v>1287.2774658000001</v>
      </c>
      <c r="K2140">
        <v>0</v>
      </c>
      <c r="L2140">
        <v>2400</v>
      </c>
      <c r="M2140">
        <v>2400</v>
      </c>
      <c r="N2140">
        <v>0</v>
      </c>
    </row>
    <row r="2141" spans="1:14" x14ac:dyDescent="0.25">
      <c r="A2141">
        <v>1645.000004</v>
      </c>
      <c r="B2141" s="1">
        <f>DATE(2014,11,1) + TIME(0,0,0)</f>
        <v>41944</v>
      </c>
      <c r="C2141">
        <v>80</v>
      </c>
      <c r="D2141">
        <v>79.965332031000003</v>
      </c>
      <c r="E2141">
        <v>50</v>
      </c>
      <c r="F2141">
        <v>49.020339966000002</v>
      </c>
      <c r="G2141">
        <v>1360.7935791</v>
      </c>
      <c r="H2141">
        <v>1348.7293701000001</v>
      </c>
      <c r="I2141">
        <v>1310.4831543</v>
      </c>
      <c r="J2141">
        <v>1289.7824707</v>
      </c>
      <c r="K2141">
        <v>0</v>
      </c>
      <c r="L2141">
        <v>2400</v>
      </c>
      <c r="M2141">
        <v>2400</v>
      </c>
      <c r="N2141">
        <v>0</v>
      </c>
    </row>
    <row r="2142" spans="1:14" x14ac:dyDescent="0.25">
      <c r="A2142">
        <v>1645.0000130000001</v>
      </c>
      <c r="B2142" s="1">
        <f>DATE(2014,11,1) + TIME(0,0,1)</f>
        <v>41944.000011574077</v>
      </c>
      <c r="C2142">
        <v>80</v>
      </c>
      <c r="D2142">
        <v>79.964561462000006</v>
      </c>
      <c r="E2142">
        <v>50</v>
      </c>
      <c r="F2142">
        <v>49.021217346</v>
      </c>
      <c r="G2142">
        <v>1356.3387451000001</v>
      </c>
      <c r="H2142">
        <v>1344.2741699000001</v>
      </c>
      <c r="I2142">
        <v>1315.9274902</v>
      </c>
      <c r="J2142">
        <v>1295.4187012</v>
      </c>
      <c r="K2142">
        <v>0</v>
      </c>
      <c r="L2142">
        <v>2400</v>
      </c>
      <c r="M2142">
        <v>2400</v>
      </c>
      <c r="N2142">
        <v>0</v>
      </c>
    </row>
    <row r="2143" spans="1:14" x14ac:dyDescent="0.25">
      <c r="A2143">
        <v>1645.0000399999999</v>
      </c>
      <c r="B2143" s="1">
        <f>DATE(2014,11,1) + TIME(0,0,3)</f>
        <v>41944.000034722223</v>
      </c>
      <c r="C2143">
        <v>80</v>
      </c>
      <c r="D2143">
        <v>79.963432311999995</v>
      </c>
      <c r="E2143">
        <v>50</v>
      </c>
      <c r="F2143">
        <v>49.022731780999997</v>
      </c>
      <c r="G2143">
        <v>1349.840332</v>
      </c>
      <c r="H2143">
        <v>1337.776001</v>
      </c>
      <c r="I2143">
        <v>1325.2825928</v>
      </c>
      <c r="J2143">
        <v>1304.9125977000001</v>
      </c>
      <c r="K2143">
        <v>0</v>
      </c>
      <c r="L2143">
        <v>2400</v>
      </c>
      <c r="M2143">
        <v>2400</v>
      </c>
      <c r="N2143">
        <v>0</v>
      </c>
    </row>
    <row r="2144" spans="1:14" x14ac:dyDescent="0.25">
      <c r="A2144">
        <v>1645.000121</v>
      </c>
      <c r="B2144" s="1">
        <f>DATE(2014,11,1) + TIME(0,0,10)</f>
        <v>41944.000115740739</v>
      </c>
      <c r="C2144">
        <v>80</v>
      </c>
      <c r="D2144">
        <v>79.962158203000001</v>
      </c>
      <c r="E2144">
        <v>50</v>
      </c>
      <c r="F2144">
        <v>49.024612427000001</v>
      </c>
      <c r="G2144">
        <v>1342.6119385</v>
      </c>
      <c r="H2144">
        <v>1330.5522461</v>
      </c>
      <c r="I2144">
        <v>1336.8487548999999</v>
      </c>
      <c r="J2144">
        <v>1316.4539795000001</v>
      </c>
      <c r="K2144">
        <v>0</v>
      </c>
      <c r="L2144">
        <v>2400</v>
      </c>
      <c r="M2144">
        <v>2400</v>
      </c>
      <c r="N2144">
        <v>0</v>
      </c>
    </row>
    <row r="2145" spans="1:14" x14ac:dyDescent="0.25">
      <c r="A2145">
        <v>1645.000364</v>
      </c>
      <c r="B2145" s="1">
        <f>DATE(2014,11,1) + TIME(0,0,31)</f>
        <v>41944.000358796293</v>
      </c>
      <c r="C2145">
        <v>80</v>
      </c>
      <c r="D2145">
        <v>79.960853576999995</v>
      </c>
      <c r="E2145">
        <v>50</v>
      </c>
      <c r="F2145">
        <v>49.026817321999999</v>
      </c>
      <c r="G2145">
        <v>1335.3492432</v>
      </c>
      <c r="H2145">
        <v>1323.2946777</v>
      </c>
      <c r="I2145">
        <v>1348.9804687999999</v>
      </c>
      <c r="J2145">
        <v>1328.5678711</v>
      </c>
      <c r="K2145">
        <v>0</v>
      </c>
      <c r="L2145">
        <v>2400</v>
      </c>
      <c r="M2145">
        <v>2400</v>
      </c>
      <c r="N2145">
        <v>0</v>
      </c>
    </row>
    <row r="2146" spans="1:14" x14ac:dyDescent="0.25">
      <c r="A2146">
        <v>1645.0010930000001</v>
      </c>
      <c r="B2146" s="1">
        <f>DATE(2014,11,1) + TIME(0,1,34)</f>
        <v>41944.001087962963</v>
      </c>
      <c r="C2146">
        <v>80</v>
      </c>
      <c r="D2146">
        <v>79.959449767999999</v>
      </c>
      <c r="E2146">
        <v>50</v>
      </c>
      <c r="F2146">
        <v>49.029758452999999</v>
      </c>
      <c r="G2146">
        <v>1328.0662841999999</v>
      </c>
      <c r="H2146">
        <v>1315.9938964999999</v>
      </c>
      <c r="I2146">
        <v>1361.3026123</v>
      </c>
      <c r="J2146">
        <v>1340.8604736</v>
      </c>
      <c r="K2146">
        <v>0</v>
      </c>
      <c r="L2146">
        <v>2400</v>
      </c>
      <c r="M2146">
        <v>2400</v>
      </c>
      <c r="N2146">
        <v>0</v>
      </c>
    </row>
    <row r="2147" spans="1:14" x14ac:dyDescent="0.25">
      <c r="A2147">
        <v>1645.0032799999999</v>
      </c>
      <c r="B2147" s="1">
        <f>DATE(2014,11,1) + TIME(0,4,43)</f>
        <v>41944.003275462965</v>
      </c>
      <c r="C2147">
        <v>80</v>
      </c>
      <c r="D2147">
        <v>79.957733153999996</v>
      </c>
      <c r="E2147">
        <v>50</v>
      </c>
      <c r="F2147">
        <v>49.034824370999999</v>
      </c>
      <c r="G2147">
        <v>1320.6553954999999</v>
      </c>
      <c r="H2147">
        <v>1308.4813231999999</v>
      </c>
      <c r="I2147">
        <v>1373.7122803</v>
      </c>
      <c r="J2147">
        <v>1353.1724853999999</v>
      </c>
      <c r="K2147">
        <v>0</v>
      </c>
      <c r="L2147">
        <v>2400</v>
      </c>
      <c r="M2147">
        <v>2400</v>
      </c>
      <c r="N2147">
        <v>0</v>
      </c>
    </row>
    <row r="2148" spans="1:14" x14ac:dyDescent="0.25">
      <c r="A2148">
        <v>1645.0098410000001</v>
      </c>
      <c r="B2148" s="1">
        <f>DATE(2014,11,1) + TIME(0,14,10)</f>
        <v>41944.009837962964</v>
      </c>
      <c r="C2148">
        <v>80</v>
      </c>
      <c r="D2148">
        <v>79.955207825000002</v>
      </c>
      <c r="E2148">
        <v>50</v>
      </c>
      <c r="F2148">
        <v>49.046058655000003</v>
      </c>
      <c r="G2148">
        <v>1313.4852295000001</v>
      </c>
      <c r="H2148">
        <v>1301.1693115</v>
      </c>
      <c r="I2148">
        <v>1385.0866699000001</v>
      </c>
      <c r="J2148">
        <v>1364.3898925999999</v>
      </c>
      <c r="K2148">
        <v>0</v>
      </c>
      <c r="L2148">
        <v>2400</v>
      </c>
      <c r="M2148">
        <v>2400</v>
      </c>
      <c r="N2148">
        <v>0</v>
      </c>
    </row>
    <row r="2149" spans="1:14" x14ac:dyDescent="0.25">
      <c r="A2149">
        <v>1645.029524</v>
      </c>
      <c r="B2149" s="1">
        <f>DATE(2014,11,1) + TIME(0,42,30)</f>
        <v>41944.029513888891</v>
      </c>
      <c r="C2149">
        <v>80</v>
      </c>
      <c r="D2149">
        <v>79.950462341000005</v>
      </c>
      <c r="E2149">
        <v>50</v>
      </c>
      <c r="F2149">
        <v>49.075096129999999</v>
      </c>
      <c r="G2149">
        <v>1307.8726807</v>
      </c>
      <c r="H2149">
        <v>1295.4808350000001</v>
      </c>
      <c r="I2149">
        <v>1393.0902100000001</v>
      </c>
      <c r="J2149">
        <v>1372.2784423999999</v>
      </c>
      <c r="K2149">
        <v>0</v>
      </c>
      <c r="L2149">
        <v>2400</v>
      </c>
      <c r="M2149">
        <v>2400</v>
      </c>
      <c r="N2149">
        <v>0</v>
      </c>
    </row>
    <row r="2150" spans="1:14" x14ac:dyDescent="0.25">
      <c r="A2150">
        <v>1645.083772</v>
      </c>
      <c r="B2150" s="1">
        <f>DATE(2014,11,1) + TIME(2,0,37)</f>
        <v>41944.083761574075</v>
      </c>
      <c r="C2150">
        <v>80</v>
      </c>
      <c r="D2150">
        <v>79.940124511999997</v>
      </c>
      <c r="E2150">
        <v>50</v>
      </c>
      <c r="F2150">
        <v>49.146301270000002</v>
      </c>
      <c r="G2150">
        <v>1305.1657714999999</v>
      </c>
      <c r="H2150">
        <v>1292.7524414</v>
      </c>
      <c r="I2150">
        <v>1396.2662353999999</v>
      </c>
      <c r="J2150">
        <v>1375.4527588000001</v>
      </c>
      <c r="K2150">
        <v>0</v>
      </c>
      <c r="L2150">
        <v>2400</v>
      </c>
      <c r="M2150">
        <v>2400</v>
      </c>
      <c r="N2150">
        <v>0</v>
      </c>
    </row>
    <row r="2151" spans="1:14" x14ac:dyDescent="0.25">
      <c r="A2151">
        <v>1645.1412889999999</v>
      </c>
      <c r="B2151" s="1">
        <f>DATE(2014,11,1) + TIME(3,23,27)</f>
        <v>41944.141284722224</v>
      </c>
      <c r="C2151">
        <v>80</v>
      </c>
      <c r="D2151">
        <v>79.929779053000004</v>
      </c>
      <c r="E2151">
        <v>50</v>
      </c>
      <c r="F2151">
        <v>49.215076447000001</v>
      </c>
      <c r="G2151">
        <v>1304.5787353999999</v>
      </c>
      <c r="H2151">
        <v>1292.1617432</v>
      </c>
      <c r="I2151">
        <v>1396.6894531</v>
      </c>
      <c r="J2151">
        <v>1375.9187012</v>
      </c>
      <c r="K2151">
        <v>0</v>
      </c>
      <c r="L2151">
        <v>2400</v>
      </c>
      <c r="M2151">
        <v>2400</v>
      </c>
      <c r="N2151">
        <v>0</v>
      </c>
    </row>
    <row r="2152" spans="1:14" x14ac:dyDescent="0.25">
      <c r="A2152">
        <v>1645.2021569999999</v>
      </c>
      <c r="B2152" s="1">
        <f>DATE(2014,11,1) + TIME(4,51,6)</f>
        <v>41944.202152777776</v>
      </c>
      <c r="C2152">
        <v>80</v>
      </c>
      <c r="D2152">
        <v>79.919166564999998</v>
      </c>
      <c r="E2152">
        <v>50</v>
      </c>
      <c r="F2152">
        <v>49.281364441000001</v>
      </c>
      <c r="G2152">
        <v>1304.4393310999999</v>
      </c>
      <c r="H2152">
        <v>1292.0212402</v>
      </c>
      <c r="I2152">
        <v>1396.6317139</v>
      </c>
      <c r="J2152">
        <v>1375.9108887</v>
      </c>
      <c r="K2152">
        <v>0</v>
      </c>
      <c r="L2152">
        <v>2400</v>
      </c>
      <c r="M2152">
        <v>2400</v>
      </c>
      <c r="N2152">
        <v>0</v>
      </c>
    </row>
    <row r="2153" spans="1:14" x14ac:dyDescent="0.25">
      <c r="A2153">
        <v>1645.266791</v>
      </c>
      <c r="B2153" s="1">
        <f>DATE(2014,11,1) + TIME(6,24,10)</f>
        <v>41944.266782407409</v>
      </c>
      <c r="C2153">
        <v>80</v>
      </c>
      <c r="D2153">
        <v>79.908195496000005</v>
      </c>
      <c r="E2153">
        <v>50</v>
      </c>
      <c r="F2153">
        <v>49.345195769999997</v>
      </c>
      <c r="G2153">
        <v>1304.4018555</v>
      </c>
      <c r="H2153">
        <v>1291.9831543</v>
      </c>
      <c r="I2153">
        <v>1396.4968262</v>
      </c>
      <c r="J2153">
        <v>1375.8264160000001</v>
      </c>
      <c r="K2153">
        <v>0</v>
      </c>
      <c r="L2153">
        <v>2400</v>
      </c>
      <c r="M2153">
        <v>2400</v>
      </c>
      <c r="N2153">
        <v>0</v>
      </c>
    </row>
    <row r="2154" spans="1:14" x14ac:dyDescent="0.25">
      <c r="A2154">
        <v>1645.335754</v>
      </c>
      <c r="B2154" s="1">
        <f>DATE(2014,11,1) + TIME(8,3,29)</f>
        <v>41944.335752314815</v>
      </c>
      <c r="C2154">
        <v>80</v>
      </c>
      <c r="D2154">
        <v>79.896774292000003</v>
      </c>
      <c r="E2154">
        <v>50</v>
      </c>
      <c r="F2154">
        <v>49.406589508000003</v>
      </c>
      <c r="G2154">
        <v>1304.3892822</v>
      </c>
      <c r="H2154">
        <v>1291.9702147999999</v>
      </c>
      <c r="I2154">
        <v>1396.3549805</v>
      </c>
      <c r="J2154">
        <v>1375.7341309000001</v>
      </c>
      <c r="K2154">
        <v>0</v>
      </c>
      <c r="L2154">
        <v>2400</v>
      </c>
      <c r="M2154">
        <v>2400</v>
      </c>
      <c r="N2154">
        <v>0</v>
      </c>
    </row>
    <row r="2155" spans="1:14" x14ac:dyDescent="0.25">
      <c r="A2155">
        <v>1645.409748</v>
      </c>
      <c r="B2155" s="1">
        <f>DATE(2014,11,1) + TIME(9,50,2)</f>
        <v>41944.409745370373</v>
      </c>
      <c r="C2155">
        <v>80</v>
      </c>
      <c r="D2155">
        <v>79.884834290000001</v>
      </c>
      <c r="E2155">
        <v>50</v>
      </c>
      <c r="F2155">
        <v>49.465568542</v>
      </c>
      <c r="G2155">
        <v>1304.3831786999999</v>
      </c>
      <c r="H2155">
        <v>1291.9636230000001</v>
      </c>
      <c r="I2155">
        <v>1396.2161865</v>
      </c>
      <c r="J2155">
        <v>1375.644043</v>
      </c>
      <c r="K2155">
        <v>0</v>
      </c>
      <c r="L2155">
        <v>2400</v>
      </c>
      <c r="M2155">
        <v>2400</v>
      </c>
      <c r="N2155">
        <v>0</v>
      </c>
    </row>
    <row r="2156" spans="1:14" x14ac:dyDescent="0.25">
      <c r="A2156">
        <v>1645.4896530000001</v>
      </c>
      <c r="B2156" s="1">
        <f>DATE(2014,11,1) + TIME(11,45,5)</f>
        <v>41944.489641203705</v>
      </c>
      <c r="C2156">
        <v>80</v>
      </c>
      <c r="D2156">
        <v>79.872276306000003</v>
      </c>
      <c r="E2156">
        <v>50</v>
      </c>
      <c r="F2156">
        <v>49.522125244000001</v>
      </c>
      <c r="G2156">
        <v>1304.3787841999999</v>
      </c>
      <c r="H2156">
        <v>1291.9587402</v>
      </c>
      <c r="I2156">
        <v>1396.0809326000001</v>
      </c>
      <c r="J2156">
        <v>1375.5563964999999</v>
      </c>
      <c r="K2156">
        <v>0</v>
      </c>
      <c r="L2156">
        <v>2400</v>
      </c>
      <c r="M2156">
        <v>2400</v>
      </c>
      <c r="N2156">
        <v>0</v>
      </c>
    </row>
    <row r="2157" spans="1:14" x14ac:dyDescent="0.25">
      <c r="A2157">
        <v>1645.5765710000001</v>
      </c>
      <c r="B2157" s="1">
        <f>DATE(2014,11,1) + TIME(13,50,15)</f>
        <v>41944.576562499999</v>
      </c>
      <c r="C2157">
        <v>80</v>
      </c>
      <c r="D2157">
        <v>79.858978270999998</v>
      </c>
      <c r="E2157">
        <v>50</v>
      </c>
      <c r="F2157">
        <v>49.576251984000002</v>
      </c>
      <c r="G2157">
        <v>1304.3747559000001</v>
      </c>
      <c r="H2157">
        <v>1291.9541016000001</v>
      </c>
      <c r="I2157">
        <v>1395.9488524999999</v>
      </c>
      <c r="J2157">
        <v>1375.4708252</v>
      </c>
      <c r="K2157">
        <v>0</v>
      </c>
      <c r="L2157">
        <v>2400</v>
      </c>
      <c r="M2157">
        <v>2400</v>
      </c>
      <c r="N2157">
        <v>0</v>
      </c>
    </row>
    <row r="2158" spans="1:14" x14ac:dyDescent="0.25">
      <c r="A2158">
        <v>1645.671949</v>
      </c>
      <c r="B2158" s="1">
        <f>DATE(2014,11,1) + TIME(16,7,36)</f>
        <v>41944.671944444446</v>
      </c>
      <c r="C2158">
        <v>80</v>
      </c>
      <c r="D2158">
        <v>79.844787597999996</v>
      </c>
      <c r="E2158">
        <v>50</v>
      </c>
      <c r="F2158">
        <v>49.627910614000001</v>
      </c>
      <c r="G2158">
        <v>1304.3704834</v>
      </c>
      <c r="H2158">
        <v>1291.9493408000001</v>
      </c>
      <c r="I2158">
        <v>1395.8193358999999</v>
      </c>
      <c r="J2158">
        <v>1375.3869629000001</v>
      </c>
      <c r="K2158">
        <v>0</v>
      </c>
      <c r="L2158">
        <v>2400</v>
      </c>
      <c r="M2158">
        <v>2400</v>
      </c>
      <c r="N2158">
        <v>0</v>
      </c>
    </row>
    <row r="2159" spans="1:14" x14ac:dyDescent="0.25">
      <c r="A2159">
        <v>1645.7777129999999</v>
      </c>
      <c r="B2159" s="1">
        <f>DATE(2014,11,1) + TIME(18,39,54)</f>
        <v>41944.777708333335</v>
      </c>
      <c r="C2159">
        <v>80</v>
      </c>
      <c r="D2159">
        <v>79.829505920000003</v>
      </c>
      <c r="E2159">
        <v>50</v>
      </c>
      <c r="F2159">
        <v>49.677059174</v>
      </c>
      <c r="G2159">
        <v>1304.3659668</v>
      </c>
      <c r="H2159">
        <v>1291.9442139</v>
      </c>
      <c r="I2159">
        <v>1395.6922606999999</v>
      </c>
      <c r="J2159">
        <v>1375.3045654</v>
      </c>
      <c r="K2159">
        <v>0</v>
      </c>
      <c r="L2159">
        <v>2400</v>
      </c>
      <c r="M2159">
        <v>2400</v>
      </c>
      <c r="N2159">
        <v>0</v>
      </c>
    </row>
    <row r="2160" spans="1:14" x14ac:dyDescent="0.25">
      <c r="A2160">
        <v>1645.896471</v>
      </c>
      <c r="B2160" s="1">
        <f>DATE(2014,11,1) + TIME(21,30,55)</f>
        <v>41944.896469907406</v>
      </c>
      <c r="C2160">
        <v>80</v>
      </c>
      <c r="D2160">
        <v>79.812866210999999</v>
      </c>
      <c r="E2160">
        <v>50</v>
      </c>
      <c r="F2160">
        <v>49.723613739000001</v>
      </c>
      <c r="G2160">
        <v>1304.3610839999999</v>
      </c>
      <c r="H2160">
        <v>1291.9385986</v>
      </c>
      <c r="I2160">
        <v>1395.5675048999999</v>
      </c>
      <c r="J2160">
        <v>1375.2235106999999</v>
      </c>
      <c r="K2160">
        <v>0</v>
      </c>
      <c r="L2160">
        <v>2400</v>
      </c>
      <c r="M2160">
        <v>2400</v>
      </c>
      <c r="N2160">
        <v>0</v>
      </c>
    </row>
    <row r="2161" spans="1:14" x14ac:dyDescent="0.25">
      <c r="A2161">
        <v>1646.031888</v>
      </c>
      <c r="B2161" s="1">
        <f>DATE(2014,11,2) + TIME(0,45,55)</f>
        <v>41945.031886574077</v>
      </c>
      <c r="C2161">
        <v>80</v>
      </c>
      <c r="D2161">
        <v>79.794509887999993</v>
      </c>
      <c r="E2161">
        <v>50</v>
      </c>
      <c r="F2161">
        <v>49.767456054999997</v>
      </c>
      <c r="G2161">
        <v>1304.3555908000001</v>
      </c>
      <c r="H2161">
        <v>1291.9323730000001</v>
      </c>
      <c r="I2161">
        <v>1395.4449463000001</v>
      </c>
      <c r="J2161">
        <v>1375.1437988</v>
      </c>
      <c r="K2161">
        <v>0</v>
      </c>
      <c r="L2161">
        <v>2400</v>
      </c>
      <c r="M2161">
        <v>2400</v>
      </c>
      <c r="N2161">
        <v>0</v>
      </c>
    </row>
    <row r="2162" spans="1:14" x14ac:dyDescent="0.25">
      <c r="A2162">
        <v>1646.189314</v>
      </c>
      <c r="B2162" s="1">
        <f>DATE(2014,11,2) + TIME(4,32,36)</f>
        <v>41945.189305555556</v>
      </c>
      <c r="C2162">
        <v>80</v>
      </c>
      <c r="D2162">
        <v>79.773933411000002</v>
      </c>
      <c r="E2162">
        <v>50</v>
      </c>
      <c r="F2162">
        <v>49.808410645000002</v>
      </c>
      <c r="G2162">
        <v>1304.3493652</v>
      </c>
      <c r="H2162">
        <v>1291.925293</v>
      </c>
      <c r="I2162">
        <v>1395.3243408000001</v>
      </c>
      <c r="J2162">
        <v>1375.0650635</v>
      </c>
      <c r="K2162">
        <v>0</v>
      </c>
      <c r="L2162">
        <v>2400</v>
      </c>
      <c r="M2162">
        <v>2400</v>
      </c>
      <c r="N2162">
        <v>0</v>
      </c>
    </row>
    <row r="2163" spans="1:14" x14ac:dyDescent="0.25">
      <c r="A2163">
        <v>1646.3769440000001</v>
      </c>
      <c r="B2163" s="1">
        <f>DATE(2014,11,2) + TIME(9,2,47)</f>
        <v>41945.376932870371</v>
      </c>
      <c r="C2163">
        <v>80</v>
      </c>
      <c r="D2163">
        <v>79.750404357999997</v>
      </c>
      <c r="E2163">
        <v>50</v>
      </c>
      <c r="F2163">
        <v>49.846240997000002</v>
      </c>
      <c r="G2163">
        <v>1304.3422852000001</v>
      </c>
      <c r="H2163">
        <v>1291.9171143000001</v>
      </c>
      <c r="I2163">
        <v>1395.2056885</v>
      </c>
      <c r="J2163">
        <v>1374.9874268000001</v>
      </c>
      <c r="K2163">
        <v>0</v>
      </c>
      <c r="L2163">
        <v>2400</v>
      </c>
      <c r="M2163">
        <v>2400</v>
      </c>
      <c r="N2163">
        <v>0</v>
      </c>
    </row>
    <row r="2164" spans="1:14" x14ac:dyDescent="0.25">
      <c r="A2164">
        <v>1646.578939</v>
      </c>
      <c r="B2164" s="1">
        <f>DATE(2014,11,2) + TIME(13,53,40)</f>
        <v>41945.578935185185</v>
      </c>
      <c r="C2164">
        <v>80</v>
      </c>
      <c r="D2164">
        <v>79.725456238000007</v>
      </c>
      <c r="E2164">
        <v>50</v>
      </c>
      <c r="F2164">
        <v>49.877296448000003</v>
      </c>
      <c r="G2164">
        <v>1304.3337402</v>
      </c>
      <c r="H2164">
        <v>1291.9077147999999</v>
      </c>
      <c r="I2164">
        <v>1395.0983887</v>
      </c>
      <c r="J2164">
        <v>1374.9167480000001</v>
      </c>
      <c r="K2164">
        <v>0</v>
      </c>
      <c r="L2164">
        <v>2400</v>
      </c>
      <c r="M2164">
        <v>2400</v>
      </c>
      <c r="N2164">
        <v>0</v>
      </c>
    </row>
    <row r="2165" spans="1:14" x14ac:dyDescent="0.25">
      <c r="A2165">
        <v>1646.7838999999999</v>
      </c>
      <c r="B2165" s="1">
        <f>DATE(2014,11,2) + TIME(18,48,48)</f>
        <v>41945.783888888887</v>
      </c>
      <c r="C2165">
        <v>80</v>
      </c>
      <c r="D2165">
        <v>79.700172424000002</v>
      </c>
      <c r="E2165">
        <v>50</v>
      </c>
      <c r="F2165">
        <v>49.901256560999997</v>
      </c>
      <c r="G2165">
        <v>1304.324707</v>
      </c>
      <c r="H2165">
        <v>1291.8975829999999</v>
      </c>
      <c r="I2165">
        <v>1395.0062256000001</v>
      </c>
      <c r="J2165">
        <v>1374.8555908000001</v>
      </c>
      <c r="K2165">
        <v>0</v>
      </c>
      <c r="L2165">
        <v>2400</v>
      </c>
      <c r="M2165">
        <v>2400</v>
      </c>
      <c r="N2165">
        <v>0</v>
      </c>
    </row>
    <row r="2166" spans="1:14" x14ac:dyDescent="0.25">
      <c r="A2166">
        <v>1646.9960980000001</v>
      </c>
      <c r="B2166" s="1">
        <f>DATE(2014,11,2) + TIME(23,54,22)</f>
        <v>41945.996087962965</v>
      </c>
      <c r="C2166">
        <v>80</v>
      </c>
      <c r="D2166">
        <v>79.674186707000004</v>
      </c>
      <c r="E2166">
        <v>50</v>
      </c>
      <c r="F2166">
        <v>49.919982910000002</v>
      </c>
      <c r="G2166">
        <v>1304.3155518000001</v>
      </c>
      <c r="H2166">
        <v>1291.8874512</v>
      </c>
      <c r="I2166">
        <v>1394.9262695</v>
      </c>
      <c r="J2166">
        <v>1374.8023682</v>
      </c>
      <c r="K2166">
        <v>0</v>
      </c>
      <c r="L2166">
        <v>2400</v>
      </c>
      <c r="M2166">
        <v>2400</v>
      </c>
      <c r="N2166">
        <v>0</v>
      </c>
    </row>
    <row r="2167" spans="1:14" x14ac:dyDescent="0.25">
      <c r="A2167">
        <v>1647.218294</v>
      </c>
      <c r="B2167" s="1">
        <f>DATE(2014,11,3) + TIME(5,14,20)</f>
        <v>41946.218287037038</v>
      </c>
      <c r="C2167">
        <v>80</v>
      </c>
      <c r="D2167">
        <v>79.647277832</v>
      </c>
      <c r="E2167">
        <v>50</v>
      </c>
      <c r="F2167">
        <v>49.934627532999997</v>
      </c>
      <c r="G2167">
        <v>1304.3061522999999</v>
      </c>
      <c r="H2167">
        <v>1291.8769531</v>
      </c>
      <c r="I2167">
        <v>1394.855957</v>
      </c>
      <c r="J2167">
        <v>1374.755249</v>
      </c>
      <c r="K2167">
        <v>0</v>
      </c>
      <c r="L2167">
        <v>2400</v>
      </c>
      <c r="M2167">
        <v>2400</v>
      </c>
      <c r="N2167">
        <v>0</v>
      </c>
    </row>
    <row r="2168" spans="1:14" x14ac:dyDescent="0.25">
      <c r="A2168">
        <v>1647.4536499999999</v>
      </c>
      <c r="B2168" s="1">
        <f>DATE(2014,11,3) + TIME(10,53,15)</f>
        <v>41946.453645833331</v>
      </c>
      <c r="C2168">
        <v>80</v>
      </c>
      <c r="D2168">
        <v>79.619155883999994</v>
      </c>
      <c r="E2168">
        <v>50</v>
      </c>
      <c r="F2168">
        <v>49.946060181</v>
      </c>
      <c r="G2168">
        <v>1304.2965088000001</v>
      </c>
      <c r="H2168">
        <v>1291.8660889</v>
      </c>
      <c r="I2168">
        <v>1394.7930908000001</v>
      </c>
      <c r="J2168">
        <v>1374.7128906</v>
      </c>
      <c r="K2168">
        <v>0</v>
      </c>
      <c r="L2168">
        <v>2400</v>
      </c>
      <c r="M2168">
        <v>2400</v>
      </c>
      <c r="N2168">
        <v>0</v>
      </c>
    </row>
    <row r="2169" spans="1:14" x14ac:dyDescent="0.25">
      <c r="A2169">
        <v>1647.7044860000001</v>
      </c>
      <c r="B2169" s="1">
        <f>DATE(2014,11,3) + TIME(16,54,27)</f>
        <v>41946.704479166663</v>
      </c>
      <c r="C2169">
        <v>80</v>
      </c>
      <c r="D2169">
        <v>79.589614867999998</v>
      </c>
      <c r="E2169">
        <v>50</v>
      </c>
      <c r="F2169">
        <v>49.954898833999998</v>
      </c>
      <c r="G2169">
        <v>1304.2863769999999</v>
      </c>
      <c r="H2169">
        <v>1291.8546143000001</v>
      </c>
      <c r="I2169">
        <v>1394.7362060999999</v>
      </c>
      <c r="J2169">
        <v>1374.6744385</v>
      </c>
      <c r="K2169">
        <v>0</v>
      </c>
      <c r="L2169">
        <v>2400</v>
      </c>
      <c r="M2169">
        <v>2400</v>
      </c>
      <c r="N2169">
        <v>0</v>
      </c>
    </row>
    <row r="2170" spans="1:14" x14ac:dyDescent="0.25">
      <c r="A2170">
        <v>1647.9711669999999</v>
      </c>
      <c r="B2170" s="1">
        <f>DATE(2014,11,3) + TIME(23,18,28)</f>
        <v>41946.97115740741</v>
      </c>
      <c r="C2170">
        <v>80</v>
      </c>
      <c r="D2170">
        <v>79.558624268000003</v>
      </c>
      <c r="E2170">
        <v>50</v>
      </c>
      <c r="F2170">
        <v>49.961612701</v>
      </c>
      <c r="G2170">
        <v>1304.2756348</v>
      </c>
      <c r="H2170">
        <v>1291.8425293</v>
      </c>
      <c r="I2170">
        <v>1394.6843262</v>
      </c>
      <c r="J2170">
        <v>1374.6390381000001</v>
      </c>
      <c r="K2170">
        <v>0</v>
      </c>
      <c r="L2170">
        <v>2400</v>
      </c>
      <c r="M2170">
        <v>2400</v>
      </c>
      <c r="N2170">
        <v>0</v>
      </c>
    </row>
    <row r="2171" spans="1:14" x14ac:dyDescent="0.25">
      <c r="A2171">
        <v>1648.2576730000001</v>
      </c>
      <c r="B2171" s="1">
        <f>DATE(2014,11,4) + TIME(6,11,2)</f>
        <v>41947.257662037038</v>
      </c>
      <c r="C2171">
        <v>80</v>
      </c>
      <c r="D2171">
        <v>79.525833129999995</v>
      </c>
      <c r="E2171">
        <v>50</v>
      </c>
      <c r="F2171">
        <v>49.966670989999997</v>
      </c>
      <c r="G2171">
        <v>1304.2642822</v>
      </c>
      <c r="H2171">
        <v>1291.8297118999999</v>
      </c>
      <c r="I2171">
        <v>1394.6363524999999</v>
      </c>
      <c r="J2171">
        <v>1374.6060791</v>
      </c>
      <c r="K2171">
        <v>0</v>
      </c>
      <c r="L2171">
        <v>2400</v>
      </c>
      <c r="M2171">
        <v>2400</v>
      </c>
      <c r="N2171">
        <v>0</v>
      </c>
    </row>
    <row r="2172" spans="1:14" x14ac:dyDescent="0.25">
      <c r="A2172">
        <v>1648.5687680000001</v>
      </c>
      <c r="B2172" s="1">
        <f>DATE(2014,11,4) + TIME(13,39,1)</f>
        <v>41947.568761574075</v>
      </c>
      <c r="C2172">
        <v>80</v>
      </c>
      <c r="D2172">
        <v>79.490844726999995</v>
      </c>
      <c r="E2172">
        <v>50</v>
      </c>
      <c r="F2172">
        <v>49.970443725999999</v>
      </c>
      <c r="G2172">
        <v>1304.2521973</v>
      </c>
      <c r="H2172">
        <v>1291.8160399999999</v>
      </c>
      <c r="I2172">
        <v>1394.5913086</v>
      </c>
      <c r="J2172">
        <v>1374.5750731999999</v>
      </c>
      <c r="K2172">
        <v>0</v>
      </c>
      <c r="L2172">
        <v>2400</v>
      </c>
      <c r="M2172">
        <v>2400</v>
      </c>
      <c r="N2172">
        <v>0</v>
      </c>
    </row>
    <row r="2173" spans="1:14" x14ac:dyDescent="0.25">
      <c r="A2173">
        <v>1648.910537</v>
      </c>
      <c r="B2173" s="1">
        <f>DATE(2014,11,4) + TIME(21,51,10)</f>
        <v>41947.910532407404</v>
      </c>
      <c r="C2173">
        <v>80</v>
      </c>
      <c r="D2173">
        <v>79.453170775999993</v>
      </c>
      <c r="E2173">
        <v>50</v>
      </c>
      <c r="F2173">
        <v>49.973220824999999</v>
      </c>
      <c r="G2173">
        <v>1304.2391356999999</v>
      </c>
      <c r="H2173">
        <v>1291.8013916</v>
      </c>
      <c r="I2173">
        <v>1394.5480957</v>
      </c>
      <c r="J2173">
        <v>1374.5452881000001</v>
      </c>
      <c r="K2173">
        <v>0</v>
      </c>
      <c r="L2173">
        <v>2400</v>
      </c>
      <c r="M2173">
        <v>2400</v>
      </c>
      <c r="N2173">
        <v>0</v>
      </c>
    </row>
    <row r="2174" spans="1:14" x14ac:dyDescent="0.25">
      <c r="A2174">
        <v>1649.291099</v>
      </c>
      <c r="B2174" s="1">
        <f>DATE(2014,11,5) + TIME(6,59,10)</f>
        <v>41948.291087962964</v>
      </c>
      <c r="C2174">
        <v>80</v>
      </c>
      <c r="D2174">
        <v>79.412147521999998</v>
      </c>
      <c r="E2174">
        <v>50</v>
      </c>
      <c r="F2174">
        <v>49.975231170999997</v>
      </c>
      <c r="G2174">
        <v>1304.2248535000001</v>
      </c>
      <c r="H2174">
        <v>1291.7852783000001</v>
      </c>
      <c r="I2174">
        <v>1394.5061035000001</v>
      </c>
      <c r="J2174">
        <v>1374.5161132999999</v>
      </c>
      <c r="K2174">
        <v>0</v>
      </c>
      <c r="L2174">
        <v>2400</v>
      </c>
      <c r="M2174">
        <v>2400</v>
      </c>
      <c r="N2174">
        <v>0</v>
      </c>
    </row>
    <row r="2175" spans="1:14" x14ac:dyDescent="0.25">
      <c r="A2175">
        <v>1649.713395</v>
      </c>
      <c r="B2175" s="1">
        <f>DATE(2014,11,5) + TIME(17,7,17)</f>
        <v>41948.713391203702</v>
      </c>
      <c r="C2175">
        <v>80</v>
      </c>
      <c r="D2175">
        <v>79.367446899000001</v>
      </c>
      <c r="E2175">
        <v>50</v>
      </c>
      <c r="F2175">
        <v>49.976642609000002</v>
      </c>
      <c r="G2175">
        <v>1304.2091064000001</v>
      </c>
      <c r="H2175">
        <v>1291.7674560999999</v>
      </c>
      <c r="I2175">
        <v>1394.4643555</v>
      </c>
      <c r="J2175">
        <v>1374.4869385</v>
      </c>
      <c r="K2175">
        <v>0</v>
      </c>
      <c r="L2175">
        <v>2400</v>
      </c>
      <c r="M2175">
        <v>2400</v>
      </c>
      <c r="N2175">
        <v>0</v>
      </c>
    </row>
    <row r="2176" spans="1:14" x14ac:dyDescent="0.25">
      <c r="A2176">
        <v>1650.1375089999999</v>
      </c>
      <c r="B2176" s="1">
        <f>DATE(2014,11,6) + TIME(3,18,0)</f>
        <v>41949.137499999997</v>
      </c>
      <c r="C2176">
        <v>80</v>
      </c>
      <c r="D2176">
        <v>79.321487426999994</v>
      </c>
      <c r="E2176">
        <v>50</v>
      </c>
      <c r="F2176">
        <v>49.977554321</v>
      </c>
      <c r="G2176">
        <v>1304.1916504000001</v>
      </c>
      <c r="H2176">
        <v>1291.7479248</v>
      </c>
      <c r="I2176">
        <v>1394.4228516000001</v>
      </c>
      <c r="J2176">
        <v>1374.4580077999999</v>
      </c>
      <c r="K2176">
        <v>0</v>
      </c>
      <c r="L2176">
        <v>2400</v>
      </c>
      <c r="M2176">
        <v>2400</v>
      </c>
      <c r="N2176">
        <v>0</v>
      </c>
    </row>
    <row r="2177" spans="1:14" x14ac:dyDescent="0.25">
      <c r="A2177">
        <v>1650.5695559999999</v>
      </c>
      <c r="B2177" s="1">
        <f>DATE(2014,11,6) + TIME(13,40,9)</f>
        <v>41949.569548611114</v>
      </c>
      <c r="C2177">
        <v>80</v>
      </c>
      <c r="D2177">
        <v>79.274482727000006</v>
      </c>
      <c r="E2177">
        <v>50</v>
      </c>
      <c r="F2177">
        <v>49.978153229</v>
      </c>
      <c r="G2177">
        <v>1304.1740723</v>
      </c>
      <c r="H2177">
        <v>1291.7282714999999</v>
      </c>
      <c r="I2177">
        <v>1394.3848877</v>
      </c>
      <c r="J2177">
        <v>1374.4315185999999</v>
      </c>
      <c r="K2177">
        <v>0</v>
      </c>
      <c r="L2177">
        <v>2400</v>
      </c>
      <c r="M2177">
        <v>2400</v>
      </c>
      <c r="N2177">
        <v>0</v>
      </c>
    </row>
    <row r="2178" spans="1:14" x14ac:dyDescent="0.25">
      <c r="A2178">
        <v>1651.015447</v>
      </c>
      <c r="B2178" s="1">
        <f>DATE(2014,11,7) + TIME(0,22,14)</f>
        <v>41950.015439814815</v>
      </c>
      <c r="C2178">
        <v>80</v>
      </c>
      <c r="D2178">
        <v>79.226280212000006</v>
      </c>
      <c r="E2178">
        <v>50</v>
      </c>
      <c r="F2178">
        <v>49.978553771999998</v>
      </c>
      <c r="G2178">
        <v>1304.1563721</v>
      </c>
      <c r="H2178">
        <v>1291.708374</v>
      </c>
      <c r="I2178">
        <v>1394.3493652</v>
      </c>
      <c r="J2178">
        <v>1374.4067382999999</v>
      </c>
      <c r="K2178">
        <v>0</v>
      </c>
      <c r="L2178">
        <v>2400</v>
      </c>
      <c r="M2178">
        <v>2400</v>
      </c>
      <c r="N2178">
        <v>0</v>
      </c>
    </row>
    <row r="2179" spans="1:14" x14ac:dyDescent="0.25">
      <c r="A2179">
        <v>1651.4809749999999</v>
      </c>
      <c r="B2179" s="1">
        <f>DATE(2014,11,7) + TIME(11,32,36)</f>
        <v>41950.48097222222</v>
      </c>
      <c r="C2179">
        <v>80</v>
      </c>
      <c r="D2179">
        <v>79.176605225000003</v>
      </c>
      <c r="E2179">
        <v>50</v>
      </c>
      <c r="F2179">
        <v>49.978832245</v>
      </c>
      <c r="G2179">
        <v>1304.1383057</v>
      </c>
      <c r="H2179">
        <v>1291.6878661999999</v>
      </c>
      <c r="I2179">
        <v>1394.3154297000001</v>
      </c>
      <c r="J2179">
        <v>1374.3830565999999</v>
      </c>
      <c r="K2179">
        <v>0</v>
      </c>
      <c r="L2179">
        <v>2400</v>
      </c>
      <c r="M2179">
        <v>2400</v>
      </c>
      <c r="N2179">
        <v>0</v>
      </c>
    </row>
    <row r="2180" spans="1:14" x14ac:dyDescent="0.25">
      <c r="A2180">
        <v>1651.972358</v>
      </c>
      <c r="B2180" s="1">
        <f>DATE(2014,11,7) + TIME(23,20,11)</f>
        <v>41950.972349537034</v>
      </c>
      <c r="C2180">
        <v>80</v>
      </c>
      <c r="D2180">
        <v>79.125030518000003</v>
      </c>
      <c r="E2180">
        <v>50</v>
      </c>
      <c r="F2180">
        <v>49.979026793999999</v>
      </c>
      <c r="G2180">
        <v>1304.1193848</v>
      </c>
      <c r="H2180">
        <v>1291.6665039</v>
      </c>
      <c r="I2180">
        <v>1394.2824707</v>
      </c>
      <c r="J2180">
        <v>1374.3602295000001</v>
      </c>
      <c r="K2180">
        <v>0</v>
      </c>
      <c r="L2180">
        <v>2400</v>
      </c>
      <c r="M2180">
        <v>2400</v>
      </c>
      <c r="N2180">
        <v>0</v>
      </c>
    </row>
    <row r="2181" spans="1:14" x14ac:dyDescent="0.25">
      <c r="A2181">
        <v>1652.4970089999999</v>
      </c>
      <c r="B2181" s="1">
        <f>DATE(2014,11,8) + TIME(11,55,41)</f>
        <v>41951.497002314813</v>
      </c>
      <c r="C2181">
        <v>80</v>
      </c>
      <c r="D2181">
        <v>79.071014403999996</v>
      </c>
      <c r="E2181">
        <v>50</v>
      </c>
      <c r="F2181">
        <v>49.979167938000003</v>
      </c>
      <c r="G2181">
        <v>1304.0996094</v>
      </c>
      <c r="H2181">
        <v>1291.644043</v>
      </c>
      <c r="I2181">
        <v>1394.2501221</v>
      </c>
      <c r="J2181">
        <v>1374.3377685999999</v>
      </c>
      <c r="K2181">
        <v>0</v>
      </c>
      <c r="L2181">
        <v>2400</v>
      </c>
      <c r="M2181">
        <v>2400</v>
      </c>
      <c r="N2181">
        <v>0</v>
      </c>
    </row>
    <row r="2182" spans="1:14" x14ac:dyDescent="0.25">
      <c r="A2182">
        <v>1653.0641559999999</v>
      </c>
      <c r="B2182" s="1">
        <f>DATE(2014,11,9) + TIME(1,32,23)</f>
        <v>41952.064155092594</v>
      </c>
      <c r="C2182">
        <v>80</v>
      </c>
      <c r="D2182">
        <v>79.013870238999999</v>
      </c>
      <c r="E2182">
        <v>50</v>
      </c>
      <c r="F2182">
        <v>49.979270935000002</v>
      </c>
      <c r="G2182">
        <v>1304.0784911999999</v>
      </c>
      <c r="H2182">
        <v>1291.6201172000001</v>
      </c>
      <c r="I2182">
        <v>1394.2178954999999</v>
      </c>
      <c r="J2182">
        <v>1374.3153076000001</v>
      </c>
      <c r="K2182">
        <v>0</v>
      </c>
      <c r="L2182">
        <v>2400</v>
      </c>
      <c r="M2182">
        <v>2400</v>
      </c>
      <c r="N2182">
        <v>0</v>
      </c>
    </row>
    <row r="2183" spans="1:14" x14ac:dyDescent="0.25">
      <c r="A2183">
        <v>1653.6772619999999</v>
      </c>
      <c r="B2183" s="1">
        <f>DATE(2014,11,9) + TIME(16,15,15)</f>
        <v>41952.677256944444</v>
      </c>
      <c r="C2183">
        <v>80</v>
      </c>
      <c r="D2183">
        <v>78.953163146999998</v>
      </c>
      <c r="E2183">
        <v>50</v>
      </c>
      <c r="F2183">
        <v>49.979347228999998</v>
      </c>
      <c r="G2183">
        <v>1304.0557861</v>
      </c>
      <c r="H2183">
        <v>1291.5942382999999</v>
      </c>
      <c r="I2183">
        <v>1394.1853027</v>
      </c>
      <c r="J2183">
        <v>1374.2928466999999</v>
      </c>
      <c r="K2183">
        <v>0</v>
      </c>
      <c r="L2183">
        <v>2400</v>
      </c>
      <c r="M2183">
        <v>2400</v>
      </c>
      <c r="N2183">
        <v>0</v>
      </c>
    </row>
    <row r="2184" spans="1:14" x14ac:dyDescent="0.25">
      <c r="A2184">
        <v>1654.3421229999999</v>
      </c>
      <c r="B2184" s="1">
        <f>DATE(2014,11,10) + TIME(8,12,39)</f>
        <v>41953.342118055552</v>
      </c>
      <c r="C2184">
        <v>80</v>
      </c>
      <c r="D2184">
        <v>78.888412475999999</v>
      </c>
      <c r="E2184">
        <v>50</v>
      </c>
      <c r="F2184">
        <v>49.979400634999998</v>
      </c>
      <c r="G2184">
        <v>1304.03125</v>
      </c>
      <c r="H2184">
        <v>1291.5664062000001</v>
      </c>
      <c r="I2184">
        <v>1394.1524658000001</v>
      </c>
      <c r="J2184">
        <v>1374.2701416</v>
      </c>
      <c r="K2184">
        <v>0</v>
      </c>
      <c r="L2184">
        <v>2400</v>
      </c>
      <c r="M2184">
        <v>2400</v>
      </c>
      <c r="N2184">
        <v>0</v>
      </c>
    </row>
    <row r="2185" spans="1:14" x14ac:dyDescent="0.25">
      <c r="A2185">
        <v>1655.0279049999999</v>
      </c>
      <c r="B2185" s="1">
        <f>DATE(2014,11,11) + TIME(0,40,10)</f>
        <v>41954.02789351852</v>
      </c>
      <c r="C2185">
        <v>80</v>
      </c>
      <c r="D2185">
        <v>78.820907593000001</v>
      </c>
      <c r="E2185">
        <v>50</v>
      </c>
      <c r="F2185">
        <v>49.979442595999998</v>
      </c>
      <c r="G2185">
        <v>1304.0046387</v>
      </c>
      <c r="H2185">
        <v>1291.5363769999999</v>
      </c>
      <c r="I2185">
        <v>1394.1190185999999</v>
      </c>
      <c r="J2185">
        <v>1374.2470702999999</v>
      </c>
      <c r="K2185">
        <v>0</v>
      </c>
      <c r="L2185">
        <v>2400</v>
      </c>
      <c r="M2185">
        <v>2400</v>
      </c>
      <c r="N2185">
        <v>0</v>
      </c>
    </row>
    <row r="2186" spans="1:14" x14ac:dyDescent="0.25">
      <c r="A2186">
        <v>1655.720356</v>
      </c>
      <c r="B2186" s="1">
        <f>DATE(2014,11,11) + TIME(17,17,18)</f>
        <v>41954.720347222225</v>
      </c>
      <c r="C2186">
        <v>80</v>
      </c>
      <c r="D2186">
        <v>78.752044678000004</v>
      </c>
      <c r="E2186">
        <v>50</v>
      </c>
      <c r="F2186">
        <v>49.979473114000001</v>
      </c>
      <c r="G2186">
        <v>1303.9770507999999</v>
      </c>
      <c r="H2186">
        <v>1291.505249</v>
      </c>
      <c r="I2186">
        <v>1394.0869141000001</v>
      </c>
      <c r="J2186">
        <v>1374.2249756000001</v>
      </c>
      <c r="K2186">
        <v>0</v>
      </c>
      <c r="L2186">
        <v>2400</v>
      </c>
      <c r="M2186">
        <v>2400</v>
      </c>
      <c r="N2186">
        <v>0</v>
      </c>
    </row>
    <row r="2187" spans="1:14" x14ac:dyDescent="0.25">
      <c r="A2187">
        <v>1656.428844</v>
      </c>
      <c r="B2187" s="1">
        <f>DATE(2014,11,12) + TIME(10,17,32)</f>
        <v>41955.428842592592</v>
      </c>
      <c r="C2187">
        <v>80</v>
      </c>
      <c r="D2187">
        <v>78.682128906000003</v>
      </c>
      <c r="E2187">
        <v>50</v>
      </c>
      <c r="F2187">
        <v>49.979492188000002</v>
      </c>
      <c r="G2187">
        <v>1303.9493408000001</v>
      </c>
      <c r="H2187">
        <v>1291.4737548999999</v>
      </c>
      <c r="I2187">
        <v>1394.0565185999999</v>
      </c>
      <c r="J2187">
        <v>1374.2039795000001</v>
      </c>
      <c r="K2187">
        <v>0</v>
      </c>
      <c r="L2187">
        <v>2400</v>
      </c>
      <c r="M2187">
        <v>2400</v>
      </c>
      <c r="N2187">
        <v>0</v>
      </c>
    </row>
    <row r="2188" spans="1:14" x14ac:dyDescent="0.25">
      <c r="A2188">
        <v>1657.162521</v>
      </c>
      <c r="B2188" s="1">
        <f>DATE(2014,11,13) + TIME(3,54,1)</f>
        <v>41956.162511574075</v>
      </c>
      <c r="C2188">
        <v>80</v>
      </c>
      <c r="D2188">
        <v>78.610870360999996</v>
      </c>
      <c r="E2188">
        <v>50</v>
      </c>
      <c r="F2188">
        <v>49.979511260999999</v>
      </c>
      <c r="G2188">
        <v>1303.9210204999999</v>
      </c>
      <c r="H2188">
        <v>1291.4414062000001</v>
      </c>
      <c r="I2188">
        <v>1394.0273437999999</v>
      </c>
      <c r="J2188">
        <v>1374.1839600000001</v>
      </c>
      <c r="K2188">
        <v>0</v>
      </c>
      <c r="L2188">
        <v>2400</v>
      </c>
      <c r="M2188">
        <v>2400</v>
      </c>
      <c r="N2188">
        <v>0</v>
      </c>
    </row>
    <row r="2189" spans="1:14" x14ac:dyDescent="0.25">
      <c r="A2189">
        <v>1657.9310330000001</v>
      </c>
      <c r="B2189" s="1">
        <f>DATE(2014,11,13) + TIME(22,20,41)</f>
        <v>41956.931030092594</v>
      </c>
      <c r="C2189">
        <v>80</v>
      </c>
      <c r="D2189">
        <v>78.537696838000002</v>
      </c>
      <c r="E2189">
        <v>50</v>
      </c>
      <c r="F2189">
        <v>49.979522705000001</v>
      </c>
      <c r="G2189">
        <v>1303.8917236</v>
      </c>
      <c r="H2189">
        <v>1291.4078368999999</v>
      </c>
      <c r="I2189">
        <v>1393.9987793</v>
      </c>
      <c r="J2189">
        <v>1374.1643065999999</v>
      </c>
      <c r="K2189">
        <v>0</v>
      </c>
      <c r="L2189">
        <v>2400</v>
      </c>
      <c r="M2189">
        <v>2400</v>
      </c>
      <c r="N2189">
        <v>0</v>
      </c>
    </row>
    <row r="2190" spans="1:14" x14ac:dyDescent="0.25">
      <c r="A2190">
        <v>1658.745367</v>
      </c>
      <c r="B2190" s="1">
        <f>DATE(2014,11,14) + TIME(17,53,19)</f>
        <v>41957.745358796295</v>
      </c>
      <c r="C2190">
        <v>80</v>
      </c>
      <c r="D2190">
        <v>78.461853027000004</v>
      </c>
      <c r="E2190">
        <v>50</v>
      </c>
      <c r="F2190">
        <v>49.979534149000003</v>
      </c>
      <c r="G2190">
        <v>1303.8610839999999</v>
      </c>
      <c r="H2190">
        <v>1291.3726807</v>
      </c>
      <c r="I2190">
        <v>1393.9705810999999</v>
      </c>
      <c r="J2190">
        <v>1374.1450195</v>
      </c>
      <c r="K2190">
        <v>0</v>
      </c>
      <c r="L2190">
        <v>2400</v>
      </c>
      <c r="M2190">
        <v>2400</v>
      </c>
      <c r="N2190">
        <v>0</v>
      </c>
    </row>
    <row r="2191" spans="1:14" x14ac:dyDescent="0.25">
      <c r="A2191">
        <v>1659.61922</v>
      </c>
      <c r="B2191" s="1">
        <f>DATE(2014,11,15) + TIME(14,51,40)</f>
        <v>41958.619212962964</v>
      </c>
      <c r="C2191">
        <v>80</v>
      </c>
      <c r="D2191">
        <v>78.382408142000003</v>
      </c>
      <c r="E2191">
        <v>50</v>
      </c>
      <c r="F2191">
        <v>49.979541779000002</v>
      </c>
      <c r="G2191">
        <v>1303.8284911999999</v>
      </c>
      <c r="H2191">
        <v>1291.3353271000001</v>
      </c>
      <c r="I2191">
        <v>1393.9422606999999</v>
      </c>
      <c r="J2191">
        <v>1374.1256103999999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1660.570001</v>
      </c>
      <c r="B2192" s="1">
        <f>DATE(2014,11,16) + TIME(13,40,48)</f>
        <v>41959.57</v>
      </c>
      <c r="C2192">
        <v>80</v>
      </c>
      <c r="D2192">
        <v>78.298202515</v>
      </c>
      <c r="E2192">
        <v>50</v>
      </c>
      <c r="F2192">
        <v>49.979553223000003</v>
      </c>
      <c r="G2192">
        <v>1303.7933350000001</v>
      </c>
      <c r="H2192">
        <v>1291.2950439000001</v>
      </c>
      <c r="I2192">
        <v>1393.9135742000001</v>
      </c>
      <c r="J2192">
        <v>1374.105957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1661.5419159999999</v>
      </c>
      <c r="B2193" s="1">
        <f>DATE(2014,11,17) + TIME(13,0,21)</f>
        <v>41960.541909722226</v>
      </c>
      <c r="C2193">
        <v>80</v>
      </c>
      <c r="D2193">
        <v>78.210594177000004</v>
      </c>
      <c r="E2193">
        <v>50</v>
      </c>
      <c r="F2193">
        <v>49.979560851999999</v>
      </c>
      <c r="G2193">
        <v>1303.7550048999999</v>
      </c>
      <c r="H2193">
        <v>1291.2509766000001</v>
      </c>
      <c r="I2193">
        <v>1393.8840332</v>
      </c>
      <c r="J2193">
        <v>1374.0858154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1662.523819</v>
      </c>
      <c r="B2194" s="1">
        <f>DATE(2014,11,18) + TIME(12,34,17)</f>
        <v>41961.52380787037</v>
      </c>
      <c r="C2194">
        <v>80</v>
      </c>
      <c r="D2194">
        <v>78.121520996000001</v>
      </c>
      <c r="E2194">
        <v>50</v>
      </c>
      <c r="F2194">
        <v>49.979568481000001</v>
      </c>
      <c r="G2194">
        <v>1303.7154541</v>
      </c>
      <c r="H2194">
        <v>1291.2056885</v>
      </c>
      <c r="I2194">
        <v>1393.8554687999999</v>
      </c>
      <c r="J2194">
        <v>1374.0662841999999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1663.528914</v>
      </c>
      <c r="B2195" s="1">
        <f>DATE(2014,11,19) + TIME(12,41,38)</f>
        <v>41962.528912037036</v>
      </c>
      <c r="C2195">
        <v>80</v>
      </c>
      <c r="D2195">
        <v>78.031532287999994</v>
      </c>
      <c r="E2195">
        <v>50</v>
      </c>
      <c r="F2195">
        <v>49.979572296000001</v>
      </c>
      <c r="G2195">
        <v>1303.6754149999999</v>
      </c>
      <c r="H2195">
        <v>1291.1594238</v>
      </c>
      <c r="I2195">
        <v>1393.828125</v>
      </c>
      <c r="J2195">
        <v>1374.0474853999999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1664.570424</v>
      </c>
      <c r="B2196" s="1">
        <f>DATE(2014,11,20) + TIME(13,41,24)</f>
        <v>41963.570416666669</v>
      </c>
      <c r="C2196">
        <v>80</v>
      </c>
      <c r="D2196">
        <v>77.940185546999999</v>
      </c>
      <c r="E2196">
        <v>50</v>
      </c>
      <c r="F2196">
        <v>49.979579926</v>
      </c>
      <c r="G2196">
        <v>1303.6341553</v>
      </c>
      <c r="H2196">
        <v>1291.1115723</v>
      </c>
      <c r="I2196">
        <v>1393.8016356999999</v>
      </c>
      <c r="J2196">
        <v>1374.0292969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1665.6625369999999</v>
      </c>
      <c r="B2197" s="1">
        <f>DATE(2014,11,21) + TIME(15,54,3)</f>
        <v>41964.662534722222</v>
      </c>
      <c r="C2197">
        <v>80</v>
      </c>
      <c r="D2197">
        <v>77.846641540999997</v>
      </c>
      <c r="E2197">
        <v>50</v>
      </c>
      <c r="F2197">
        <v>49.979591370000001</v>
      </c>
      <c r="G2197">
        <v>1303.5911865</v>
      </c>
      <c r="H2197">
        <v>1291.0615233999999</v>
      </c>
      <c r="I2197">
        <v>1393.7753906</v>
      </c>
      <c r="J2197">
        <v>1374.0114745999999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1666.8220020000001</v>
      </c>
      <c r="B2198" s="1">
        <f>DATE(2014,11,22) + TIME(19,43,40)</f>
        <v>41965.82199074074</v>
      </c>
      <c r="C2198">
        <v>80</v>
      </c>
      <c r="D2198">
        <v>77.749839782999999</v>
      </c>
      <c r="E2198">
        <v>50</v>
      </c>
      <c r="F2198">
        <v>49.979598998999997</v>
      </c>
      <c r="G2198">
        <v>1303.5457764</v>
      </c>
      <c r="H2198">
        <v>1291.0085449000001</v>
      </c>
      <c r="I2198">
        <v>1393.7492675999999</v>
      </c>
      <c r="J2198">
        <v>1373.9935303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1668.046008</v>
      </c>
      <c r="B2199" s="1">
        <f>DATE(2014,11,24) + TIME(1,6,15)</f>
        <v>41967.046006944445</v>
      </c>
      <c r="C2199">
        <v>80</v>
      </c>
      <c r="D2199">
        <v>77.649192810000002</v>
      </c>
      <c r="E2199">
        <v>50</v>
      </c>
      <c r="F2199">
        <v>49.979610442999999</v>
      </c>
      <c r="G2199">
        <v>1303.4971923999999</v>
      </c>
      <c r="H2199">
        <v>1290.9517822</v>
      </c>
      <c r="I2199">
        <v>1393.7227783000001</v>
      </c>
      <c r="J2199">
        <v>1373.9753418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1669.2879829999999</v>
      </c>
      <c r="B2200" s="1">
        <f>DATE(2014,11,25) + TIME(6,54,41)</f>
        <v>41968.287974537037</v>
      </c>
      <c r="C2200">
        <v>80</v>
      </c>
      <c r="D2200">
        <v>77.545974731000001</v>
      </c>
      <c r="E2200">
        <v>50</v>
      </c>
      <c r="F2200">
        <v>49.979618072999997</v>
      </c>
      <c r="G2200">
        <v>1303.4451904</v>
      </c>
      <c r="H2200">
        <v>1290.8909911999999</v>
      </c>
      <c r="I2200">
        <v>1393.6961670000001</v>
      </c>
      <c r="J2200">
        <v>1373.9570312000001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1670.560555</v>
      </c>
      <c r="B2201" s="1">
        <f>DATE(2014,11,26) + TIME(13,27,11)</f>
        <v>41969.560543981483</v>
      </c>
      <c r="C2201">
        <v>80</v>
      </c>
      <c r="D2201">
        <v>77.441474915000001</v>
      </c>
      <c r="E2201">
        <v>50</v>
      </c>
      <c r="F2201">
        <v>49.979629516999999</v>
      </c>
      <c r="G2201">
        <v>1303.3919678</v>
      </c>
      <c r="H2201">
        <v>1290.8282471</v>
      </c>
      <c r="I2201">
        <v>1393.6704102000001</v>
      </c>
      <c r="J2201">
        <v>1373.9392089999999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1671.876591</v>
      </c>
      <c r="B2202" s="1">
        <f>DATE(2014,11,27) + TIME(21,2,17)</f>
        <v>41970.876585648148</v>
      </c>
      <c r="C2202">
        <v>80</v>
      </c>
      <c r="D2202">
        <v>77.335533142000003</v>
      </c>
      <c r="E2202">
        <v>50</v>
      </c>
      <c r="F2202">
        <v>49.979640961000001</v>
      </c>
      <c r="G2202">
        <v>1303.3366699000001</v>
      </c>
      <c r="H2202">
        <v>1290.7629394999999</v>
      </c>
      <c r="I2202">
        <v>1393.6450195</v>
      </c>
      <c r="J2202">
        <v>1373.921875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1673.245298</v>
      </c>
      <c r="B2203" s="1">
        <f>DATE(2014,11,29) + TIME(5,53,13)</f>
        <v>41972.245289351849</v>
      </c>
      <c r="C2203">
        <v>80</v>
      </c>
      <c r="D2203">
        <v>77.227577209000003</v>
      </c>
      <c r="E2203">
        <v>50</v>
      </c>
      <c r="F2203">
        <v>49.979652405000003</v>
      </c>
      <c r="G2203">
        <v>1303.2788086</v>
      </c>
      <c r="H2203">
        <v>1290.6942139</v>
      </c>
      <c r="I2203">
        <v>1393.6199951000001</v>
      </c>
      <c r="J2203">
        <v>1373.9045410000001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1674.669163</v>
      </c>
      <c r="B2204" s="1">
        <f>DATE(2014,11,30) + TIME(16,3,35)</f>
        <v>41973.66915509259</v>
      </c>
      <c r="C2204">
        <v>80</v>
      </c>
      <c r="D2204">
        <v>77.1171875</v>
      </c>
      <c r="E2204">
        <v>50</v>
      </c>
      <c r="F2204">
        <v>49.979663848999998</v>
      </c>
      <c r="G2204">
        <v>1303.2177733999999</v>
      </c>
      <c r="H2204">
        <v>1290.6213379000001</v>
      </c>
      <c r="I2204">
        <v>1393.5950928</v>
      </c>
      <c r="J2204">
        <v>1373.8873291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1675</v>
      </c>
      <c r="B2205" s="1">
        <f>DATE(2014,12,1) + TIME(0,0,0)</f>
        <v>41974</v>
      </c>
      <c r="C2205">
        <v>80</v>
      </c>
      <c r="D2205">
        <v>77.063575744999994</v>
      </c>
      <c r="E2205">
        <v>50</v>
      </c>
      <c r="F2205">
        <v>49.979663848999998</v>
      </c>
      <c r="G2205">
        <v>1303.1523437999999</v>
      </c>
      <c r="H2205">
        <v>1290.5499268000001</v>
      </c>
      <c r="I2205">
        <v>1393.5697021000001</v>
      </c>
      <c r="J2205">
        <v>1373.8695068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1676.465107</v>
      </c>
      <c r="B2206" s="1">
        <f>DATE(2014,12,2) + TIME(11,9,45)</f>
        <v>41975.465104166666</v>
      </c>
      <c r="C2206">
        <v>80</v>
      </c>
      <c r="D2206">
        <v>76.969856261999993</v>
      </c>
      <c r="E2206">
        <v>50</v>
      </c>
      <c r="F2206">
        <v>49.979682922000002</v>
      </c>
      <c r="G2206">
        <v>1303.1374512</v>
      </c>
      <c r="H2206">
        <v>1290.5238036999999</v>
      </c>
      <c r="I2206">
        <v>1393.5645752</v>
      </c>
      <c r="J2206">
        <v>1373.8659668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1677.9630970000001</v>
      </c>
      <c r="B2207" s="1">
        <f>DATE(2014,12,3) + TIME(23,6,51)</f>
        <v>41976.963090277779</v>
      </c>
      <c r="C2207">
        <v>80</v>
      </c>
      <c r="D2207">
        <v>76.862083435000002</v>
      </c>
      <c r="E2207">
        <v>50</v>
      </c>
      <c r="F2207">
        <v>49.979694365999997</v>
      </c>
      <c r="G2207">
        <v>1303.0703125</v>
      </c>
      <c r="H2207">
        <v>1290.4438477000001</v>
      </c>
      <c r="I2207">
        <v>1393.5401611</v>
      </c>
      <c r="J2207">
        <v>1373.8491211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1679.5011059999999</v>
      </c>
      <c r="B2208" s="1">
        <f>DATE(2014,12,5) + TIME(12,1,35)</f>
        <v>41978.501099537039</v>
      </c>
      <c r="C2208">
        <v>80</v>
      </c>
      <c r="D2208">
        <v>76.749092102000006</v>
      </c>
      <c r="E2208">
        <v>50</v>
      </c>
      <c r="F2208">
        <v>49.979709624999998</v>
      </c>
      <c r="G2208">
        <v>1303</v>
      </c>
      <c r="H2208">
        <v>1290.3591309000001</v>
      </c>
      <c r="I2208">
        <v>1393.5162353999999</v>
      </c>
      <c r="J2208">
        <v>1373.8323975000001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1681.094212</v>
      </c>
      <c r="B2209" s="1">
        <f>DATE(2014,12,7) + TIME(2,15,39)</f>
        <v>41980.094201388885</v>
      </c>
      <c r="C2209">
        <v>80</v>
      </c>
      <c r="D2209">
        <v>76.633255004999995</v>
      </c>
      <c r="E2209">
        <v>50</v>
      </c>
      <c r="F2209">
        <v>49.979724883999999</v>
      </c>
      <c r="G2209">
        <v>1302.9265137</v>
      </c>
      <c r="H2209">
        <v>1290.2697754000001</v>
      </c>
      <c r="I2209">
        <v>1393.4925536999999</v>
      </c>
      <c r="J2209">
        <v>1373.8157959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1682.7586200000001</v>
      </c>
      <c r="B2210" s="1">
        <f>DATE(2014,12,8) + TIME(18,12,24)</f>
        <v>41981.758611111109</v>
      </c>
      <c r="C2210">
        <v>80</v>
      </c>
      <c r="D2210">
        <v>76.514633179</v>
      </c>
      <c r="E2210">
        <v>50</v>
      </c>
      <c r="F2210">
        <v>49.979740143000001</v>
      </c>
      <c r="G2210">
        <v>1302.8488769999999</v>
      </c>
      <c r="H2210">
        <v>1290.1749268000001</v>
      </c>
      <c r="I2210">
        <v>1393.4688721</v>
      </c>
      <c r="J2210">
        <v>1373.7991943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1684.451411</v>
      </c>
      <c r="B2211" s="1">
        <f>DATE(2014,12,10) + TIME(10,50,1)</f>
        <v>41983.45140046296</v>
      </c>
      <c r="C2211">
        <v>80</v>
      </c>
      <c r="D2211">
        <v>76.393753051999994</v>
      </c>
      <c r="E2211">
        <v>50</v>
      </c>
      <c r="F2211">
        <v>49.979759215999998</v>
      </c>
      <c r="G2211">
        <v>1302.7662353999999</v>
      </c>
      <c r="H2211">
        <v>1290.0736084</v>
      </c>
      <c r="I2211">
        <v>1393.4449463000001</v>
      </c>
      <c r="J2211">
        <v>1373.7823486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1686.1779300000001</v>
      </c>
      <c r="B2212" s="1">
        <f>DATE(2014,12,12) + TIME(4,16,13)</f>
        <v>41985.177928240744</v>
      </c>
      <c r="C2212">
        <v>80</v>
      </c>
      <c r="D2212">
        <v>76.272010803000001</v>
      </c>
      <c r="E2212">
        <v>50</v>
      </c>
      <c r="F2212">
        <v>49.979774474999999</v>
      </c>
      <c r="G2212">
        <v>1302.6804199000001</v>
      </c>
      <c r="H2212">
        <v>1289.9677733999999</v>
      </c>
      <c r="I2212">
        <v>1393.4215088000001</v>
      </c>
      <c r="J2212">
        <v>1373.7657471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1687.9412339999999</v>
      </c>
      <c r="B2213" s="1">
        <f>DATE(2014,12,13) + TIME(22,35,22)</f>
        <v>41986.94122685185</v>
      </c>
      <c r="C2213">
        <v>80</v>
      </c>
      <c r="D2213">
        <v>76.149612426999994</v>
      </c>
      <c r="E2213">
        <v>50</v>
      </c>
      <c r="F2213">
        <v>49.979793549</v>
      </c>
      <c r="G2213">
        <v>1302.5910644999999</v>
      </c>
      <c r="H2213">
        <v>1289.8569336</v>
      </c>
      <c r="I2213">
        <v>1393.3984375</v>
      </c>
      <c r="J2213">
        <v>1373.7493896000001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1689.7573970000001</v>
      </c>
      <c r="B2214" s="1">
        <f>DATE(2014,12,15) + TIME(18,10,39)</f>
        <v>41988.757395833331</v>
      </c>
      <c r="C2214">
        <v>80</v>
      </c>
      <c r="D2214">
        <v>76.026245117000002</v>
      </c>
      <c r="E2214">
        <v>50</v>
      </c>
      <c r="F2214">
        <v>49.979812621999997</v>
      </c>
      <c r="G2214">
        <v>1302.4979248</v>
      </c>
      <c r="H2214">
        <v>1289.7406006000001</v>
      </c>
      <c r="I2214">
        <v>1393.3756103999999</v>
      </c>
      <c r="J2214">
        <v>1373.7331543</v>
      </c>
      <c r="K2214">
        <v>0</v>
      </c>
      <c r="L2214">
        <v>2400</v>
      </c>
      <c r="M2214">
        <v>2400</v>
      </c>
      <c r="N2214">
        <v>0</v>
      </c>
    </row>
    <row r="2215" spans="1:14" x14ac:dyDescent="0.25">
      <c r="A2215">
        <v>1691.644037</v>
      </c>
      <c r="B2215" s="1">
        <f>DATE(2014,12,17) + TIME(15,27,24)</f>
        <v>41990.64402777778</v>
      </c>
      <c r="C2215">
        <v>80</v>
      </c>
      <c r="D2215">
        <v>75.901069641000007</v>
      </c>
      <c r="E2215">
        <v>50</v>
      </c>
      <c r="F2215">
        <v>49.979831695999998</v>
      </c>
      <c r="G2215">
        <v>1302.3999022999999</v>
      </c>
      <c r="H2215">
        <v>1289.6177978999999</v>
      </c>
      <c r="I2215">
        <v>1393.3529053</v>
      </c>
      <c r="J2215">
        <v>1373.7169189000001</v>
      </c>
      <c r="K2215">
        <v>0</v>
      </c>
      <c r="L2215">
        <v>2400</v>
      </c>
      <c r="M2215">
        <v>2400</v>
      </c>
      <c r="N2215">
        <v>0</v>
      </c>
    </row>
    <row r="2216" spans="1:14" x14ac:dyDescent="0.25">
      <c r="A2216">
        <v>1693.5616869999999</v>
      </c>
      <c r="B2216" s="1">
        <f>DATE(2014,12,19) + TIME(13,28,49)</f>
        <v>41992.561678240738</v>
      </c>
      <c r="C2216">
        <v>80</v>
      </c>
      <c r="D2216">
        <v>75.774055481000005</v>
      </c>
      <c r="E2216">
        <v>50</v>
      </c>
      <c r="F2216">
        <v>49.979850769000002</v>
      </c>
      <c r="G2216">
        <v>1302.2957764</v>
      </c>
      <c r="H2216">
        <v>1289.4868164</v>
      </c>
      <c r="I2216">
        <v>1393.3299560999999</v>
      </c>
      <c r="J2216">
        <v>1373.7004394999999</v>
      </c>
      <c r="K2216">
        <v>0</v>
      </c>
      <c r="L2216">
        <v>2400</v>
      </c>
      <c r="M2216">
        <v>2400</v>
      </c>
      <c r="N2216">
        <v>0</v>
      </c>
    </row>
    <row r="2217" spans="1:14" x14ac:dyDescent="0.25">
      <c r="A2217">
        <v>1695.513203</v>
      </c>
      <c r="B2217" s="1">
        <f>DATE(2014,12,21) + TIME(12,19,0)</f>
        <v>41994.513194444444</v>
      </c>
      <c r="C2217">
        <v>80</v>
      </c>
      <c r="D2217">
        <v>75.646415709999999</v>
      </c>
      <c r="E2217">
        <v>50</v>
      </c>
      <c r="F2217">
        <v>49.979869843000003</v>
      </c>
      <c r="G2217">
        <v>1302.1875</v>
      </c>
      <c r="H2217">
        <v>1289.3498535000001</v>
      </c>
      <c r="I2217">
        <v>1393.3073730000001</v>
      </c>
      <c r="J2217">
        <v>1373.6842041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1697.4998660000001</v>
      </c>
      <c r="B2218" s="1">
        <f>DATE(2014,12,23) + TIME(11,59,48)</f>
        <v>41996.499861111108</v>
      </c>
      <c r="C2218">
        <v>80</v>
      </c>
      <c r="D2218">
        <v>75.518348693999997</v>
      </c>
      <c r="E2218">
        <v>50</v>
      </c>
      <c r="F2218">
        <v>49.979892731</v>
      </c>
      <c r="G2218">
        <v>1302.0748291</v>
      </c>
      <c r="H2218">
        <v>1289.206543</v>
      </c>
      <c r="I2218">
        <v>1393.2851562000001</v>
      </c>
      <c r="J2218">
        <v>1373.6680908000001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1699.522643</v>
      </c>
      <c r="B2219" s="1">
        <f>DATE(2014,12,25) + TIME(12,32,36)</f>
        <v>41998.522638888891</v>
      </c>
      <c r="C2219">
        <v>80</v>
      </c>
      <c r="D2219">
        <v>75.389854431000003</v>
      </c>
      <c r="E2219">
        <v>50</v>
      </c>
      <c r="F2219">
        <v>49.979911803999997</v>
      </c>
      <c r="G2219">
        <v>1301.9573975000001</v>
      </c>
      <c r="H2219">
        <v>1289.0565185999999</v>
      </c>
      <c r="I2219">
        <v>1393.2630615</v>
      </c>
      <c r="J2219">
        <v>1373.6520995999999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1701.568982</v>
      </c>
      <c r="B2220" s="1">
        <f>DATE(2014,12,27) + TIME(13,39,20)</f>
        <v>42000.568981481483</v>
      </c>
      <c r="C2220">
        <v>80</v>
      </c>
      <c r="D2220">
        <v>75.261100768999995</v>
      </c>
      <c r="E2220">
        <v>50</v>
      </c>
      <c r="F2220">
        <v>49.979934692</v>
      </c>
      <c r="G2220">
        <v>1301.8350829999999</v>
      </c>
      <c r="H2220">
        <v>1288.8996582</v>
      </c>
      <c r="I2220">
        <v>1393.2413329999999</v>
      </c>
      <c r="J2220">
        <v>1373.6362305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1703.645323</v>
      </c>
      <c r="B2221" s="1">
        <f>DATE(2014,12,29) + TIME(15,29,15)</f>
        <v>42002.645312499997</v>
      </c>
      <c r="C2221">
        <v>80</v>
      </c>
      <c r="D2221">
        <v>75.132392882999994</v>
      </c>
      <c r="E2221">
        <v>50</v>
      </c>
      <c r="F2221">
        <v>49.979953766000001</v>
      </c>
      <c r="G2221">
        <v>1301.7084961</v>
      </c>
      <c r="H2221">
        <v>1288.7363281</v>
      </c>
      <c r="I2221">
        <v>1393.2198486</v>
      </c>
      <c r="J2221">
        <v>1373.6204834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1705.756241</v>
      </c>
      <c r="B2222" s="1">
        <f>DATE(2014,12,31) + TIME(18,8,59)</f>
        <v>42004.756238425929</v>
      </c>
      <c r="C2222">
        <v>80</v>
      </c>
      <c r="D2222">
        <v>75.003555297999995</v>
      </c>
      <c r="E2222">
        <v>50</v>
      </c>
      <c r="F2222">
        <v>49.979976653999998</v>
      </c>
      <c r="G2222">
        <v>1301.5771483999999</v>
      </c>
      <c r="H2222">
        <v>1288.5662841999999</v>
      </c>
      <c r="I2222">
        <v>1393.1986084</v>
      </c>
      <c r="J2222">
        <v>1373.6049805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1706</v>
      </c>
      <c r="B2223" s="1">
        <f>DATE(2015,1,1) + TIME(0,0,0)</f>
        <v>42005</v>
      </c>
      <c r="C2223">
        <v>80</v>
      </c>
      <c r="D2223">
        <v>74.958908081000004</v>
      </c>
      <c r="E2223">
        <v>50</v>
      </c>
      <c r="F2223">
        <v>49.979976653999998</v>
      </c>
      <c r="G2223">
        <v>1301.4489745999999</v>
      </c>
      <c r="H2223">
        <v>1288.4138184000001</v>
      </c>
      <c r="I2223">
        <v>1393.1770019999999</v>
      </c>
      <c r="J2223">
        <v>1373.5888672000001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1708.1321350000001</v>
      </c>
      <c r="B2224" s="1">
        <f>DATE(2015,1,3) + TIME(3,10,16)</f>
        <v>42007.13212962963</v>
      </c>
      <c r="C2224">
        <v>80</v>
      </c>
      <c r="D2224">
        <v>74.852279663000004</v>
      </c>
      <c r="E2224">
        <v>50</v>
      </c>
      <c r="F2224">
        <v>49.980003357000001</v>
      </c>
      <c r="G2224">
        <v>1301.4212646000001</v>
      </c>
      <c r="H2224">
        <v>1288.3614502</v>
      </c>
      <c r="I2224">
        <v>1393.1751709</v>
      </c>
      <c r="J2224">
        <v>1373.5876464999999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1710.2934399999999</v>
      </c>
      <c r="B2225" s="1">
        <f>DATE(2015,1,5) + TIME(7,2,33)</f>
        <v>42009.293437499997</v>
      </c>
      <c r="C2225">
        <v>80</v>
      </c>
      <c r="D2225">
        <v>74.728721618999998</v>
      </c>
      <c r="E2225">
        <v>50</v>
      </c>
      <c r="F2225">
        <v>49.980026244999998</v>
      </c>
      <c r="G2225">
        <v>1301.2822266000001</v>
      </c>
      <c r="H2225">
        <v>1288.1813964999999</v>
      </c>
      <c r="I2225">
        <v>1393.1545410000001</v>
      </c>
      <c r="J2225">
        <v>1373.5723877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1712.486116</v>
      </c>
      <c r="B2226" s="1">
        <f>DATE(2015,1,7) + TIME(11,40,0)</f>
        <v>42011.486111111109</v>
      </c>
      <c r="C2226">
        <v>80</v>
      </c>
      <c r="D2226">
        <v>74.600723267000006</v>
      </c>
      <c r="E2226">
        <v>50</v>
      </c>
      <c r="F2226">
        <v>49.980049133000001</v>
      </c>
      <c r="G2226">
        <v>1301.1362305</v>
      </c>
      <c r="H2226">
        <v>1287.9902344</v>
      </c>
      <c r="I2226">
        <v>1393.1341553</v>
      </c>
      <c r="J2226">
        <v>1373.5571289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1714.7158589999999</v>
      </c>
      <c r="B2227" s="1">
        <f>DATE(2015,1,9) + TIME(17,10,50)</f>
        <v>42013.715856481482</v>
      </c>
      <c r="C2227">
        <v>80</v>
      </c>
      <c r="D2227">
        <v>74.471130371000001</v>
      </c>
      <c r="E2227">
        <v>50</v>
      </c>
      <c r="F2227">
        <v>49.980072020999998</v>
      </c>
      <c r="G2227">
        <v>1300.984375</v>
      </c>
      <c r="H2227">
        <v>1287.7904053</v>
      </c>
      <c r="I2227">
        <v>1393.1137695</v>
      </c>
      <c r="J2227">
        <v>1373.5419922000001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1716.9877329999999</v>
      </c>
      <c r="B2228" s="1">
        <f>DATE(2015,1,11) + TIME(23,42,20)</f>
        <v>42015.98773148148</v>
      </c>
      <c r="C2228">
        <v>80</v>
      </c>
      <c r="D2228">
        <v>74.340316771999994</v>
      </c>
      <c r="E2228">
        <v>50</v>
      </c>
      <c r="F2228">
        <v>49.980094909999998</v>
      </c>
      <c r="G2228">
        <v>1300.8265381000001</v>
      </c>
      <c r="H2228">
        <v>1287.5819091999999</v>
      </c>
      <c r="I2228">
        <v>1393.0936279</v>
      </c>
      <c r="J2228">
        <v>1373.5269774999999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1719.3033760000001</v>
      </c>
      <c r="B2229" s="1">
        <f>DATE(2015,1,14) + TIME(7,16,51)</f>
        <v>42018.303368055553</v>
      </c>
      <c r="C2229">
        <v>80</v>
      </c>
      <c r="D2229">
        <v>74.208114624000004</v>
      </c>
      <c r="E2229">
        <v>50</v>
      </c>
      <c r="F2229">
        <v>49.980121613000001</v>
      </c>
      <c r="G2229">
        <v>1300.6623535000001</v>
      </c>
      <c r="H2229">
        <v>1287.3641356999999</v>
      </c>
      <c r="I2229">
        <v>1393.0736084</v>
      </c>
      <c r="J2229">
        <v>1373.5118408000001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1721.644886</v>
      </c>
      <c r="B2230" s="1">
        <f>DATE(2015,1,16) + TIME(15,28,38)</f>
        <v>42020.644884259258</v>
      </c>
      <c r="C2230">
        <v>80</v>
      </c>
      <c r="D2230">
        <v>74.074577332000004</v>
      </c>
      <c r="E2230">
        <v>50</v>
      </c>
      <c r="F2230">
        <v>49.980144500999998</v>
      </c>
      <c r="G2230">
        <v>1300.4914550999999</v>
      </c>
      <c r="H2230">
        <v>1287.1367187999999</v>
      </c>
      <c r="I2230">
        <v>1393.0534668</v>
      </c>
      <c r="J2230">
        <v>1373.4967041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1724.0163950000001</v>
      </c>
      <c r="B2231" s="1">
        <f>DATE(2015,1,19) + TIME(0,23,36)</f>
        <v>42023.016388888886</v>
      </c>
      <c r="C2231">
        <v>80</v>
      </c>
      <c r="D2231">
        <v>73.940101623999993</v>
      </c>
      <c r="E2231">
        <v>50</v>
      </c>
      <c r="F2231">
        <v>49.980167389000002</v>
      </c>
      <c r="G2231">
        <v>1300.3149414</v>
      </c>
      <c r="H2231">
        <v>1286.901001</v>
      </c>
      <c r="I2231">
        <v>1393.0335693</v>
      </c>
      <c r="J2231">
        <v>1373.4815673999999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1726.4236550000001</v>
      </c>
      <c r="B2232" s="1">
        <f>DATE(2015,1,21) + TIME(10,10,3)</f>
        <v>42025.423645833333</v>
      </c>
      <c r="C2232">
        <v>80</v>
      </c>
      <c r="D2232">
        <v>73.804443359000004</v>
      </c>
      <c r="E2232">
        <v>50</v>
      </c>
      <c r="F2232">
        <v>49.980194091999998</v>
      </c>
      <c r="G2232">
        <v>1300.1323242000001</v>
      </c>
      <c r="H2232">
        <v>1286.6563721</v>
      </c>
      <c r="I2232">
        <v>1393.0139160000001</v>
      </c>
      <c r="J2232">
        <v>1373.4665527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1728.8717569999999</v>
      </c>
      <c r="B2233" s="1">
        <f>DATE(2015,1,23) + TIME(20,55,19)</f>
        <v>42027.871747685182</v>
      </c>
      <c r="C2233">
        <v>80</v>
      </c>
      <c r="D2233">
        <v>73.667137146000002</v>
      </c>
      <c r="E2233">
        <v>50</v>
      </c>
      <c r="F2233">
        <v>49.980220795000001</v>
      </c>
      <c r="G2233">
        <v>1299.9434814000001</v>
      </c>
      <c r="H2233">
        <v>1286.4023437999999</v>
      </c>
      <c r="I2233">
        <v>1392.9942627</v>
      </c>
      <c r="J2233">
        <v>1373.4515381000001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1731.3657330000001</v>
      </c>
      <c r="B2234" s="1">
        <f>DATE(2015,1,26) + TIME(8,46,39)</f>
        <v>42030.365729166668</v>
      </c>
      <c r="C2234">
        <v>80</v>
      </c>
      <c r="D2234">
        <v>73.527702332000004</v>
      </c>
      <c r="E2234">
        <v>50</v>
      </c>
      <c r="F2234">
        <v>49.980247497999997</v>
      </c>
      <c r="G2234">
        <v>1299.7475586</v>
      </c>
      <c r="H2234">
        <v>1286.1380615</v>
      </c>
      <c r="I2234">
        <v>1392.9746094</v>
      </c>
      <c r="J2234">
        <v>1373.4365233999999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1733.910599</v>
      </c>
      <c r="B2235" s="1">
        <f>DATE(2015,1,28) + TIME(21,51,15)</f>
        <v>42032.910590277781</v>
      </c>
      <c r="C2235">
        <v>80</v>
      </c>
      <c r="D2235">
        <v>73.385612488000007</v>
      </c>
      <c r="E2235">
        <v>50</v>
      </c>
      <c r="F2235">
        <v>49.980270386000001</v>
      </c>
      <c r="G2235">
        <v>1299.5440673999999</v>
      </c>
      <c r="H2235">
        <v>1285.8629149999999</v>
      </c>
      <c r="I2235">
        <v>1392.9548339999999</v>
      </c>
      <c r="J2235">
        <v>1373.4212646000001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1736.5114799999999</v>
      </c>
      <c r="B2236" s="1">
        <f>DATE(2015,1,31) + TIME(12,16,31)</f>
        <v>42035.511469907404</v>
      </c>
      <c r="C2236">
        <v>80</v>
      </c>
      <c r="D2236">
        <v>73.240303040000001</v>
      </c>
      <c r="E2236">
        <v>50</v>
      </c>
      <c r="F2236">
        <v>49.980300903</v>
      </c>
      <c r="G2236">
        <v>1299.3325195</v>
      </c>
      <c r="H2236">
        <v>1285.5758057</v>
      </c>
      <c r="I2236">
        <v>1392.9350586</v>
      </c>
      <c r="J2236">
        <v>1373.4060059000001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1737</v>
      </c>
      <c r="B2237" s="1">
        <f>DATE(2015,2,1) + TIME(0,0,0)</f>
        <v>42036</v>
      </c>
      <c r="C2237">
        <v>80</v>
      </c>
      <c r="D2237">
        <v>73.161476135000001</v>
      </c>
      <c r="E2237">
        <v>50</v>
      </c>
      <c r="F2237">
        <v>49.980300903</v>
      </c>
      <c r="G2237">
        <v>1299.1268310999999</v>
      </c>
      <c r="H2237">
        <v>1285.3121338000001</v>
      </c>
      <c r="I2237">
        <v>1392.9141846</v>
      </c>
      <c r="J2237">
        <v>1373.3896483999999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1739.6473329999999</v>
      </c>
      <c r="B2238" s="1">
        <f>DATE(2015,2,3) + TIME(15,32,9)</f>
        <v>42038.647326388891</v>
      </c>
      <c r="C2238">
        <v>80</v>
      </c>
      <c r="D2238">
        <v>73.052810668999996</v>
      </c>
      <c r="E2238">
        <v>50</v>
      </c>
      <c r="F2238">
        <v>49.980331421000002</v>
      </c>
      <c r="G2238">
        <v>1299.0606689000001</v>
      </c>
      <c r="H2238">
        <v>1285.2011719</v>
      </c>
      <c r="I2238">
        <v>1392.911499</v>
      </c>
      <c r="J2238">
        <v>1373.3876952999999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1742.3567149999999</v>
      </c>
      <c r="B2239" s="1">
        <f>DATE(2015,2,6) + TIME(8,33,40)</f>
        <v>42041.356712962966</v>
      </c>
      <c r="C2239">
        <v>80</v>
      </c>
      <c r="D2239">
        <v>72.907867432000003</v>
      </c>
      <c r="E2239">
        <v>50</v>
      </c>
      <c r="F2239">
        <v>49.980358123999999</v>
      </c>
      <c r="G2239">
        <v>1298.8392334</v>
      </c>
      <c r="H2239">
        <v>1284.9023437999999</v>
      </c>
      <c r="I2239">
        <v>1392.8916016000001</v>
      </c>
      <c r="J2239">
        <v>1373.3721923999999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1745.1078950000001</v>
      </c>
      <c r="B2240" s="1">
        <f>DATE(2015,2,9) + TIME(2,35,22)</f>
        <v>42044.107893518521</v>
      </c>
      <c r="C2240">
        <v>80</v>
      </c>
      <c r="D2240">
        <v>72.751655579000001</v>
      </c>
      <c r="E2240">
        <v>50</v>
      </c>
      <c r="F2240">
        <v>49.980388640999998</v>
      </c>
      <c r="G2240">
        <v>1298.6022949000001</v>
      </c>
      <c r="H2240">
        <v>1284.5784911999999</v>
      </c>
      <c r="I2240">
        <v>1392.8714600000001</v>
      </c>
      <c r="J2240">
        <v>1373.3564452999999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1747.8994049999999</v>
      </c>
      <c r="B2241" s="1">
        <f>DATE(2015,2,11) + TIME(21,35,8)</f>
        <v>42046.899398148147</v>
      </c>
      <c r="C2241">
        <v>80</v>
      </c>
      <c r="D2241">
        <v>72.589653014999996</v>
      </c>
      <c r="E2241">
        <v>50</v>
      </c>
      <c r="F2241">
        <v>49.980415344000001</v>
      </c>
      <c r="G2241">
        <v>1298.3560791</v>
      </c>
      <c r="H2241">
        <v>1284.2403564000001</v>
      </c>
      <c r="I2241">
        <v>1392.8513184000001</v>
      </c>
      <c r="J2241">
        <v>1373.3405762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1750.7380430000001</v>
      </c>
      <c r="B2242" s="1">
        <f>DATE(2015,2,14) + TIME(17,42,46)</f>
        <v>42049.738032407404</v>
      </c>
      <c r="C2242">
        <v>80</v>
      </c>
      <c r="D2242">
        <v>72.422523498999993</v>
      </c>
      <c r="E2242">
        <v>50</v>
      </c>
      <c r="F2242">
        <v>49.980445862000003</v>
      </c>
      <c r="G2242">
        <v>1298.1016846</v>
      </c>
      <c r="H2242">
        <v>1283.8897704999999</v>
      </c>
      <c r="I2242">
        <v>1392.8310547000001</v>
      </c>
      <c r="J2242">
        <v>1373.3245850000001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1753.6276640000001</v>
      </c>
      <c r="B2243" s="1">
        <f>DATE(2015,2,17) + TIME(15,3,50)</f>
        <v>42052.627662037034</v>
      </c>
      <c r="C2243">
        <v>80</v>
      </c>
      <c r="D2243">
        <v>72.249633789000001</v>
      </c>
      <c r="E2243">
        <v>50</v>
      </c>
      <c r="F2243">
        <v>49.980472564999999</v>
      </c>
      <c r="G2243">
        <v>1297.8388672000001</v>
      </c>
      <c r="H2243">
        <v>1283.5264893000001</v>
      </c>
      <c r="I2243">
        <v>1392.8106689000001</v>
      </c>
      <c r="J2243">
        <v>1373.3084716999999</v>
      </c>
      <c r="K2243">
        <v>0</v>
      </c>
      <c r="L2243">
        <v>2400</v>
      </c>
      <c r="M2243">
        <v>2400</v>
      </c>
      <c r="N2243">
        <v>0</v>
      </c>
    </row>
    <row r="2244" spans="1:14" x14ac:dyDescent="0.25">
      <c r="A2244">
        <v>1756.558882</v>
      </c>
      <c r="B2244" s="1">
        <f>DATE(2015,2,20) + TIME(13,24,47)</f>
        <v>42055.558877314812</v>
      </c>
      <c r="C2244">
        <v>80</v>
      </c>
      <c r="D2244">
        <v>72.070304871000005</v>
      </c>
      <c r="E2244">
        <v>50</v>
      </c>
      <c r="F2244">
        <v>49.980503081999998</v>
      </c>
      <c r="G2244">
        <v>1297.5671387</v>
      </c>
      <c r="H2244">
        <v>1283.1497803</v>
      </c>
      <c r="I2244">
        <v>1392.7901611</v>
      </c>
      <c r="J2244">
        <v>1373.2921143000001</v>
      </c>
      <c r="K2244">
        <v>0</v>
      </c>
      <c r="L2244">
        <v>2400</v>
      </c>
      <c r="M2244">
        <v>2400</v>
      </c>
      <c r="N2244">
        <v>0</v>
      </c>
    </row>
    <row r="2245" spans="1:14" x14ac:dyDescent="0.25">
      <c r="A2245">
        <v>1759.5303759999999</v>
      </c>
      <c r="B2245" s="1">
        <f>DATE(2015,2,23) + TIME(12,43,44)</f>
        <v>42058.530370370368</v>
      </c>
      <c r="C2245">
        <v>80</v>
      </c>
      <c r="D2245">
        <v>71.884246825999995</v>
      </c>
      <c r="E2245">
        <v>50</v>
      </c>
      <c r="F2245">
        <v>49.980533600000001</v>
      </c>
      <c r="G2245">
        <v>1297.2872314000001</v>
      </c>
      <c r="H2245">
        <v>1282.7606201000001</v>
      </c>
      <c r="I2245">
        <v>1392.7694091999999</v>
      </c>
      <c r="J2245">
        <v>1373.2755127</v>
      </c>
      <c r="K2245">
        <v>0</v>
      </c>
      <c r="L2245">
        <v>2400</v>
      </c>
      <c r="M2245">
        <v>2400</v>
      </c>
      <c r="N2245">
        <v>0</v>
      </c>
    </row>
    <row r="2246" spans="1:14" x14ac:dyDescent="0.25">
      <c r="A2246">
        <v>1762.5376920000001</v>
      </c>
      <c r="B2246" s="1">
        <f>DATE(2015,2,26) + TIME(12,54,16)</f>
        <v>42061.537685185183</v>
      </c>
      <c r="C2246">
        <v>80</v>
      </c>
      <c r="D2246">
        <v>71.690917968999997</v>
      </c>
      <c r="E2246">
        <v>50</v>
      </c>
      <c r="F2246">
        <v>49.980560302999997</v>
      </c>
      <c r="G2246">
        <v>1296.9993896000001</v>
      </c>
      <c r="H2246">
        <v>1282.3592529</v>
      </c>
      <c r="I2246">
        <v>1392.7486572</v>
      </c>
      <c r="J2246">
        <v>1373.2587891000001</v>
      </c>
      <c r="K2246">
        <v>0</v>
      </c>
      <c r="L2246">
        <v>2400</v>
      </c>
      <c r="M2246">
        <v>2400</v>
      </c>
      <c r="N2246">
        <v>0</v>
      </c>
    </row>
    <row r="2247" spans="1:14" x14ac:dyDescent="0.25">
      <c r="A2247">
        <v>1765</v>
      </c>
      <c r="B2247" s="1">
        <f>DATE(2015,3,1) + TIME(0,0,0)</f>
        <v>42064</v>
      </c>
      <c r="C2247">
        <v>80</v>
      </c>
      <c r="D2247">
        <v>71.497772217000005</v>
      </c>
      <c r="E2247">
        <v>50</v>
      </c>
      <c r="F2247">
        <v>49.980587006</v>
      </c>
      <c r="G2247">
        <v>1296.7058105000001</v>
      </c>
      <c r="H2247">
        <v>1281.9509277</v>
      </c>
      <c r="I2247">
        <v>1392.7274170000001</v>
      </c>
      <c r="J2247">
        <v>1373.2415771000001</v>
      </c>
      <c r="K2247">
        <v>0</v>
      </c>
      <c r="L2247">
        <v>2400</v>
      </c>
      <c r="M2247">
        <v>2400</v>
      </c>
      <c r="N2247">
        <v>0</v>
      </c>
    </row>
    <row r="2248" spans="1:14" x14ac:dyDescent="0.25">
      <c r="A2248">
        <v>1768.0518850000001</v>
      </c>
      <c r="B2248" s="1">
        <f>DATE(2015,3,4) + TIME(1,14,42)</f>
        <v>42067.051874999997</v>
      </c>
      <c r="C2248">
        <v>80</v>
      </c>
      <c r="D2248">
        <v>71.315040588000002</v>
      </c>
      <c r="E2248">
        <v>50</v>
      </c>
      <c r="F2248">
        <v>49.980617522999999</v>
      </c>
      <c r="G2248">
        <v>1296.4533690999999</v>
      </c>
      <c r="H2248">
        <v>1281.5919189000001</v>
      </c>
      <c r="I2248">
        <v>1392.7105713000001</v>
      </c>
      <c r="J2248">
        <v>1373.2279053</v>
      </c>
      <c r="K2248">
        <v>0</v>
      </c>
      <c r="L2248">
        <v>2400</v>
      </c>
      <c r="M2248">
        <v>2400</v>
      </c>
      <c r="N2248">
        <v>0</v>
      </c>
    </row>
    <row r="2249" spans="1:14" x14ac:dyDescent="0.25">
      <c r="A2249">
        <v>1771.2014529999999</v>
      </c>
      <c r="B2249" s="1">
        <f>DATE(2015,3,7) + TIME(4,50,5)</f>
        <v>42070.20144675926</v>
      </c>
      <c r="C2249">
        <v>80</v>
      </c>
      <c r="D2249">
        <v>71.102973938000005</v>
      </c>
      <c r="E2249">
        <v>50</v>
      </c>
      <c r="F2249">
        <v>49.980648041000002</v>
      </c>
      <c r="G2249">
        <v>1296.1517334</v>
      </c>
      <c r="H2249">
        <v>1281.1696777</v>
      </c>
      <c r="I2249">
        <v>1392.6893310999999</v>
      </c>
      <c r="J2249">
        <v>1373.2106934000001</v>
      </c>
      <c r="K2249">
        <v>0</v>
      </c>
      <c r="L2249">
        <v>2400</v>
      </c>
      <c r="M2249">
        <v>2400</v>
      </c>
      <c r="N2249">
        <v>0</v>
      </c>
    </row>
    <row r="2250" spans="1:14" x14ac:dyDescent="0.25">
      <c r="A2250">
        <v>1774.39913</v>
      </c>
      <c r="B2250" s="1">
        <f>DATE(2015,3,10) + TIME(9,34,44)</f>
        <v>42073.39912037037</v>
      </c>
      <c r="C2250">
        <v>80</v>
      </c>
      <c r="D2250">
        <v>70.874221801999994</v>
      </c>
      <c r="E2250">
        <v>50</v>
      </c>
      <c r="F2250">
        <v>49.980678558000001</v>
      </c>
      <c r="G2250">
        <v>1295.8336182</v>
      </c>
      <c r="H2250">
        <v>1280.7216797000001</v>
      </c>
      <c r="I2250">
        <v>1392.6674805</v>
      </c>
      <c r="J2250">
        <v>1373.1928711</v>
      </c>
      <c r="K2250">
        <v>0</v>
      </c>
      <c r="L2250">
        <v>2400</v>
      </c>
      <c r="M2250">
        <v>2400</v>
      </c>
      <c r="N2250">
        <v>0</v>
      </c>
    </row>
    <row r="2251" spans="1:14" x14ac:dyDescent="0.25">
      <c r="A2251">
        <v>1777.6537080000001</v>
      </c>
      <c r="B2251" s="1">
        <f>DATE(2015,3,13) + TIME(15,41,20)</f>
        <v>42076.653703703705</v>
      </c>
      <c r="C2251">
        <v>80</v>
      </c>
      <c r="D2251">
        <v>70.632705688000001</v>
      </c>
      <c r="E2251">
        <v>50</v>
      </c>
      <c r="F2251">
        <v>49.980709075999997</v>
      </c>
      <c r="G2251">
        <v>1295.5063477000001</v>
      </c>
      <c r="H2251">
        <v>1280.2586670000001</v>
      </c>
      <c r="I2251">
        <v>1392.6453856999999</v>
      </c>
      <c r="J2251">
        <v>1373.1746826000001</v>
      </c>
      <c r="K2251">
        <v>0</v>
      </c>
      <c r="L2251">
        <v>2400</v>
      </c>
      <c r="M2251">
        <v>2400</v>
      </c>
      <c r="N2251">
        <v>0</v>
      </c>
    </row>
    <row r="2252" spans="1:14" x14ac:dyDescent="0.25">
      <c r="A2252">
        <v>1780.97443</v>
      </c>
      <c r="B2252" s="1">
        <f>DATE(2015,3,16) + TIME(23,23,10)</f>
        <v>42079.974421296298</v>
      </c>
      <c r="C2252">
        <v>80</v>
      </c>
      <c r="D2252">
        <v>70.377655028999996</v>
      </c>
      <c r="E2252">
        <v>50</v>
      </c>
      <c r="F2252">
        <v>49.980739593999999</v>
      </c>
      <c r="G2252">
        <v>1295.1700439000001</v>
      </c>
      <c r="H2252">
        <v>1279.7813721</v>
      </c>
      <c r="I2252">
        <v>1392.6228027</v>
      </c>
      <c r="J2252">
        <v>1373.1560059000001</v>
      </c>
      <c r="K2252">
        <v>0</v>
      </c>
      <c r="L2252">
        <v>2400</v>
      </c>
      <c r="M2252">
        <v>2400</v>
      </c>
      <c r="N2252">
        <v>0</v>
      </c>
    </row>
    <row r="2253" spans="1:14" x14ac:dyDescent="0.25">
      <c r="A2253">
        <v>1784.3707119999999</v>
      </c>
      <c r="B2253" s="1">
        <f>DATE(2015,3,20) + TIME(8,53,49)</f>
        <v>42083.370706018519</v>
      </c>
      <c r="C2253">
        <v>80</v>
      </c>
      <c r="D2253">
        <v>70.107788085999999</v>
      </c>
      <c r="E2253">
        <v>50</v>
      </c>
      <c r="F2253">
        <v>49.980773925999998</v>
      </c>
      <c r="G2253">
        <v>1294.8242187999999</v>
      </c>
      <c r="H2253">
        <v>1279.2890625</v>
      </c>
      <c r="I2253">
        <v>1392.5997314000001</v>
      </c>
      <c r="J2253">
        <v>1373.1368408000001</v>
      </c>
      <c r="K2253">
        <v>0</v>
      </c>
      <c r="L2253">
        <v>2400</v>
      </c>
      <c r="M2253">
        <v>2400</v>
      </c>
      <c r="N2253">
        <v>0</v>
      </c>
    </row>
    <row r="2254" spans="1:14" x14ac:dyDescent="0.25">
      <c r="A2254">
        <v>1787.828951</v>
      </c>
      <c r="B2254" s="1">
        <f>DATE(2015,3,23) + TIME(19,53,41)</f>
        <v>42086.828946759262</v>
      </c>
      <c r="C2254">
        <v>80</v>
      </c>
      <c r="D2254">
        <v>69.821212768999999</v>
      </c>
      <c r="E2254">
        <v>50</v>
      </c>
      <c r="F2254">
        <v>49.980804442999997</v>
      </c>
      <c r="G2254">
        <v>1294.4682617000001</v>
      </c>
      <c r="H2254">
        <v>1278.7808838000001</v>
      </c>
      <c r="I2254">
        <v>1392.5759277</v>
      </c>
      <c r="J2254">
        <v>1373.1170654</v>
      </c>
      <c r="K2254">
        <v>0</v>
      </c>
      <c r="L2254">
        <v>2400</v>
      </c>
      <c r="M2254">
        <v>2400</v>
      </c>
      <c r="N2254">
        <v>0</v>
      </c>
    </row>
    <row r="2255" spans="1:14" x14ac:dyDescent="0.25">
      <c r="A2255">
        <v>1791.34762</v>
      </c>
      <c r="B2255" s="1">
        <f>DATE(2015,3,27) + TIME(8,20,34)</f>
        <v>42090.347615740742</v>
      </c>
      <c r="C2255">
        <v>80</v>
      </c>
      <c r="D2255">
        <v>69.517433166999993</v>
      </c>
      <c r="E2255">
        <v>50</v>
      </c>
      <c r="F2255">
        <v>49.980838775999999</v>
      </c>
      <c r="G2255">
        <v>1294.1038818</v>
      </c>
      <c r="H2255">
        <v>1278.2585449000001</v>
      </c>
      <c r="I2255">
        <v>1392.5516356999999</v>
      </c>
      <c r="J2255">
        <v>1373.0966797000001</v>
      </c>
      <c r="K2255">
        <v>0</v>
      </c>
      <c r="L2255">
        <v>2400</v>
      </c>
      <c r="M2255">
        <v>2400</v>
      </c>
      <c r="N2255">
        <v>0</v>
      </c>
    </row>
    <row r="2256" spans="1:14" x14ac:dyDescent="0.25">
      <c r="A2256">
        <v>1794.923845</v>
      </c>
      <c r="B2256" s="1">
        <f>DATE(2015,3,30) + TIME(22,10,20)</f>
        <v>42093.923842592594</v>
      </c>
      <c r="C2256">
        <v>80</v>
      </c>
      <c r="D2256">
        <v>69.196372986</v>
      </c>
      <c r="E2256">
        <v>50</v>
      </c>
      <c r="F2256">
        <v>49.980869292999998</v>
      </c>
      <c r="G2256">
        <v>1293.7314452999999</v>
      </c>
      <c r="H2256">
        <v>1277.7230225000001</v>
      </c>
      <c r="I2256">
        <v>1392.5267334</v>
      </c>
      <c r="J2256">
        <v>1373.0756836</v>
      </c>
      <c r="K2256">
        <v>0</v>
      </c>
      <c r="L2256">
        <v>2400</v>
      </c>
      <c r="M2256">
        <v>2400</v>
      </c>
      <c r="N2256">
        <v>0</v>
      </c>
    </row>
    <row r="2257" spans="1:14" x14ac:dyDescent="0.25">
      <c r="A2257">
        <v>1796</v>
      </c>
      <c r="B2257" s="1">
        <f>DATE(2015,4,1) + TIME(0,0,0)</f>
        <v>42095</v>
      </c>
      <c r="C2257">
        <v>80</v>
      </c>
      <c r="D2257">
        <v>68.943168639999996</v>
      </c>
      <c r="E2257">
        <v>50</v>
      </c>
      <c r="F2257">
        <v>49.980876922999997</v>
      </c>
      <c r="G2257">
        <v>1293.3663329999999</v>
      </c>
      <c r="H2257">
        <v>1277.2199707</v>
      </c>
      <c r="I2257">
        <v>1392.5004882999999</v>
      </c>
      <c r="J2257">
        <v>1373.0533447</v>
      </c>
      <c r="K2257">
        <v>0</v>
      </c>
      <c r="L2257">
        <v>2400</v>
      </c>
      <c r="M2257">
        <v>2400</v>
      </c>
      <c r="N225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2022-05-31T08:52:51Z</dcterms:created>
  <dcterms:modified xsi:type="dcterms:W3CDTF">2022-05-31T08:53:37Z</dcterms:modified>
</cp:coreProperties>
</file>