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13_high_THCONR0/"/>
    </mc:Choice>
  </mc:AlternateContent>
  <xr:revisionPtr revIDLastSave="0" documentId="8_{7F66A7B9-6AB7-487C-8501-7BA1F0F4AF7E}" xr6:coauthVersionLast="47" xr6:coauthVersionMax="47" xr10:uidLastSave="{00000000-0000-0000-0000-000000000000}"/>
  <bookViews>
    <workbookView xWindow="1215" yWindow="735" windowWidth="18915" windowHeight="9960" xr2:uid="{CC2119A6-3E56-41B2-A100-06962EB6A29E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97" i="1" l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<sst xmlns="http://schemas.openxmlformats.org/spreadsheetml/2006/main" count="15" uniqueCount="15">
  <si>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MODEL\SCENARIOS\2022\S13_high_THCONR0\S13_high_THCONR0.sr3</t>
  </si>
  <si>
    <t>Time (day)</t>
  </si>
  <si>
    <t>Date</t>
  </si>
  <si>
    <t>Hot well INJ-Fluid Rate SC (m³/day)</t>
  </si>
  <si>
    <t>Hot well PROD-Fluid Rate SC (m³/day)</t>
  </si>
  <si>
    <t>Warm well INJ-Fluid Rate SC (m³/day)</t>
  </si>
  <si>
    <t>Warm well PROD-Fluid Rate SC (m³/day)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</si>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</sst>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F95BF-D3C2-4AC7-AF8F-15214DE27E58}" name="Table1" displayName="Table1" ref="A3:N2097" totalsRowShown="0">
  <autoFilter ref="A3:N2097" xr:uid="{F5AF95BF-D3C2-4AC7-AF8F-15214DE27E58}"/>
  <tableColumns count="14">
    <tableColumn id="1" xr3:uid="{524C9E69-0104-4DD6-8515-4728C2202CC8}" name="Time (day)"/>
    <tableColumn id="2" xr3:uid="{6DC07CEA-D386-488B-AC43-03CFF5BB1B8A}" name="Date" dataDxfId="0"/>
    <tableColumn id="3" xr3:uid="{77672726-31A2-464D-B6B9-527AB8450A22}" name="Hot well INJ-Fluid Rate SC (m³/day)"/>
    <tableColumn id="4" xr3:uid="{C4F031C5-A252-4EC8-A434-1DEE19287314}" name="Hot well PROD-Fluid Rate SC (m³/day)"/>
    <tableColumn id="5" xr3:uid="{CE524A13-7109-4A93-943F-D1F96D650696}" name="Warm well INJ-Fluid Rate SC (m³/day)"/>
    <tableColumn id="6" xr3:uid="{35603E1D-9C36-46F1-A7E9-59E25E4F406B}" name="Warm well PROD-Fluid Rate SC (m³/day)"/>
    <tableColumn id="7" xr3:uid="{49E2DB0B-D262-4EC9-963D-0315D9CC5B50}" name="Hot well INJ-Well Bottom-hole Pressure (kPa)"/>
    <tableColumn id="8" xr3:uid="{C54D4671-A9C0-49C7-80EF-5935F9454C66}" name="Hot well PROD-Well Bottom-hole Pressure (kPa)"/>
    <tableColumn id="9" xr3:uid="{44A9C6C0-8663-4D24-9D45-FE38EF98B1B7}" name="Warm well INJ-Well Bottom-hole Pressure (kPa)"/>
    <tableColumn id="10" xr3:uid="{286250B8-0313-4467-955E-1B2ED8038B03}" name="Warm well PROD-Well Bottom-hole Pressure (kPa)"/>
    <tableColumn id="11" xr3:uid="{19589BEE-C229-487B-BE07-C5C7EC24C25F}" name="Hot well INJ-Well bottom hole temperature (C)"/>
    <tableColumn id="12" xr3:uid="{9EA613A4-6DC1-4693-98D2-7C6E50A8208F}" name="Hot well PROD-Well bottom hole temperature (C)"/>
    <tableColumn id="13" xr3:uid="{31AE6F9A-21DA-4A0F-94BE-0018E3AD90C0}" name="Warm well INJ-Well bottom hole temperature (C)"/>
    <tableColumn id="14" xr3:uid="{AE2B9879-E2B8-495B-BD83-E430BA716095}" name="Warm well PROD-Well bottom hole temperature (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75ED-FC30-4C8D-8C8E-89E4729BD220}">
  <dimension ref="A1:N2097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34.140625" customWidth="1"/>
    <col min="4" max="5" width="36.42578125" customWidth="1"/>
    <col min="6" max="6" width="38.7109375" customWidth="1"/>
    <col min="7" max="7" width="43.5703125" customWidth="1"/>
    <col min="8" max="9" width="45.85546875" customWidth="1"/>
    <col min="10" max="10" width="48.140625" customWidth="1"/>
    <col min="11" max="11" width="44.85546875" customWidth="1"/>
    <col min="12" max="13" width="47.140625" customWidth="1"/>
    <col min="14" max="14" width="49.4257812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2400</v>
      </c>
      <c r="D4">
        <v>0</v>
      </c>
      <c r="E4">
        <v>0</v>
      </c>
      <c r="F4">
        <v>2400</v>
      </c>
      <c r="G4">
        <v>1369.2735596</v>
      </c>
      <c r="H4">
        <v>1329.8488769999999</v>
      </c>
      <c r="I4">
        <v>1328.9722899999999</v>
      </c>
      <c r="J4">
        <v>1289.5467529</v>
      </c>
      <c r="K4">
        <v>80</v>
      </c>
      <c r="L4">
        <v>15.000118256</v>
      </c>
      <c r="M4">
        <v>50</v>
      </c>
      <c r="N4">
        <v>14.999955177</v>
      </c>
    </row>
    <row r="5" spans="1:14" x14ac:dyDescent="0.25">
      <c r="A5">
        <v>3.9999999999999998E-6</v>
      </c>
      <c r="B5" s="1">
        <f>DATE(2010,5,1) + TIME(0,0,0)</f>
        <v>40299</v>
      </c>
      <c r="C5">
        <v>2400</v>
      </c>
      <c r="D5">
        <v>0</v>
      </c>
      <c r="E5">
        <v>0</v>
      </c>
      <c r="F5">
        <v>2400</v>
      </c>
      <c r="G5">
        <v>1370.5152588000001</v>
      </c>
      <c r="H5">
        <v>1331.0908202999999</v>
      </c>
      <c r="I5">
        <v>1327.7358397999999</v>
      </c>
      <c r="J5">
        <v>1288.3100586</v>
      </c>
      <c r="K5">
        <v>80</v>
      </c>
      <c r="L5">
        <v>15.000466347</v>
      </c>
      <c r="M5">
        <v>50</v>
      </c>
      <c r="N5">
        <v>14.999828339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2400</v>
      </c>
      <c r="D6">
        <v>0</v>
      </c>
      <c r="E6">
        <v>0</v>
      </c>
      <c r="F6">
        <v>2400</v>
      </c>
      <c r="G6">
        <v>1373.6903076000001</v>
      </c>
      <c r="H6">
        <v>1334.2667236</v>
      </c>
      <c r="I6">
        <v>1324.5737305</v>
      </c>
      <c r="J6">
        <v>1285.1474608999999</v>
      </c>
      <c r="K6">
        <v>80</v>
      </c>
      <c r="L6">
        <v>15.001452446</v>
      </c>
      <c r="M6">
        <v>50</v>
      </c>
      <c r="N6">
        <v>14.999503136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2400</v>
      </c>
      <c r="D7">
        <v>0</v>
      </c>
      <c r="E7">
        <v>0</v>
      </c>
      <c r="F7">
        <v>2400</v>
      </c>
      <c r="G7">
        <v>1380.2470702999999</v>
      </c>
      <c r="H7">
        <v>1340.8261719</v>
      </c>
      <c r="I7">
        <v>1318.0426024999999</v>
      </c>
      <c r="J7">
        <v>1278.6154785000001</v>
      </c>
      <c r="K7">
        <v>80</v>
      </c>
      <c r="L7">
        <v>15.004107475</v>
      </c>
      <c r="M7">
        <v>50</v>
      </c>
      <c r="N7">
        <v>14.998830795</v>
      </c>
    </row>
    <row r="8" spans="1:14" x14ac:dyDescent="0.25">
      <c r="A8">
        <v>1.21E-4</v>
      </c>
      <c r="B8" s="1">
        <f>DATE(2010,5,1) + TIME(0,0,10)</f>
        <v>40299.000115740739</v>
      </c>
      <c r="C8">
        <v>2400</v>
      </c>
      <c r="D8">
        <v>0</v>
      </c>
      <c r="E8">
        <v>0</v>
      </c>
      <c r="F8">
        <v>2400</v>
      </c>
      <c r="G8">
        <v>1390.0941161999999</v>
      </c>
      <c r="H8">
        <v>1350.6804199000001</v>
      </c>
      <c r="I8">
        <v>1308.2297363</v>
      </c>
      <c r="J8">
        <v>1268.8012695</v>
      </c>
      <c r="K8">
        <v>80</v>
      </c>
      <c r="L8">
        <v>15.011060714999999</v>
      </c>
      <c r="M8">
        <v>50</v>
      </c>
      <c r="N8">
        <v>14.997822762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2400</v>
      </c>
      <c r="D9">
        <v>0</v>
      </c>
      <c r="E9">
        <v>0</v>
      </c>
      <c r="F9">
        <v>2400</v>
      </c>
      <c r="G9">
        <v>1401.2493896000001</v>
      </c>
      <c r="H9">
        <v>1361.8554687999999</v>
      </c>
      <c r="I9">
        <v>1297.0947266000001</v>
      </c>
      <c r="J9">
        <v>1257.6650391000001</v>
      </c>
      <c r="K9">
        <v>80</v>
      </c>
      <c r="L9">
        <v>15.030023575</v>
      </c>
      <c r="M9">
        <v>50</v>
      </c>
      <c r="N9">
        <v>14.996678352</v>
      </c>
    </row>
    <row r="10" spans="1:14" x14ac:dyDescent="0.25">
      <c r="A10">
        <v>1.093E-3</v>
      </c>
      <c r="B10" s="1">
        <f>DATE(2010,5,1) + TIME(0,1,34)</f>
        <v>40299.001087962963</v>
      </c>
      <c r="C10">
        <v>2400</v>
      </c>
      <c r="D10">
        <v>0</v>
      </c>
      <c r="E10">
        <v>0</v>
      </c>
      <c r="F10">
        <v>2400</v>
      </c>
      <c r="G10">
        <v>1412.4663086</v>
      </c>
      <c r="H10">
        <v>1373.1290283000001</v>
      </c>
      <c r="I10">
        <v>1285.8406981999999</v>
      </c>
      <c r="J10">
        <v>1246.4097899999999</v>
      </c>
      <c r="K10">
        <v>80</v>
      </c>
      <c r="L10">
        <v>15.084580421</v>
      </c>
      <c r="M10">
        <v>50</v>
      </c>
      <c r="N10">
        <v>14.995523453000001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2400</v>
      </c>
      <c r="D11">
        <v>0</v>
      </c>
      <c r="E11">
        <v>0</v>
      </c>
      <c r="F11">
        <v>2400</v>
      </c>
      <c r="G11">
        <v>1423.4654541</v>
      </c>
      <c r="H11">
        <v>1384.2939452999999</v>
      </c>
      <c r="I11">
        <v>1274.6348877</v>
      </c>
      <c r="J11">
        <v>1235.2026367000001</v>
      </c>
      <c r="K11">
        <v>80</v>
      </c>
      <c r="L11">
        <v>15.245539665000001</v>
      </c>
      <c r="M11">
        <v>50</v>
      </c>
      <c r="N11">
        <v>14.994379996999999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2400</v>
      </c>
      <c r="D12">
        <v>0</v>
      </c>
      <c r="E12">
        <v>0</v>
      </c>
      <c r="F12">
        <v>2400</v>
      </c>
      <c r="G12">
        <v>1433.5371094</v>
      </c>
      <c r="H12">
        <v>1394.8500977000001</v>
      </c>
      <c r="I12">
        <v>1263.869751</v>
      </c>
      <c r="J12">
        <v>1224.4364014</v>
      </c>
      <c r="K12">
        <v>80</v>
      </c>
      <c r="L12">
        <v>15.722704887000001</v>
      </c>
      <c r="M12">
        <v>50</v>
      </c>
      <c r="N12">
        <v>14.993297577</v>
      </c>
    </row>
    <row r="13" spans="1:14" x14ac:dyDescent="0.25">
      <c r="A13">
        <v>2.3591000000000001E-2</v>
      </c>
      <c r="B13" s="1">
        <f>DATE(2010,5,1) + TIME(0,33,58)</f>
        <v>40299.023587962962</v>
      </c>
      <c r="C13">
        <v>2400</v>
      </c>
      <c r="D13">
        <v>0</v>
      </c>
      <c r="E13">
        <v>0</v>
      </c>
      <c r="F13">
        <v>2400</v>
      </c>
      <c r="G13">
        <v>1439.5987548999999</v>
      </c>
      <c r="H13">
        <v>1401.8793945</v>
      </c>
      <c r="I13">
        <v>1256.4517822</v>
      </c>
      <c r="J13">
        <v>1217.0177002</v>
      </c>
      <c r="K13">
        <v>80</v>
      </c>
      <c r="L13">
        <v>16.708246231</v>
      </c>
      <c r="M13">
        <v>50</v>
      </c>
      <c r="N13">
        <v>14.992580414000001</v>
      </c>
    </row>
    <row r="14" spans="1:14" x14ac:dyDescent="0.25">
      <c r="A14">
        <v>3.7543E-2</v>
      </c>
      <c r="B14" s="1">
        <f>DATE(2010,5,1) + TIME(0,54,3)</f>
        <v>40299.037534722222</v>
      </c>
      <c r="C14">
        <v>2400</v>
      </c>
      <c r="D14">
        <v>0</v>
      </c>
      <c r="E14">
        <v>0</v>
      </c>
      <c r="F14">
        <v>2400</v>
      </c>
      <c r="G14">
        <v>1441.5517577999999</v>
      </c>
      <c r="H14">
        <v>1404.7529297000001</v>
      </c>
      <c r="I14">
        <v>1253.2561035000001</v>
      </c>
      <c r="J14">
        <v>1213.8217772999999</v>
      </c>
      <c r="K14">
        <v>80</v>
      </c>
      <c r="L14">
        <v>17.694437026999999</v>
      </c>
      <c r="M14">
        <v>50</v>
      </c>
      <c r="N14">
        <v>14.992290497000001</v>
      </c>
    </row>
    <row r="15" spans="1:14" x14ac:dyDescent="0.25">
      <c r="A15">
        <v>5.169E-2</v>
      </c>
      <c r="B15" s="1">
        <f>DATE(2010,5,1) + TIME(1,14,25)</f>
        <v>40299.051678240743</v>
      </c>
      <c r="C15">
        <v>2400</v>
      </c>
      <c r="D15">
        <v>0</v>
      </c>
      <c r="E15">
        <v>0</v>
      </c>
      <c r="F15">
        <v>2400</v>
      </c>
      <c r="G15">
        <v>1441.9333495999999</v>
      </c>
      <c r="H15">
        <v>1406.0169678</v>
      </c>
      <c r="I15">
        <v>1251.7165527</v>
      </c>
      <c r="J15">
        <v>1212.2819824000001</v>
      </c>
      <c r="K15">
        <v>80</v>
      </c>
      <c r="L15">
        <v>18.680917740000002</v>
      </c>
      <c r="M15">
        <v>50</v>
      </c>
      <c r="N15">
        <v>14.992168426999999</v>
      </c>
    </row>
    <row r="16" spans="1:14" x14ac:dyDescent="0.25">
      <c r="A16">
        <v>6.6031000000000006E-2</v>
      </c>
      <c r="B16" s="1">
        <f>DATE(2010,5,1) + TIME(1,35,5)</f>
        <v>40299.066030092596</v>
      </c>
      <c r="C16">
        <v>2400</v>
      </c>
      <c r="D16">
        <v>0</v>
      </c>
      <c r="E16">
        <v>0</v>
      </c>
      <c r="F16">
        <v>2400</v>
      </c>
      <c r="G16">
        <v>1441.6070557</v>
      </c>
      <c r="H16">
        <v>1406.5368652</v>
      </c>
      <c r="I16">
        <v>1250.9420166</v>
      </c>
      <c r="J16">
        <v>1211.5074463000001</v>
      </c>
      <c r="K16">
        <v>80</v>
      </c>
      <c r="L16">
        <v>19.667226791000001</v>
      </c>
      <c r="M16">
        <v>50</v>
      </c>
      <c r="N16">
        <v>14.992123604</v>
      </c>
    </row>
    <row r="17" spans="1:14" x14ac:dyDescent="0.25">
      <c r="A17">
        <v>8.0570000000000003E-2</v>
      </c>
      <c r="B17" s="1">
        <f>DATE(2010,5,1) + TIME(1,56,1)</f>
        <v>40299.080567129633</v>
      </c>
      <c r="C17">
        <v>2400</v>
      </c>
      <c r="D17">
        <v>0</v>
      </c>
      <c r="E17">
        <v>0</v>
      </c>
      <c r="F17">
        <v>2400</v>
      </c>
      <c r="G17">
        <v>1440.9349365</v>
      </c>
      <c r="H17">
        <v>1406.6770019999999</v>
      </c>
      <c r="I17">
        <v>1250.5510254000001</v>
      </c>
      <c r="J17">
        <v>1211.1163329999999</v>
      </c>
      <c r="K17">
        <v>80</v>
      </c>
      <c r="L17">
        <v>20.653890610000001</v>
      </c>
      <c r="M17">
        <v>50</v>
      </c>
      <c r="N17">
        <v>14.992117882000001</v>
      </c>
    </row>
    <row r="18" spans="1:14" x14ac:dyDescent="0.25">
      <c r="A18">
        <v>9.5307000000000003E-2</v>
      </c>
      <c r="B18" s="1">
        <f>DATE(2010,5,1) + TIME(2,17,14)</f>
        <v>40299.095300925925</v>
      </c>
      <c r="C18">
        <v>2400</v>
      </c>
      <c r="D18">
        <v>0</v>
      </c>
      <c r="E18">
        <v>0</v>
      </c>
      <c r="F18">
        <v>2400</v>
      </c>
      <c r="G18">
        <v>1440.0917969</v>
      </c>
      <c r="H18">
        <v>1406.6130370999999</v>
      </c>
      <c r="I18">
        <v>1250.3591309000001</v>
      </c>
      <c r="J18">
        <v>1210.9243164</v>
      </c>
      <c r="K18">
        <v>80</v>
      </c>
      <c r="L18">
        <v>21.640033721999998</v>
      </c>
      <c r="M18">
        <v>50</v>
      </c>
      <c r="N18">
        <v>14.992132186999999</v>
      </c>
    </row>
    <row r="19" spans="1:14" x14ac:dyDescent="0.25">
      <c r="A19">
        <v>0.110251</v>
      </c>
      <c r="B19" s="1">
        <f>DATE(2010,5,1) + TIME(2,38,45)</f>
        <v>40299.110243055555</v>
      </c>
      <c r="C19">
        <v>2400</v>
      </c>
      <c r="D19">
        <v>0</v>
      </c>
      <c r="E19">
        <v>0</v>
      </c>
      <c r="F19">
        <v>2400</v>
      </c>
      <c r="G19">
        <v>1439.1680908000001</v>
      </c>
      <c r="H19">
        <v>1406.4372559000001</v>
      </c>
      <c r="I19">
        <v>1250.2707519999999</v>
      </c>
      <c r="J19">
        <v>1210.8360596</v>
      </c>
      <c r="K19">
        <v>80</v>
      </c>
      <c r="L19">
        <v>22.625621796000001</v>
      </c>
      <c r="M19">
        <v>50</v>
      </c>
      <c r="N19">
        <v>14.992156029</v>
      </c>
    </row>
    <row r="20" spans="1:14" x14ac:dyDescent="0.25">
      <c r="A20">
        <v>0.125413</v>
      </c>
      <c r="B20" s="1">
        <f>DATE(2010,5,1) + TIME(3,0,35)</f>
        <v>40299.125405092593</v>
      </c>
      <c r="C20">
        <v>2400</v>
      </c>
      <c r="D20">
        <v>0</v>
      </c>
      <c r="E20">
        <v>0</v>
      </c>
      <c r="F20">
        <v>2400</v>
      </c>
      <c r="G20">
        <v>1438.2132568</v>
      </c>
      <c r="H20">
        <v>1406.2009277</v>
      </c>
      <c r="I20">
        <v>1250.2355957</v>
      </c>
      <c r="J20">
        <v>1210.8009033000001</v>
      </c>
      <c r="K20">
        <v>80</v>
      </c>
      <c r="L20">
        <v>23.610923766999999</v>
      </c>
      <c r="M20">
        <v>50</v>
      </c>
      <c r="N20">
        <v>14.992185593</v>
      </c>
    </row>
    <row r="21" spans="1:14" x14ac:dyDescent="0.25">
      <c r="A21">
        <v>0.14080100000000001</v>
      </c>
      <c r="B21" s="1">
        <f>DATE(2010,5,1) + TIME(3,22,45)</f>
        <v>40299.140798611108</v>
      </c>
      <c r="C21">
        <v>2400</v>
      </c>
      <c r="D21">
        <v>0</v>
      </c>
      <c r="E21">
        <v>0</v>
      </c>
      <c r="F21">
        <v>2400</v>
      </c>
      <c r="G21">
        <v>1437.2547606999999</v>
      </c>
      <c r="H21">
        <v>1405.9329834</v>
      </c>
      <c r="I21">
        <v>1250.2266846</v>
      </c>
      <c r="J21">
        <v>1210.7919922000001</v>
      </c>
      <c r="K21">
        <v>80</v>
      </c>
      <c r="L21">
        <v>24.595930099</v>
      </c>
      <c r="M21">
        <v>50</v>
      </c>
      <c r="N21">
        <v>14.992218971</v>
      </c>
    </row>
    <row r="22" spans="1:14" x14ac:dyDescent="0.25">
      <c r="A22">
        <v>0.15642300000000001</v>
      </c>
      <c r="B22" s="1">
        <f>DATE(2010,5,1) + TIME(3,45,14)</f>
        <v>40299.156412037039</v>
      </c>
      <c r="C22">
        <v>2400</v>
      </c>
      <c r="D22">
        <v>0</v>
      </c>
      <c r="E22">
        <v>0</v>
      </c>
      <c r="F22">
        <v>2400</v>
      </c>
      <c r="G22">
        <v>1436.3078613</v>
      </c>
      <c r="H22">
        <v>1405.6501464999999</v>
      </c>
      <c r="I22">
        <v>1250.2298584</v>
      </c>
      <c r="J22">
        <v>1210.7951660000001</v>
      </c>
      <c r="K22">
        <v>80</v>
      </c>
      <c r="L22">
        <v>25.581024169999999</v>
      </c>
      <c r="M22">
        <v>50</v>
      </c>
      <c r="N22">
        <v>14.992252349999999</v>
      </c>
    </row>
    <row r="23" spans="1:14" x14ac:dyDescent="0.25">
      <c r="A23">
        <v>0.17228199999999999</v>
      </c>
      <c r="B23" s="1">
        <f>DATE(2010,5,1) + TIME(4,8,5)</f>
        <v>40299.172280092593</v>
      </c>
      <c r="C23">
        <v>2400</v>
      </c>
      <c r="D23">
        <v>0</v>
      </c>
      <c r="E23">
        <v>0</v>
      </c>
      <c r="F23">
        <v>2400</v>
      </c>
      <c r="G23">
        <v>1435.3813477000001</v>
      </c>
      <c r="H23">
        <v>1405.3624268000001</v>
      </c>
      <c r="I23">
        <v>1250.237793</v>
      </c>
      <c r="J23">
        <v>1210.8031006000001</v>
      </c>
      <c r="K23">
        <v>80</v>
      </c>
      <c r="L23">
        <v>26.565698623999999</v>
      </c>
      <c r="M23">
        <v>50</v>
      </c>
      <c r="N23">
        <v>14.992286682</v>
      </c>
    </row>
    <row r="24" spans="1:14" x14ac:dyDescent="0.25">
      <c r="A24">
        <v>0.188388</v>
      </c>
      <c r="B24" s="1">
        <f>DATE(2010,5,1) + TIME(4,31,16)</f>
        <v>40299.188379629632</v>
      </c>
      <c r="C24">
        <v>2400</v>
      </c>
      <c r="D24">
        <v>0</v>
      </c>
      <c r="E24">
        <v>0</v>
      </c>
      <c r="F24">
        <v>2400</v>
      </c>
      <c r="G24">
        <v>1434.4797363</v>
      </c>
      <c r="H24">
        <v>1405.0754394999999</v>
      </c>
      <c r="I24">
        <v>1250.2469481999999</v>
      </c>
      <c r="J24">
        <v>1210.8121338000001</v>
      </c>
      <c r="K24">
        <v>80</v>
      </c>
      <c r="L24">
        <v>27.549785614000001</v>
      </c>
      <c r="M24">
        <v>50</v>
      </c>
      <c r="N24">
        <v>14.992321014</v>
      </c>
    </row>
    <row r="25" spans="1:14" x14ac:dyDescent="0.25">
      <c r="A25">
        <v>0.20475399999999999</v>
      </c>
      <c r="B25" s="1">
        <f>DATE(2010,5,1) + TIME(4,54,50)</f>
        <v>40299.204745370371</v>
      </c>
      <c r="C25">
        <v>2400</v>
      </c>
      <c r="D25">
        <v>0</v>
      </c>
      <c r="E25">
        <v>0</v>
      </c>
      <c r="F25">
        <v>2400</v>
      </c>
      <c r="G25">
        <v>1433.6051024999999</v>
      </c>
      <c r="H25">
        <v>1404.7926024999999</v>
      </c>
      <c r="I25">
        <v>1250.2557373</v>
      </c>
      <c r="J25">
        <v>1210.8209228999999</v>
      </c>
      <c r="K25">
        <v>80</v>
      </c>
      <c r="L25">
        <v>28.533533095999999</v>
      </c>
      <c r="M25">
        <v>50</v>
      </c>
      <c r="N25">
        <v>14.992355347</v>
      </c>
    </row>
    <row r="26" spans="1:14" x14ac:dyDescent="0.25">
      <c r="A26">
        <v>0.221391</v>
      </c>
      <c r="B26" s="1">
        <f>DATE(2010,5,1) + TIME(5,18,48)</f>
        <v>40299.221388888887</v>
      </c>
      <c r="C26">
        <v>2400</v>
      </c>
      <c r="D26">
        <v>0</v>
      </c>
      <c r="E26">
        <v>0</v>
      </c>
      <c r="F26">
        <v>2400</v>
      </c>
      <c r="G26">
        <v>1432.7583007999999</v>
      </c>
      <c r="H26">
        <v>1404.515625</v>
      </c>
      <c r="I26">
        <v>1250.2635498</v>
      </c>
      <c r="J26">
        <v>1210.8286132999999</v>
      </c>
      <c r="K26">
        <v>80</v>
      </c>
      <c r="L26">
        <v>29.516931534000001</v>
      </c>
      <c r="M26">
        <v>50</v>
      </c>
      <c r="N26">
        <v>14.992389679</v>
      </c>
    </row>
    <row r="27" spans="1:14" x14ac:dyDescent="0.25">
      <c r="A27">
        <v>0.23830799999999999</v>
      </c>
      <c r="B27" s="1">
        <f>DATE(2010,5,1) + TIME(5,43,9)</f>
        <v>40299.238298611112</v>
      </c>
      <c r="C27">
        <v>2400</v>
      </c>
      <c r="D27">
        <v>0</v>
      </c>
      <c r="E27">
        <v>0</v>
      </c>
      <c r="F27">
        <v>2400</v>
      </c>
      <c r="G27">
        <v>1431.9390868999999</v>
      </c>
      <c r="H27">
        <v>1404.2456055</v>
      </c>
      <c r="I27">
        <v>1250.2701416</v>
      </c>
      <c r="J27">
        <v>1210.8352050999999</v>
      </c>
      <c r="K27">
        <v>80</v>
      </c>
      <c r="L27">
        <v>30.500082016</v>
      </c>
      <c r="M27">
        <v>50</v>
      </c>
      <c r="N27">
        <v>14.992424011000001</v>
      </c>
    </row>
    <row r="28" spans="1:14" x14ac:dyDescent="0.25">
      <c r="A28">
        <v>0.25551499999999999</v>
      </c>
      <c r="B28" s="1">
        <f>DATE(2010,5,1) + TIME(6,7,56)</f>
        <v>40299.255509259259</v>
      </c>
      <c r="C28">
        <v>2400</v>
      </c>
      <c r="D28">
        <v>0</v>
      </c>
      <c r="E28">
        <v>0</v>
      </c>
      <c r="F28">
        <v>2400</v>
      </c>
      <c r="G28">
        <v>1431.1472168</v>
      </c>
      <c r="H28">
        <v>1403.9831543</v>
      </c>
      <c r="I28">
        <v>1250.2756348</v>
      </c>
      <c r="J28">
        <v>1210.8406981999999</v>
      </c>
      <c r="K28">
        <v>80</v>
      </c>
      <c r="L28">
        <v>31.482858658000001</v>
      </c>
      <c r="M28">
        <v>50</v>
      </c>
      <c r="N28">
        <v>14.992458343999999</v>
      </c>
    </row>
    <row r="29" spans="1:14" x14ac:dyDescent="0.25">
      <c r="A29">
        <v>0.27302399999999999</v>
      </c>
      <c r="B29" s="1">
        <f>DATE(2010,5,1) + TIME(6,33,9)</f>
        <v>40299.273020833331</v>
      </c>
      <c r="C29">
        <v>2400</v>
      </c>
      <c r="D29">
        <v>0</v>
      </c>
      <c r="E29">
        <v>0</v>
      </c>
      <c r="F29">
        <v>2400</v>
      </c>
      <c r="G29">
        <v>1430.3818358999999</v>
      </c>
      <c r="H29">
        <v>1403.7282714999999</v>
      </c>
      <c r="I29">
        <v>1250.2802733999999</v>
      </c>
      <c r="J29">
        <v>1210.8452147999999</v>
      </c>
      <c r="K29">
        <v>80</v>
      </c>
      <c r="L29">
        <v>32.465141295999999</v>
      </c>
      <c r="M29">
        <v>50</v>
      </c>
      <c r="N29">
        <v>14.992492675999999</v>
      </c>
    </row>
    <row r="30" spans="1:14" x14ac:dyDescent="0.25">
      <c r="A30">
        <v>0.29084900000000002</v>
      </c>
      <c r="B30" s="1">
        <f>DATE(2010,5,1) + TIME(6,58,49)</f>
        <v>40299.290844907409</v>
      </c>
      <c r="C30">
        <v>2400</v>
      </c>
      <c r="D30">
        <v>0</v>
      </c>
      <c r="E30">
        <v>0</v>
      </c>
      <c r="F30">
        <v>2400</v>
      </c>
      <c r="G30">
        <v>1429.6422118999999</v>
      </c>
      <c r="H30">
        <v>1403.4810791</v>
      </c>
      <c r="I30">
        <v>1250.2840576000001</v>
      </c>
      <c r="J30">
        <v>1210.848999</v>
      </c>
      <c r="K30">
        <v>80</v>
      </c>
      <c r="L30">
        <v>33.447013855000002</v>
      </c>
      <c r="M30">
        <v>50</v>
      </c>
      <c r="N30">
        <v>14.992526054000001</v>
      </c>
    </row>
    <row r="31" spans="1:14" x14ac:dyDescent="0.25">
      <c r="A31">
        <v>0.30900300000000003</v>
      </c>
      <c r="B31" s="1">
        <f>DATE(2010,5,1) + TIME(7,24,57)</f>
        <v>40299.308993055558</v>
      </c>
      <c r="C31">
        <v>2400</v>
      </c>
      <c r="D31">
        <v>0</v>
      </c>
      <c r="E31">
        <v>0</v>
      </c>
      <c r="F31">
        <v>2400</v>
      </c>
      <c r="G31">
        <v>1428.9272461</v>
      </c>
      <c r="H31">
        <v>1403.2412108999999</v>
      </c>
      <c r="I31">
        <v>1250.2873535000001</v>
      </c>
      <c r="J31">
        <v>1210.8522949000001</v>
      </c>
      <c r="K31">
        <v>80</v>
      </c>
      <c r="L31">
        <v>34.428470611999998</v>
      </c>
      <c r="M31">
        <v>50</v>
      </c>
      <c r="N31">
        <v>14.992560386999999</v>
      </c>
    </row>
    <row r="32" spans="1:14" x14ac:dyDescent="0.25">
      <c r="A32">
        <v>0.32749899999999998</v>
      </c>
      <c r="B32" s="1">
        <f>DATE(2010,5,1) + TIME(7,51,35)</f>
        <v>40299.327488425923</v>
      </c>
      <c r="C32">
        <v>2400</v>
      </c>
      <c r="D32">
        <v>0</v>
      </c>
      <c r="E32">
        <v>0</v>
      </c>
      <c r="F32">
        <v>2400</v>
      </c>
      <c r="G32">
        <v>1428.2359618999999</v>
      </c>
      <c r="H32">
        <v>1403.0086670000001</v>
      </c>
      <c r="I32">
        <v>1250.2901611</v>
      </c>
      <c r="J32">
        <v>1210.8551024999999</v>
      </c>
      <c r="K32">
        <v>80</v>
      </c>
      <c r="L32">
        <v>35.409484863000003</v>
      </c>
      <c r="M32">
        <v>50</v>
      </c>
      <c r="N32">
        <v>14.992594719</v>
      </c>
    </row>
    <row r="33" spans="1:14" x14ac:dyDescent="0.25">
      <c r="A33">
        <v>0.346354</v>
      </c>
      <c r="B33" s="1">
        <f>DATE(2010,5,1) + TIME(8,18,45)</f>
        <v>40299.346354166664</v>
      </c>
      <c r="C33">
        <v>2400</v>
      </c>
      <c r="D33">
        <v>0</v>
      </c>
      <c r="E33">
        <v>0</v>
      </c>
      <c r="F33">
        <v>2400</v>
      </c>
      <c r="G33">
        <v>1427.5672606999999</v>
      </c>
      <c r="H33">
        <v>1402.7830810999999</v>
      </c>
      <c r="I33">
        <v>1250.2926024999999</v>
      </c>
      <c r="J33">
        <v>1210.8574219</v>
      </c>
      <c r="K33">
        <v>80</v>
      </c>
      <c r="L33">
        <v>36.390045166</v>
      </c>
      <c r="M33">
        <v>50</v>
      </c>
      <c r="N33">
        <v>14.992629051</v>
      </c>
    </row>
    <row r="34" spans="1:14" x14ac:dyDescent="0.25">
      <c r="A34">
        <v>0.36558299999999999</v>
      </c>
      <c r="B34" s="1">
        <f>DATE(2010,5,1) + TIME(8,46,26)</f>
        <v>40299.365578703706</v>
      </c>
      <c r="C34">
        <v>2400</v>
      </c>
      <c r="D34">
        <v>0</v>
      </c>
      <c r="E34">
        <v>0</v>
      </c>
      <c r="F34">
        <v>2400</v>
      </c>
      <c r="G34">
        <v>1426.9204102000001</v>
      </c>
      <c r="H34">
        <v>1402.5640868999999</v>
      </c>
      <c r="I34">
        <v>1250.2947998</v>
      </c>
      <c r="J34">
        <v>1210.8594971</v>
      </c>
      <c r="K34">
        <v>80</v>
      </c>
      <c r="L34">
        <v>37.370124816999997</v>
      </c>
      <c r="M34">
        <v>50</v>
      </c>
      <c r="N34">
        <v>14.992663383</v>
      </c>
    </row>
    <row r="35" spans="1:14" x14ac:dyDescent="0.25">
      <c r="A35">
        <v>0.38520199999999999</v>
      </c>
      <c r="B35" s="1">
        <f>DATE(2010,5,1) + TIME(9,14,41)</f>
        <v>40299.385196759256</v>
      </c>
      <c r="C35">
        <v>2400</v>
      </c>
      <c r="D35">
        <v>0</v>
      </c>
      <c r="E35">
        <v>0</v>
      </c>
      <c r="F35">
        <v>2400</v>
      </c>
      <c r="G35">
        <v>1426.2941894999999</v>
      </c>
      <c r="H35">
        <v>1402.3514404</v>
      </c>
      <c r="I35">
        <v>1250.2967529</v>
      </c>
      <c r="J35">
        <v>1210.8614502</v>
      </c>
      <c r="K35">
        <v>80</v>
      </c>
      <c r="L35">
        <v>38.349708557</v>
      </c>
      <c r="M35">
        <v>50</v>
      </c>
      <c r="N35">
        <v>14.992697716</v>
      </c>
    </row>
    <row r="36" spans="1:14" x14ac:dyDescent="0.25">
      <c r="A36">
        <v>0.40522999999999998</v>
      </c>
      <c r="B36" s="1">
        <f>DATE(2010,5,1) + TIME(9,43,31)</f>
        <v>40299.405219907407</v>
      </c>
      <c r="C36">
        <v>2400</v>
      </c>
      <c r="D36">
        <v>0</v>
      </c>
      <c r="E36">
        <v>0</v>
      </c>
      <c r="F36">
        <v>2400</v>
      </c>
      <c r="G36">
        <v>1425.6877440999999</v>
      </c>
      <c r="H36">
        <v>1402.1447754000001</v>
      </c>
      <c r="I36">
        <v>1250.2985839999999</v>
      </c>
      <c r="J36">
        <v>1210.8631591999999</v>
      </c>
      <c r="K36">
        <v>80</v>
      </c>
      <c r="L36">
        <v>39.328769684000001</v>
      </c>
      <c r="M36">
        <v>50</v>
      </c>
      <c r="N36">
        <v>14.992732048000001</v>
      </c>
    </row>
    <row r="37" spans="1:14" x14ac:dyDescent="0.25">
      <c r="A37">
        <v>0.42568699999999998</v>
      </c>
      <c r="B37" s="1">
        <f>DATE(2010,5,1) + TIME(10,12,59)</f>
        <v>40299.425682870373</v>
      </c>
      <c r="C37">
        <v>2400</v>
      </c>
      <c r="D37">
        <v>0</v>
      </c>
      <c r="E37">
        <v>0</v>
      </c>
      <c r="F37">
        <v>2400</v>
      </c>
      <c r="G37">
        <v>1425.1000977000001</v>
      </c>
      <c r="H37">
        <v>1401.9438477000001</v>
      </c>
      <c r="I37">
        <v>1250.3001709</v>
      </c>
      <c r="J37">
        <v>1210.864624</v>
      </c>
      <c r="K37">
        <v>80</v>
      </c>
      <c r="L37">
        <v>40.307357787999997</v>
      </c>
      <c r="M37">
        <v>50</v>
      </c>
      <c r="N37">
        <v>14.992766380000001</v>
      </c>
    </row>
    <row r="38" spans="1:14" x14ac:dyDescent="0.25">
      <c r="A38">
        <v>0.44659100000000002</v>
      </c>
      <c r="B38" s="1">
        <f>DATE(2010,5,1) + TIME(10,43,5)</f>
        <v>40299.446585648147</v>
      </c>
      <c r="C38">
        <v>2400</v>
      </c>
      <c r="D38">
        <v>0</v>
      </c>
      <c r="E38">
        <v>0</v>
      </c>
      <c r="F38">
        <v>2400</v>
      </c>
      <c r="G38">
        <v>1424.5306396000001</v>
      </c>
      <c r="H38">
        <v>1401.7482910000001</v>
      </c>
      <c r="I38">
        <v>1250.3016356999999</v>
      </c>
      <c r="J38">
        <v>1210.8660889</v>
      </c>
      <c r="K38">
        <v>80</v>
      </c>
      <c r="L38">
        <v>41.285465240000001</v>
      </c>
      <c r="M38">
        <v>50</v>
      </c>
      <c r="N38">
        <v>14.992800712999999</v>
      </c>
    </row>
    <row r="39" spans="1:14" x14ac:dyDescent="0.25">
      <c r="A39">
        <v>0.46796300000000002</v>
      </c>
      <c r="B39" s="1">
        <f>DATE(2010,5,1) + TIME(11,13,52)</f>
        <v>40299.467962962961</v>
      </c>
      <c r="C39">
        <v>2400</v>
      </c>
      <c r="D39">
        <v>0</v>
      </c>
      <c r="E39">
        <v>0</v>
      </c>
      <c r="F39">
        <v>2400</v>
      </c>
      <c r="G39">
        <v>1423.9782714999999</v>
      </c>
      <c r="H39">
        <v>1401.5577393000001</v>
      </c>
      <c r="I39">
        <v>1250.3029785000001</v>
      </c>
      <c r="J39">
        <v>1210.8673096</v>
      </c>
      <c r="K39">
        <v>80</v>
      </c>
      <c r="L39">
        <v>42.262821197999997</v>
      </c>
      <c r="M39">
        <v>50</v>
      </c>
      <c r="N39">
        <v>14.992835999</v>
      </c>
    </row>
    <row r="40" spans="1:14" x14ac:dyDescent="0.25">
      <c r="A40">
        <v>0.48982999999999999</v>
      </c>
      <c r="B40" s="1">
        <f>DATE(2010,5,1) + TIME(11,45,21)</f>
        <v>40299.48982638889</v>
      </c>
      <c r="C40">
        <v>2400</v>
      </c>
      <c r="D40">
        <v>0</v>
      </c>
      <c r="E40">
        <v>0</v>
      </c>
      <c r="F40">
        <v>2400</v>
      </c>
      <c r="G40">
        <v>1423.4422606999999</v>
      </c>
      <c r="H40">
        <v>1401.3718262</v>
      </c>
      <c r="I40">
        <v>1250.3043213000001</v>
      </c>
      <c r="J40">
        <v>1210.8685303</v>
      </c>
      <c r="K40">
        <v>80</v>
      </c>
      <c r="L40">
        <v>43.239547729000002</v>
      </c>
      <c r="M40">
        <v>50</v>
      </c>
      <c r="N40">
        <v>14.992870331000001</v>
      </c>
    </row>
    <row r="41" spans="1:14" x14ac:dyDescent="0.25">
      <c r="A41">
        <v>0.51221899999999998</v>
      </c>
      <c r="B41" s="1">
        <f>DATE(2010,5,1) + TIME(12,17,35)</f>
        <v>40299.51221064815</v>
      </c>
      <c r="C41">
        <v>2400</v>
      </c>
      <c r="D41">
        <v>0</v>
      </c>
      <c r="E41">
        <v>0</v>
      </c>
      <c r="F41">
        <v>2400</v>
      </c>
      <c r="G41">
        <v>1422.9217529</v>
      </c>
      <c r="H41">
        <v>1401.1904297000001</v>
      </c>
      <c r="I41">
        <v>1250.3054199000001</v>
      </c>
      <c r="J41">
        <v>1210.8696289</v>
      </c>
      <c r="K41">
        <v>80</v>
      </c>
      <c r="L41">
        <v>44.215614318999997</v>
      </c>
      <c r="M41">
        <v>50</v>
      </c>
      <c r="N41">
        <v>14.992905617</v>
      </c>
    </row>
    <row r="42" spans="1:14" x14ac:dyDescent="0.25">
      <c r="A42">
        <v>0.53515599999999997</v>
      </c>
      <c r="B42" s="1">
        <f>DATE(2010,5,1) + TIME(12,50,37)</f>
        <v>40299.535150462965</v>
      </c>
      <c r="C42">
        <v>2400</v>
      </c>
      <c r="D42">
        <v>0</v>
      </c>
      <c r="E42">
        <v>0</v>
      </c>
      <c r="F42">
        <v>2400</v>
      </c>
      <c r="G42">
        <v>1422.4161377</v>
      </c>
      <c r="H42">
        <v>1401.0130615</v>
      </c>
      <c r="I42">
        <v>1250.3066406</v>
      </c>
      <c r="J42">
        <v>1210.8707274999999</v>
      </c>
      <c r="K42">
        <v>80</v>
      </c>
      <c r="L42">
        <v>45.190982818999998</v>
      </c>
      <c r="M42">
        <v>50</v>
      </c>
      <c r="N42">
        <v>14.992939949</v>
      </c>
    </row>
    <row r="43" spans="1:14" x14ac:dyDescent="0.25">
      <c r="A43">
        <v>0.55867199999999995</v>
      </c>
      <c r="B43" s="1">
        <f>DATE(2010,5,1) + TIME(13,24,29)</f>
        <v>40299.558668981481</v>
      </c>
      <c r="C43">
        <v>2400</v>
      </c>
      <c r="D43">
        <v>0</v>
      </c>
      <c r="E43">
        <v>0</v>
      </c>
      <c r="F43">
        <v>2400</v>
      </c>
      <c r="G43">
        <v>1421.9246826000001</v>
      </c>
      <c r="H43">
        <v>1400.8394774999999</v>
      </c>
      <c r="I43">
        <v>1250.3076172000001</v>
      </c>
      <c r="J43">
        <v>1210.8717041</v>
      </c>
      <c r="K43">
        <v>80</v>
      </c>
      <c r="L43">
        <v>46.165618895999998</v>
      </c>
      <c r="M43">
        <v>50</v>
      </c>
      <c r="N43">
        <v>14.992975234999999</v>
      </c>
    </row>
    <row r="44" spans="1:14" x14ac:dyDescent="0.25">
      <c r="A44">
        <v>0.58280100000000001</v>
      </c>
      <c r="B44" s="1">
        <f>DATE(2010,5,1) + TIME(13,59,14)</f>
        <v>40299.582800925928</v>
      </c>
      <c r="C44">
        <v>2400</v>
      </c>
      <c r="D44">
        <v>0</v>
      </c>
      <c r="E44">
        <v>0</v>
      </c>
      <c r="F44">
        <v>2400</v>
      </c>
      <c r="G44">
        <v>1421.4466553</v>
      </c>
      <c r="H44">
        <v>1400.6694336</v>
      </c>
      <c r="I44">
        <v>1250.3085937999999</v>
      </c>
      <c r="J44">
        <v>1210.8725586</v>
      </c>
      <c r="K44">
        <v>80</v>
      </c>
      <c r="L44">
        <v>47.139472961000003</v>
      </c>
      <c r="M44">
        <v>50</v>
      </c>
      <c r="N44">
        <v>14.993011474999999</v>
      </c>
    </row>
    <row r="45" spans="1:14" x14ac:dyDescent="0.25">
      <c r="A45">
        <v>0.60757700000000003</v>
      </c>
      <c r="B45" s="1">
        <f>DATE(2010,5,1) + TIME(14,34,54)</f>
        <v>40299.607569444444</v>
      </c>
      <c r="C45">
        <v>2400</v>
      </c>
      <c r="D45">
        <v>0</v>
      </c>
      <c r="E45">
        <v>0</v>
      </c>
      <c r="F45">
        <v>2400</v>
      </c>
      <c r="G45">
        <v>1420.9813231999999</v>
      </c>
      <c r="H45">
        <v>1400.5026855000001</v>
      </c>
      <c r="I45">
        <v>1250.3095702999999</v>
      </c>
      <c r="J45">
        <v>1210.8734131000001</v>
      </c>
      <c r="K45">
        <v>80</v>
      </c>
      <c r="L45">
        <v>48.112506865999997</v>
      </c>
      <c r="M45">
        <v>50</v>
      </c>
      <c r="N45">
        <v>14.993046761</v>
      </c>
    </row>
    <row r="46" spans="1:14" x14ac:dyDescent="0.25">
      <c r="A46">
        <v>0.63304000000000005</v>
      </c>
      <c r="B46" s="1">
        <f>DATE(2010,5,1) + TIME(15,11,34)</f>
        <v>40299.633032407408</v>
      </c>
      <c r="C46">
        <v>2400</v>
      </c>
      <c r="D46">
        <v>0</v>
      </c>
      <c r="E46">
        <v>0</v>
      </c>
      <c r="F46">
        <v>2400</v>
      </c>
      <c r="G46">
        <v>1420.5281981999999</v>
      </c>
      <c r="H46">
        <v>1400.3387451000001</v>
      </c>
      <c r="I46">
        <v>1250.3104248</v>
      </c>
      <c r="J46">
        <v>1210.8742675999999</v>
      </c>
      <c r="K46">
        <v>80</v>
      </c>
      <c r="L46">
        <v>49.084671020999998</v>
      </c>
      <c r="M46">
        <v>50</v>
      </c>
      <c r="N46">
        <v>14.993082047</v>
      </c>
    </row>
    <row r="47" spans="1:14" x14ac:dyDescent="0.25">
      <c r="A47">
        <v>0.65923200000000004</v>
      </c>
      <c r="B47" s="1">
        <f>DATE(2010,5,1) + TIME(15,49,17)</f>
        <v>40299.659224537034</v>
      </c>
      <c r="C47">
        <v>2400</v>
      </c>
      <c r="D47">
        <v>0</v>
      </c>
      <c r="E47">
        <v>0</v>
      </c>
      <c r="F47">
        <v>2400</v>
      </c>
      <c r="G47">
        <v>1420.0865478999999</v>
      </c>
      <c r="H47">
        <v>1400.1776123</v>
      </c>
      <c r="I47">
        <v>1250.3114014</v>
      </c>
      <c r="J47">
        <v>1210.875</v>
      </c>
      <c r="K47">
        <v>80</v>
      </c>
      <c r="L47">
        <v>50.055885314999998</v>
      </c>
      <c r="M47">
        <v>50</v>
      </c>
      <c r="N47">
        <v>14.993118286</v>
      </c>
    </row>
    <row r="48" spans="1:14" x14ac:dyDescent="0.25">
      <c r="A48">
        <v>0.68620000000000003</v>
      </c>
      <c r="B48" s="1">
        <f>DATE(2010,5,1) + TIME(16,28,7)</f>
        <v>40299.686192129629</v>
      </c>
      <c r="C48">
        <v>2400</v>
      </c>
      <c r="D48">
        <v>0</v>
      </c>
      <c r="E48">
        <v>0</v>
      </c>
      <c r="F48">
        <v>2400</v>
      </c>
      <c r="G48">
        <v>1419.6558838000001</v>
      </c>
      <c r="H48">
        <v>1400.0186768000001</v>
      </c>
      <c r="I48">
        <v>1250.3121338000001</v>
      </c>
      <c r="J48">
        <v>1210.8757324000001</v>
      </c>
      <c r="K48">
        <v>80</v>
      </c>
      <c r="L48">
        <v>51.025711059999999</v>
      </c>
      <c r="M48">
        <v>50</v>
      </c>
      <c r="N48">
        <v>14.993154526</v>
      </c>
    </row>
    <row r="49" spans="1:14" x14ac:dyDescent="0.25">
      <c r="A49">
        <v>0.71400799999999998</v>
      </c>
      <c r="B49" s="1">
        <f>DATE(2010,5,1) + TIME(17,8,10)</f>
        <v>40299.714004629626</v>
      </c>
      <c r="C49">
        <v>2400</v>
      </c>
      <c r="D49">
        <v>0</v>
      </c>
      <c r="E49">
        <v>0</v>
      </c>
      <c r="F49">
        <v>2400</v>
      </c>
      <c r="G49">
        <v>1419.2353516000001</v>
      </c>
      <c r="H49">
        <v>1399.8618164</v>
      </c>
      <c r="I49">
        <v>1250.3129882999999</v>
      </c>
      <c r="J49">
        <v>1210.8763428</v>
      </c>
      <c r="K49">
        <v>80</v>
      </c>
      <c r="L49">
        <v>51.994892120000003</v>
      </c>
      <c r="M49">
        <v>50</v>
      </c>
      <c r="N49">
        <v>14.993190765</v>
      </c>
    </row>
    <row r="50" spans="1:14" x14ac:dyDescent="0.25">
      <c r="A50">
        <v>0.74270000000000003</v>
      </c>
      <c r="B50" s="1">
        <f>DATE(2010,5,1) + TIME(17,49,29)</f>
        <v>40299.742696759262</v>
      </c>
      <c r="C50">
        <v>2400</v>
      </c>
      <c r="D50">
        <v>0</v>
      </c>
      <c r="E50">
        <v>0</v>
      </c>
      <c r="F50">
        <v>2400</v>
      </c>
      <c r="G50">
        <v>1418.8245850000001</v>
      </c>
      <c r="H50">
        <v>1399.7069091999999</v>
      </c>
      <c r="I50">
        <v>1250.3137207</v>
      </c>
      <c r="J50">
        <v>1210.8770752</v>
      </c>
      <c r="K50">
        <v>80</v>
      </c>
      <c r="L50">
        <v>52.962955475000001</v>
      </c>
      <c r="M50">
        <v>50</v>
      </c>
      <c r="N50">
        <v>14.993227959</v>
      </c>
    </row>
    <row r="51" spans="1:14" x14ac:dyDescent="0.25">
      <c r="A51">
        <v>0.77233799999999997</v>
      </c>
      <c r="B51" s="1">
        <f>DATE(2010,5,1) + TIME(18,32,9)</f>
        <v>40299.772326388891</v>
      </c>
      <c r="C51">
        <v>2400</v>
      </c>
      <c r="D51">
        <v>0</v>
      </c>
      <c r="E51">
        <v>0</v>
      </c>
      <c r="F51">
        <v>2400</v>
      </c>
      <c r="G51">
        <v>1418.4230957</v>
      </c>
      <c r="H51">
        <v>1399.5534668</v>
      </c>
      <c r="I51">
        <v>1250.3144531</v>
      </c>
      <c r="J51">
        <v>1210.8776855000001</v>
      </c>
      <c r="K51">
        <v>80</v>
      </c>
      <c r="L51">
        <v>53.929824828999998</v>
      </c>
      <c r="M51">
        <v>50</v>
      </c>
      <c r="N51">
        <v>14.993265151999999</v>
      </c>
    </row>
    <row r="52" spans="1:14" x14ac:dyDescent="0.25">
      <c r="A52">
        <v>0.80299100000000001</v>
      </c>
      <c r="B52" s="1">
        <f>DATE(2010,5,1) + TIME(19,16,18)</f>
        <v>40299.802986111114</v>
      </c>
      <c r="C52">
        <v>2400</v>
      </c>
      <c r="D52">
        <v>0</v>
      </c>
      <c r="E52">
        <v>0</v>
      </c>
      <c r="F52">
        <v>2400</v>
      </c>
      <c r="G52">
        <v>1418.0301514</v>
      </c>
      <c r="H52">
        <v>1399.4012451000001</v>
      </c>
      <c r="I52">
        <v>1250.3151855000001</v>
      </c>
      <c r="J52">
        <v>1210.8782959</v>
      </c>
      <c r="K52">
        <v>80</v>
      </c>
      <c r="L52">
        <v>54.895416259999998</v>
      </c>
      <c r="M52">
        <v>50</v>
      </c>
      <c r="N52">
        <v>14.993302345</v>
      </c>
    </row>
    <row r="53" spans="1:14" x14ac:dyDescent="0.25">
      <c r="A53">
        <v>0.83473799999999998</v>
      </c>
      <c r="B53" s="1">
        <f>DATE(2010,5,1) + TIME(20,2,1)</f>
        <v>40299.834733796299</v>
      </c>
      <c r="C53">
        <v>2400</v>
      </c>
      <c r="D53">
        <v>0</v>
      </c>
      <c r="E53">
        <v>0</v>
      </c>
      <c r="F53">
        <v>2400</v>
      </c>
      <c r="G53">
        <v>1417.6452637</v>
      </c>
      <c r="H53">
        <v>1399.25</v>
      </c>
      <c r="I53">
        <v>1250.315918</v>
      </c>
      <c r="J53">
        <v>1210.8789062000001</v>
      </c>
      <c r="K53">
        <v>80</v>
      </c>
      <c r="L53">
        <v>55.859630584999998</v>
      </c>
      <c r="M53">
        <v>50</v>
      </c>
      <c r="N53">
        <v>14.993339539000001</v>
      </c>
    </row>
    <row r="54" spans="1:14" x14ac:dyDescent="0.25">
      <c r="A54">
        <v>0.86766200000000004</v>
      </c>
      <c r="B54" s="1">
        <f>DATE(2010,5,1) + TIME(20,49,25)</f>
        <v>40299.867650462962</v>
      </c>
      <c r="C54">
        <v>2400</v>
      </c>
      <c r="D54">
        <v>0</v>
      </c>
      <c r="E54">
        <v>0</v>
      </c>
      <c r="F54">
        <v>2400</v>
      </c>
      <c r="G54">
        <v>1417.2679443</v>
      </c>
      <c r="H54">
        <v>1399.0993652</v>
      </c>
      <c r="I54">
        <v>1250.3166504000001</v>
      </c>
      <c r="J54">
        <v>1210.8795166</v>
      </c>
      <c r="K54">
        <v>80</v>
      </c>
      <c r="L54">
        <v>56.822364807</v>
      </c>
      <c r="M54">
        <v>50</v>
      </c>
      <c r="N54">
        <v>14.993377686000001</v>
      </c>
    </row>
    <row r="55" spans="1:14" x14ac:dyDescent="0.25">
      <c r="A55">
        <v>0.90186100000000002</v>
      </c>
      <c r="B55" s="1">
        <f>DATE(2010,5,1) + TIME(21,38,40)</f>
        <v>40299.90185185185</v>
      </c>
      <c r="C55">
        <v>2400</v>
      </c>
      <c r="D55">
        <v>0</v>
      </c>
      <c r="E55">
        <v>0</v>
      </c>
      <c r="F55">
        <v>2400</v>
      </c>
      <c r="G55">
        <v>1416.8975829999999</v>
      </c>
      <c r="H55">
        <v>1398.9490966999999</v>
      </c>
      <c r="I55">
        <v>1250.3173827999999</v>
      </c>
      <c r="J55">
        <v>1210.8800048999999</v>
      </c>
      <c r="K55">
        <v>80</v>
      </c>
      <c r="L55">
        <v>57.783504485999998</v>
      </c>
      <c r="M55">
        <v>50</v>
      </c>
      <c r="N55">
        <v>14.993416785999999</v>
      </c>
    </row>
    <row r="56" spans="1:14" x14ac:dyDescent="0.25">
      <c r="A56">
        <v>0.937442</v>
      </c>
      <c r="B56" s="1">
        <f>DATE(2010,5,1) + TIME(22,29,54)</f>
        <v>40299.937430555554</v>
      </c>
      <c r="C56">
        <v>2400</v>
      </c>
      <c r="D56">
        <v>0</v>
      </c>
      <c r="E56">
        <v>0</v>
      </c>
      <c r="F56">
        <v>2400</v>
      </c>
      <c r="G56">
        <v>1416.5338135</v>
      </c>
      <c r="H56">
        <v>1398.7987060999999</v>
      </c>
      <c r="I56">
        <v>1250.3181152</v>
      </c>
      <c r="J56">
        <v>1210.8806152</v>
      </c>
      <c r="K56">
        <v>80</v>
      </c>
      <c r="L56">
        <v>58.742912292</v>
      </c>
      <c r="M56">
        <v>50</v>
      </c>
      <c r="N56">
        <v>14.993454933000001</v>
      </c>
    </row>
    <row r="57" spans="1:14" x14ac:dyDescent="0.25">
      <c r="A57">
        <v>0.97452899999999998</v>
      </c>
      <c r="B57" s="1">
        <f>DATE(2010,5,1) + TIME(23,23,19)</f>
        <v>40299.97452546296</v>
      </c>
      <c r="C57">
        <v>2400</v>
      </c>
      <c r="D57">
        <v>0</v>
      </c>
      <c r="E57">
        <v>0</v>
      </c>
      <c r="F57">
        <v>2400</v>
      </c>
      <c r="G57">
        <v>1416.1759033000001</v>
      </c>
      <c r="H57">
        <v>1398.6480713000001</v>
      </c>
      <c r="I57">
        <v>1250.3187256000001</v>
      </c>
      <c r="J57">
        <v>1210.8812256000001</v>
      </c>
      <c r="K57">
        <v>80</v>
      </c>
      <c r="L57">
        <v>59.700443268000001</v>
      </c>
      <c r="M57">
        <v>50</v>
      </c>
      <c r="N57">
        <v>14.993494987</v>
      </c>
    </row>
    <row r="58" spans="1:14" x14ac:dyDescent="0.25">
      <c r="A58">
        <v>1.013261</v>
      </c>
      <c r="B58" s="1">
        <f>DATE(2010,5,2) + TIME(0,19,5)</f>
        <v>40300.013252314813</v>
      </c>
      <c r="C58">
        <v>2400</v>
      </c>
      <c r="D58">
        <v>0</v>
      </c>
      <c r="E58">
        <v>0</v>
      </c>
      <c r="F58">
        <v>2400</v>
      </c>
      <c r="G58">
        <v>1415.8233643000001</v>
      </c>
      <c r="H58">
        <v>1398.496582</v>
      </c>
      <c r="I58">
        <v>1250.3194579999999</v>
      </c>
      <c r="J58">
        <v>1210.8818358999999</v>
      </c>
      <c r="K58">
        <v>80</v>
      </c>
      <c r="L58">
        <v>60.655448913999997</v>
      </c>
      <c r="M58">
        <v>50</v>
      </c>
      <c r="N58">
        <v>14.993534088000001</v>
      </c>
    </row>
    <row r="59" spans="1:14" x14ac:dyDescent="0.25">
      <c r="A59">
        <v>1.053817</v>
      </c>
      <c r="B59" s="1">
        <f>DATE(2010,5,2) + TIME(1,17,29)</f>
        <v>40300.053807870368</v>
      </c>
      <c r="C59">
        <v>2400</v>
      </c>
      <c r="D59">
        <v>0</v>
      </c>
      <c r="E59">
        <v>0</v>
      </c>
      <c r="F59">
        <v>2400</v>
      </c>
      <c r="G59">
        <v>1415.4755858999999</v>
      </c>
      <c r="H59">
        <v>1398.3439940999999</v>
      </c>
      <c r="I59">
        <v>1250.3203125</v>
      </c>
      <c r="J59">
        <v>1210.8824463000001</v>
      </c>
      <c r="K59">
        <v>80</v>
      </c>
      <c r="L59">
        <v>61.608425140000001</v>
      </c>
      <c r="M59">
        <v>50</v>
      </c>
      <c r="N59">
        <v>14.993575096000001</v>
      </c>
    </row>
    <row r="60" spans="1:14" x14ac:dyDescent="0.25">
      <c r="A60">
        <v>1.0963750000000001</v>
      </c>
      <c r="B60" s="1">
        <f>DATE(2010,5,2) + TIME(2,18,46)</f>
        <v>40300.096365740741</v>
      </c>
      <c r="C60">
        <v>2400</v>
      </c>
      <c r="D60">
        <v>0</v>
      </c>
      <c r="E60">
        <v>0</v>
      </c>
      <c r="F60">
        <v>2400</v>
      </c>
      <c r="G60">
        <v>1415.1319579999999</v>
      </c>
      <c r="H60">
        <v>1398.1896973</v>
      </c>
      <c r="I60">
        <v>1250.3210449000001</v>
      </c>
      <c r="J60">
        <v>1210.8830565999999</v>
      </c>
      <c r="K60">
        <v>80</v>
      </c>
      <c r="L60">
        <v>62.559143065999997</v>
      </c>
      <c r="M60">
        <v>50</v>
      </c>
      <c r="N60">
        <v>14.993616104000001</v>
      </c>
    </row>
    <row r="61" spans="1:14" x14ac:dyDescent="0.25">
      <c r="A61">
        <v>1.1411389999999999</v>
      </c>
      <c r="B61" s="1">
        <f>DATE(2010,5,2) + TIME(3,23,14)</f>
        <v>40300.141134259262</v>
      </c>
      <c r="C61">
        <v>2400</v>
      </c>
      <c r="D61">
        <v>0</v>
      </c>
      <c r="E61">
        <v>0</v>
      </c>
      <c r="F61">
        <v>2400</v>
      </c>
      <c r="G61">
        <v>1414.7919922000001</v>
      </c>
      <c r="H61">
        <v>1398.0334473</v>
      </c>
      <c r="I61">
        <v>1250.3218993999999</v>
      </c>
      <c r="J61">
        <v>1210.8837891000001</v>
      </c>
      <c r="K61">
        <v>80</v>
      </c>
      <c r="L61">
        <v>63.507144928000002</v>
      </c>
      <c r="M61">
        <v>50</v>
      </c>
      <c r="N61">
        <v>14.993658066</v>
      </c>
    </row>
    <row r="62" spans="1:14" x14ac:dyDescent="0.25">
      <c r="A62">
        <v>1.188358</v>
      </c>
      <c r="B62" s="1">
        <f>DATE(2010,5,2) + TIME(4,31,14)</f>
        <v>40300.188356481478</v>
      </c>
      <c r="C62">
        <v>2400</v>
      </c>
      <c r="D62">
        <v>0</v>
      </c>
      <c r="E62">
        <v>0</v>
      </c>
      <c r="F62">
        <v>2400</v>
      </c>
      <c r="G62">
        <v>1414.4548339999999</v>
      </c>
      <c r="H62">
        <v>1397.8746338000001</v>
      </c>
      <c r="I62">
        <v>1250.3227539</v>
      </c>
      <c r="J62">
        <v>1210.8845214999999</v>
      </c>
      <c r="K62">
        <v>80</v>
      </c>
      <c r="L62">
        <v>64.452148437999995</v>
      </c>
      <c r="M62">
        <v>50</v>
      </c>
      <c r="N62">
        <v>14.993700981</v>
      </c>
    </row>
    <row r="63" spans="1:14" x14ac:dyDescent="0.25">
      <c r="A63">
        <v>1.238326</v>
      </c>
      <c r="B63" s="1">
        <f>DATE(2010,5,2) + TIME(5,43,11)</f>
        <v>40300.238321759258</v>
      </c>
      <c r="C63">
        <v>2400</v>
      </c>
      <c r="D63">
        <v>0</v>
      </c>
      <c r="E63">
        <v>0</v>
      </c>
      <c r="F63">
        <v>2400</v>
      </c>
      <c r="G63">
        <v>1414.1198730000001</v>
      </c>
      <c r="H63">
        <v>1397.7126464999999</v>
      </c>
      <c r="I63">
        <v>1250.3236084</v>
      </c>
      <c r="J63">
        <v>1210.8852539</v>
      </c>
      <c r="K63">
        <v>80</v>
      </c>
      <c r="L63">
        <v>65.393898010000001</v>
      </c>
      <c r="M63">
        <v>50</v>
      </c>
      <c r="N63">
        <v>14.993743896</v>
      </c>
    </row>
    <row r="64" spans="1:14" x14ac:dyDescent="0.25">
      <c r="A64">
        <v>1.2913840000000001</v>
      </c>
      <c r="B64" s="1">
        <f>DATE(2010,5,2) + TIME(6,59,35)</f>
        <v>40300.291377314818</v>
      </c>
      <c r="C64">
        <v>2400</v>
      </c>
      <c r="D64">
        <v>0</v>
      </c>
      <c r="E64">
        <v>0</v>
      </c>
      <c r="F64">
        <v>2400</v>
      </c>
      <c r="G64">
        <v>1413.7863769999999</v>
      </c>
      <c r="H64">
        <v>1397.546875</v>
      </c>
      <c r="I64">
        <v>1250.3245850000001</v>
      </c>
      <c r="J64">
        <v>1210.8861084</v>
      </c>
      <c r="K64">
        <v>80</v>
      </c>
      <c r="L64">
        <v>66.331962584999999</v>
      </c>
      <c r="M64">
        <v>50</v>
      </c>
      <c r="N64">
        <v>14.993788718999999</v>
      </c>
    </row>
    <row r="65" spans="1:14" x14ac:dyDescent="0.25">
      <c r="A65">
        <v>1.3196540000000001</v>
      </c>
      <c r="B65" s="1">
        <f>DATE(2010,5,2) + TIME(7,40,18)</f>
        <v>40300.319652777776</v>
      </c>
      <c r="C65">
        <v>2400</v>
      </c>
      <c r="D65">
        <v>0</v>
      </c>
      <c r="E65">
        <v>0</v>
      </c>
      <c r="F65">
        <v>2400</v>
      </c>
      <c r="G65">
        <v>1413.5947266000001</v>
      </c>
      <c r="H65">
        <v>1397.4147949000001</v>
      </c>
      <c r="I65">
        <v>1250.3254394999999</v>
      </c>
      <c r="J65">
        <v>1210.8867187999999</v>
      </c>
      <c r="K65">
        <v>80</v>
      </c>
      <c r="L65">
        <v>66.815536499000004</v>
      </c>
      <c r="M65">
        <v>50</v>
      </c>
      <c r="N65">
        <v>14.993811607</v>
      </c>
    </row>
    <row r="66" spans="1:14" x14ac:dyDescent="0.25">
      <c r="A66">
        <v>1.347925</v>
      </c>
      <c r="B66" s="1">
        <f>DATE(2010,5,2) + TIME(8,21,0)</f>
        <v>40300.347916666666</v>
      </c>
      <c r="C66">
        <v>2400</v>
      </c>
      <c r="D66">
        <v>0</v>
      </c>
      <c r="E66">
        <v>0</v>
      </c>
      <c r="F66">
        <v>2400</v>
      </c>
      <c r="G66">
        <v>1413.4267577999999</v>
      </c>
      <c r="H66">
        <v>1397.3272704999999</v>
      </c>
      <c r="I66">
        <v>1250.3261719</v>
      </c>
      <c r="J66">
        <v>1210.8873291</v>
      </c>
      <c r="K66">
        <v>80</v>
      </c>
      <c r="L66">
        <v>67.282508849999999</v>
      </c>
      <c r="M66">
        <v>50</v>
      </c>
      <c r="N66">
        <v>14.993834496</v>
      </c>
    </row>
    <row r="67" spans="1:14" x14ac:dyDescent="0.25">
      <c r="A67">
        <v>1.376196</v>
      </c>
      <c r="B67" s="1">
        <f>DATE(2010,5,2) + TIME(9,1,43)</f>
        <v>40300.376192129632</v>
      </c>
      <c r="C67">
        <v>2400</v>
      </c>
      <c r="D67">
        <v>0</v>
      </c>
      <c r="E67">
        <v>0</v>
      </c>
      <c r="F67">
        <v>2400</v>
      </c>
      <c r="G67">
        <v>1413.2647704999999</v>
      </c>
      <c r="H67">
        <v>1397.2415771000001</v>
      </c>
      <c r="I67">
        <v>1250.3267822</v>
      </c>
      <c r="J67">
        <v>1210.8879394999999</v>
      </c>
      <c r="K67">
        <v>80</v>
      </c>
      <c r="L67">
        <v>67.733406067000004</v>
      </c>
      <c r="M67">
        <v>50</v>
      </c>
      <c r="N67">
        <v>14.993857384</v>
      </c>
    </row>
    <row r="68" spans="1:14" x14ac:dyDescent="0.25">
      <c r="A68">
        <v>1.4044669999999999</v>
      </c>
      <c r="B68" s="1">
        <f>DATE(2010,5,2) + TIME(9,42,25)</f>
        <v>40300.404456018521</v>
      </c>
      <c r="C68">
        <v>2400</v>
      </c>
      <c r="D68">
        <v>0</v>
      </c>
      <c r="E68">
        <v>0</v>
      </c>
      <c r="F68">
        <v>2400</v>
      </c>
      <c r="G68">
        <v>1413.1076660000001</v>
      </c>
      <c r="H68">
        <v>1397.1572266000001</v>
      </c>
      <c r="I68">
        <v>1250.3272704999999</v>
      </c>
      <c r="J68">
        <v>1210.8884277</v>
      </c>
      <c r="K68">
        <v>80</v>
      </c>
      <c r="L68">
        <v>68.168731688999998</v>
      </c>
      <c r="M68">
        <v>50</v>
      </c>
      <c r="N68">
        <v>14.993879317999999</v>
      </c>
    </row>
    <row r="69" spans="1:14" x14ac:dyDescent="0.25">
      <c r="A69">
        <v>1.4327380000000001</v>
      </c>
      <c r="B69" s="1">
        <f>DATE(2010,5,2) + TIME(10,23,8)</f>
        <v>40300.43273148148</v>
      </c>
      <c r="C69">
        <v>2400</v>
      </c>
      <c r="D69">
        <v>0</v>
      </c>
      <c r="E69">
        <v>0</v>
      </c>
      <c r="F69">
        <v>2400</v>
      </c>
      <c r="G69">
        <v>1412.9553223</v>
      </c>
      <c r="H69">
        <v>1397.0740966999999</v>
      </c>
      <c r="I69">
        <v>1250.3278809000001</v>
      </c>
      <c r="J69">
        <v>1210.8887939000001</v>
      </c>
      <c r="K69">
        <v>80</v>
      </c>
      <c r="L69">
        <v>68.588989257999998</v>
      </c>
      <c r="M69">
        <v>50</v>
      </c>
      <c r="N69">
        <v>14.993901253000001</v>
      </c>
    </row>
    <row r="70" spans="1:14" x14ac:dyDescent="0.25">
      <c r="A70">
        <v>1.461009</v>
      </c>
      <c r="B70" s="1">
        <f>DATE(2010,5,2) + TIME(11,3,51)</f>
        <v>40300.461006944446</v>
      </c>
      <c r="C70">
        <v>2400</v>
      </c>
      <c r="D70">
        <v>0</v>
      </c>
      <c r="E70">
        <v>0</v>
      </c>
      <c r="F70">
        <v>2400</v>
      </c>
      <c r="G70">
        <v>1412.807251</v>
      </c>
      <c r="H70">
        <v>1396.9920654</v>
      </c>
      <c r="I70">
        <v>1250.3283690999999</v>
      </c>
      <c r="J70">
        <v>1210.8892822</v>
      </c>
      <c r="K70">
        <v>80</v>
      </c>
      <c r="L70">
        <v>68.994659424000005</v>
      </c>
      <c r="M70">
        <v>50</v>
      </c>
      <c r="N70">
        <v>14.993922233999999</v>
      </c>
    </row>
    <row r="71" spans="1:14" x14ac:dyDescent="0.25">
      <c r="A71">
        <v>1.489279</v>
      </c>
      <c r="B71" s="1">
        <f>DATE(2010,5,2) + TIME(11,44,33)</f>
        <v>40300.489270833335</v>
      </c>
      <c r="C71">
        <v>2400</v>
      </c>
      <c r="D71">
        <v>0</v>
      </c>
      <c r="E71">
        <v>0</v>
      </c>
      <c r="F71">
        <v>2400</v>
      </c>
      <c r="G71">
        <v>1412.6633300999999</v>
      </c>
      <c r="H71">
        <v>1396.9112548999999</v>
      </c>
      <c r="I71">
        <v>1250.3289795000001</v>
      </c>
      <c r="J71">
        <v>1210.8897704999999</v>
      </c>
      <c r="K71">
        <v>80</v>
      </c>
      <c r="L71">
        <v>69.386207580999994</v>
      </c>
      <c r="M71">
        <v>50</v>
      </c>
      <c r="N71">
        <v>14.993943214</v>
      </c>
    </row>
    <row r="72" spans="1:14" x14ac:dyDescent="0.25">
      <c r="A72">
        <v>1.51755</v>
      </c>
      <c r="B72" s="1">
        <f>DATE(2010,5,2) + TIME(12,25,16)</f>
        <v>40300.517546296294</v>
      </c>
      <c r="C72">
        <v>2400</v>
      </c>
      <c r="D72">
        <v>0</v>
      </c>
      <c r="E72">
        <v>0</v>
      </c>
      <c r="F72">
        <v>2400</v>
      </c>
      <c r="G72">
        <v>1412.5234375</v>
      </c>
      <c r="H72">
        <v>1396.8314209</v>
      </c>
      <c r="I72">
        <v>1250.3294678</v>
      </c>
      <c r="J72">
        <v>1210.8902588000001</v>
      </c>
      <c r="K72">
        <v>80</v>
      </c>
      <c r="L72">
        <v>69.764099121000001</v>
      </c>
      <c r="M72">
        <v>50</v>
      </c>
      <c r="N72">
        <v>14.993964195</v>
      </c>
    </row>
    <row r="73" spans="1:14" x14ac:dyDescent="0.25">
      <c r="A73">
        <v>1.574092</v>
      </c>
      <c r="B73" s="1">
        <f>DATE(2010,5,2) + TIME(13,46,41)</f>
        <v>40300.57408564815</v>
      </c>
      <c r="C73">
        <v>2400</v>
      </c>
      <c r="D73">
        <v>0</v>
      </c>
      <c r="E73">
        <v>0</v>
      </c>
      <c r="F73">
        <v>2400</v>
      </c>
      <c r="G73">
        <v>1412.2884521000001</v>
      </c>
      <c r="H73">
        <v>1396.7275391000001</v>
      </c>
      <c r="I73">
        <v>1250.3302002</v>
      </c>
      <c r="J73">
        <v>1210.8908690999999</v>
      </c>
      <c r="K73">
        <v>80</v>
      </c>
      <c r="L73">
        <v>70.467361449999999</v>
      </c>
      <c r="M73">
        <v>50</v>
      </c>
      <c r="N73">
        <v>14.994002342</v>
      </c>
    </row>
    <row r="74" spans="1:14" x14ac:dyDescent="0.25">
      <c r="A74">
        <v>1.6306970000000001</v>
      </c>
      <c r="B74" s="1">
        <f>DATE(2010,5,2) + TIME(15,8,12)</f>
        <v>40300.630694444444</v>
      </c>
      <c r="C74">
        <v>2400</v>
      </c>
      <c r="D74">
        <v>0</v>
      </c>
      <c r="E74">
        <v>0</v>
      </c>
      <c r="F74">
        <v>2400</v>
      </c>
      <c r="G74">
        <v>1412.0361327999999</v>
      </c>
      <c r="H74">
        <v>1396.574707</v>
      </c>
      <c r="I74">
        <v>1250.3311768000001</v>
      </c>
      <c r="J74">
        <v>1210.8917236</v>
      </c>
      <c r="K74">
        <v>80</v>
      </c>
      <c r="L74">
        <v>71.123451232999997</v>
      </c>
      <c r="M74">
        <v>50</v>
      </c>
      <c r="N74">
        <v>14.994040489</v>
      </c>
    </row>
    <row r="75" spans="1:14" x14ac:dyDescent="0.25">
      <c r="A75">
        <v>1.6876690000000001</v>
      </c>
      <c r="B75" s="1">
        <f>DATE(2010,5,2) + TIME(16,30,14)</f>
        <v>40300.687662037039</v>
      </c>
      <c r="C75">
        <v>2400</v>
      </c>
      <c r="D75">
        <v>0</v>
      </c>
      <c r="E75">
        <v>0</v>
      </c>
      <c r="F75">
        <v>2400</v>
      </c>
      <c r="G75">
        <v>1411.7941894999999</v>
      </c>
      <c r="H75">
        <v>1396.4245605000001</v>
      </c>
      <c r="I75">
        <v>1250.3322754000001</v>
      </c>
      <c r="J75">
        <v>1210.8927002</v>
      </c>
      <c r="K75">
        <v>80</v>
      </c>
      <c r="L75">
        <v>71.738456725999995</v>
      </c>
      <c r="M75">
        <v>50</v>
      </c>
      <c r="N75">
        <v>14.994076729</v>
      </c>
    </row>
    <row r="76" spans="1:14" x14ac:dyDescent="0.25">
      <c r="A76">
        <v>1.745085</v>
      </c>
      <c r="B76" s="1">
        <f>DATE(2010,5,2) + TIME(17,52,55)</f>
        <v>40300.745081018518</v>
      </c>
      <c r="C76">
        <v>2400</v>
      </c>
      <c r="D76">
        <v>0</v>
      </c>
      <c r="E76">
        <v>0</v>
      </c>
      <c r="F76">
        <v>2400</v>
      </c>
      <c r="G76">
        <v>1411.5617675999999</v>
      </c>
      <c r="H76">
        <v>1396.2766113</v>
      </c>
      <c r="I76">
        <v>1250.333374</v>
      </c>
      <c r="J76">
        <v>1210.8936768000001</v>
      </c>
      <c r="K76">
        <v>80</v>
      </c>
      <c r="L76">
        <v>72.315246582</v>
      </c>
      <c r="M76">
        <v>50</v>
      </c>
      <c r="N76">
        <v>14.994112968</v>
      </c>
    </row>
    <row r="77" spans="1:14" x14ac:dyDescent="0.25">
      <c r="A77">
        <v>1.8030280000000001</v>
      </c>
      <c r="B77" s="1">
        <f>DATE(2010,5,2) + TIME(19,16,21)</f>
        <v>40300.803020833337</v>
      </c>
      <c r="C77">
        <v>2400</v>
      </c>
      <c r="D77">
        <v>0</v>
      </c>
      <c r="E77">
        <v>0</v>
      </c>
      <c r="F77">
        <v>2400</v>
      </c>
      <c r="G77">
        <v>1411.3378906</v>
      </c>
      <c r="H77">
        <v>1396.1307373</v>
      </c>
      <c r="I77">
        <v>1250.3344727000001</v>
      </c>
      <c r="J77">
        <v>1210.8946533000001</v>
      </c>
      <c r="K77">
        <v>80</v>
      </c>
      <c r="L77">
        <v>72.856422424000002</v>
      </c>
      <c r="M77">
        <v>50</v>
      </c>
      <c r="N77">
        <v>14.994147301</v>
      </c>
    </row>
    <row r="78" spans="1:14" x14ac:dyDescent="0.25">
      <c r="A78">
        <v>1.8615790000000001</v>
      </c>
      <c r="B78" s="1">
        <f>DATE(2010,5,2) + TIME(20,40,40)</f>
        <v>40300.861574074072</v>
      </c>
      <c r="C78">
        <v>2400</v>
      </c>
      <c r="D78">
        <v>0</v>
      </c>
      <c r="E78">
        <v>0</v>
      </c>
      <c r="F78">
        <v>2400</v>
      </c>
      <c r="G78">
        <v>1411.121582</v>
      </c>
      <c r="H78">
        <v>1395.9863281</v>
      </c>
      <c r="I78">
        <v>1250.3355713000001</v>
      </c>
      <c r="J78">
        <v>1210.8956298999999</v>
      </c>
      <c r="K78">
        <v>80</v>
      </c>
      <c r="L78">
        <v>73.364356994999994</v>
      </c>
      <c r="M78">
        <v>50</v>
      </c>
      <c r="N78">
        <v>14.994181633</v>
      </c>
    </row>
    <row r="79" spans="1:14" x14ac:dyDescent="0.25">
      <c r="A79">
        <v>1.920817</v>
      </c>
      <c r="B79" s="1">
        <f>DATE(2010,5,2) + TIME(22,5,58)</f>
        <v>40300.920810185184</v>
      </c>
      <c r="C79">
        <v>2400</v>
      </c>
      <c r="D79">
        <v>0</v>
      </c>
      <c r="E79">
        <v>0</v>
      </c>
      <c r="F79">
        <v>2400</v>
      </c>
      <c r="G79">
        <v>1410.9119873</v>
      </c>
      <c r="H79">
        <v>1395.8432617000001</v>
      </c>
      <c r="I79">
        <v>1250.3366699000001</v>
      </c>
      <c r="J79">
        <v>1210.8967285000001</v>
      </c>
      <c r="K79">
        <v>80</v>
      </c>
      <c r="L79">
        <v>73.841133118000002</v>
      </c>
      <c r="M79">
        <v>50</v>
      </c>
      <c r="N79">
        <v>14.994214058000001</v>
      </c>
    </row>
    <row r="80" spans="1:14" x14ac:dyDescent="0.25">
      <c r="A80">
        <v>1.9808220000000001</v>
      </c>
      <c r="B80" s="1">
        <f>DATE(2010,5,2) + TIME(23,32,23)</f>
        <v>40300.980821759258</v>
      </c>
      <c r="C80">
        <v>2400</v>
      </c>
      <c r="D80">
        <v>0</v>
      </c>
      <c r="E80">
        <v>0</v>
      </c>
      <c r="F80">
        <v>2400</v>
      </c>
      <c r="G80">
        <v>1410.7086182</v>
      </c>
      <c r="H80">
        <v>1395.7011719</v>
      </c>
      <c r="I80">
        <v>1250.3378906</v>
      </c>
      <c r="J80">
        <v>1210.8977050999999</v>
      </c>
      <c r="K80">
        <v>80</v>
      </c>
      <c r="L80">
        <v>74.288688660000005</v>
      </c>
      <c r="M80">
        <v>50</v>
      </c>
      <c r="N80">
        <v>14.994246483</v>
      </c>
    </row>
    <row r="81" spans="1:14" x14ac:dyDescent="0.25">
      <c r="A81">
        <v>2.0416889999999999</v>
      </c>
      <c r="B81" s="1">
        <f>DATE(2010,5,3) + TIME(1,0,1)</f>
        <v>40301.041678240741</v>
      </c>
      <c r="C81">
        <v>2400</v>
      </c>
      <c r="D81">
        <v>0</v>
      </c>
      <c r="E81">
        <v>0</v>
      </c>
      <c r="F81">
        <v>2400</v>
      </c>
      <c r="G81">
        <v>1410.5104980000001</v>
      </c>
      <c r="H81">
        <v>1395.5599365</v>
      </c>
      <c r="I81">
        <v>1250.3389893000001</v>
      </c>
      <c r="J81">
        <v>1210.8988036999999</v>
      </c>
      <c r="K81">
        <v>80</v>
      </c>
      <c r="L81">
        <v>74.708862304999997</v>
      </c>
      <c r="M81">
        <v>50</v>
      </c>
      <c r="N81">
        <v>14.994278908</v>
      </c>
    </row>
    <row r="82" spans="1:14" x14ac:dyDescent="0.25">
      <c r="A82">
        <v>2.103507</v>
      </c>
      <c r="B82" s="1">
        <f>DATE(2010,5,3) + TIME(2,29,2)</f>
        <v>40301.103495370371</v>
      </c>
      <c r="C82">
        <v>2400</v>
      </c>
      <c r="D82">
        <v>0</v>
      </c>
      <c r="E82">
        <v>0</v>
      </c>
      <c r="F82">
        <v>2400</v>
      </c>
      <c r="G82">
        <v>1410.3171387</v>
      </c>
      <c r="H82">
        <v>1395.4193115</v>
      </c>
      <c r="I82">
        <v>1250.3400879000001</v>
      </c>
      <c r="J82">
        <v>1210.8997803</v>
      </c>
      <c r="K82">
        <v>80</v>
      </c>
      <c r="L82">
        <v>75.103172302000004</v>
      </c>
      <c r="M82">
        <v>50</v>
      </c>
      <c r="N82">
        <v>14.994310379</v>
      </c>
    </row>
    <row r="83" spans="1:14" x14ac:dyDescent="0.25">
      <c r="A83">
        <v>2.166366</v>
      </c>
      <c r="B83" s="1">
        <f>DATE(2010,5,3) + TIME(3,59,34)</f>
        <v>40301.166365740741</v>
      </c>
      <c r="C83">
        <v>2400</v>
      </c>
      <c r="D83">
        <v>0</v>
      </c>
      <c r="E83">
        <v>0</v>
      </c>
      <c r="F83">
        <v>2400</v>
      </c>
      <c r="G83">
        <v>1410.1281738</v>
      </c>
      <c r="H83">
        <v>1395.2789307</v>
      </c>
      <c r="I83">
        <v>1250.3413086</v>
      </c>
      <c r="J83">
        <v>1210.9008789</v>
      </c>
      <c r="K83">
        <v>80</v>
      </c>
      <c r="L83">
        <v>75.472999572999996</v>
      </c>
      <c r="M83">
        <v>50</v>
      </c>
      <c r="N83">
        <v>14.994340897000001</v>
      </c>
    </row>
    <row r="84" spans="1:14" x14ac:dyDescent="0.25">
      <c r="A84">
        <v>2.2303639999999998</v>
      </c>
      <c r="B84" s="1">
        <f>DATE(2010,5,3) + TIME(5,31,43)</f>
        <v>40301.230358796296</v>
      </c>
      <c r="C84">
        <v>2400</v>
      </c>
      <c r="D84">
        <v>0</v>
      </c>
      <c r="E84">
        <v>0</v>
      </c>
      <c r="F84">
        <v>2400</v>
      </c>
      <c r="G84">
        <v>1409.9428711</v>
      </c>
      <c r="H84">
        <v>1395.1386719</v>
      </c>
      <c r="I84">
        <v>1250.3424072</v>
      </c>
      <c r="J84">
        <v>1210.9019774999999</v>
      </c>
      <c r="K84">
        <v>80</v>
      </c>
      <c r="L84">
        <v>75.819908142000003</v>
      </c>
      <c r="M84">
        <v>50</v>
      </c>
      <c r="N84">
        <v>14.994371414</v>
      </c>
    </row>
    <row r="85" spans="1:14" x14ac:dyDescent="0.25">
      <c r="A85">
        <v>2.295604</v>
      </c>
      <c r="B85" s="1">
        <f>DATE(2010,5,3) + TIME(7,5,40)</f>
        <v>40301.295601851853</v>
      </c>
      <c r="C85">
        <v>2400</v>
      </c>
      <c r="D85">
        <v>0</v>
      </c>
      <c r="E85">
        <v>0</v>
      </c>
      <c r="F85">
        <v>2400</v>
      </c>
      <c r="G85">
        <v>1409.7608643000001</v>
      </c>
      <c r="H85">
        <v>1394.9984131000001</v>
      </c>
      <c r="I85">
        <v>1250.3436279</v>
      </c>
      <c r="J85">
        <v>1210.9029541</v>
      </c>
      <c r="K85">
        <v>80</v>
      </c>
      <c r="L85">
        <v>76.145164489999999</v>
      </c>
      <c r="M85">
        <v>50</v>
      </c>
      <c r="N85">
        <v>14.994400978</v>
      </c>
    </row>
    <row r="86" spans="1:14" x14ac:dyDescent="0.25">
      <c r="A86">
        <v>2.362193</v>
      </c>
      <c r="B86" s="1">
        <f>DATE(2010,5,3) + TIME(8,41,33)</f>
        <v>40301.362187500003</v>
      </c>
      <c r="C86">
        <v>2400</v>
      </c>
      <c r="D86">
        <v>0</v>
      </c>
      <c r="E86">
        <v>0</v>
      </c>
      <c r="F86">
        <v>2400</v>
      </c>
      <c r="G86">
        <v>1409.5817870999999</v>
      </c>
      <c r="H86">
        <v>1394.8579102000001</v>
      </c>
      <c r="I86">
        <v>1250.3447266000001</v>
      </c>
      <c r="J86">
        <v>1210.9040527</v>
      </c>
      <c r="K86">
        <v>80</v>
      </c>
      <c r="L86">
        <v>76.449958800999994</v>
      </c>
      <c r="M86">
        <v>50</v>
      </c>
      <c r="N86">
        <v>14.994430542</v>
      </c>
    </row>
    <row r="87" spans="1:14" x14ac:dyDescent="0.25">
      <c r="A87">
        <v>2.4302459999999999</v>
      </c>
      <c r="B87" s="1">
        <f>DATE(2010,5,3) + TIME(10,19,33)</f>
        <v>40301.430243055554</v>
      </c>
      <c r="C87">
        <v>2400</v>
      </c>
      <c r="D87">
        <v>0</v>
      </c>
      <c r="E87">
        <v>0</v>
      </c>
      <c r="F87">
        <v>2400</v>
      </c>
      <c r="G87">
        <v>1409.4051514</v>
      </c>
      <c r="H87">
        <v>1394.7170410000001</v>
      </c>
      <c r="I87">
        <v>1250.3459473</v>
      </c>
      <c r="J87">
        <v>1210.9051514</v>
      </c>
      <c r="K87">
        <v>80</v>
      </c>
      <c r="L87">
        <v>76.735382079999994</v>
      </c>
      <c r="M87">
        <v>50</v>
      </c>
      <c r="N87">
        <v>14.994460106</v>
      </c>
    </row>
    <row r="88" spans="1:14" x14ac:dyDescent="0.25">
      <c r="A88">
        <v>2.4998879999999999</v>
      </c>
      <c r="B88" s="1">
        <f>DATE(2010,5,3) + TIME(11,59,50)</f>
        <v>40301.499884259261</v>
      </c>
      <c r="C88">
        <v>2400</v>
      </c>
      <c r="D88">
        <v>0</v>
      </c>
      <c r="E88">
        <v>0</v>
      </c>
      <c r="F88">
        <v>2400</v>
      </c>
      <c r="G88">
        <v>1409.2307129000001</v>
      </c>
      <c r="H88">
        <v>1394.5755615</v>
      </c>
      <c r="I88">
        <v>1250.347168</v>
      </c>
      <c r="J88">
        <v>1210.9063721</v>
      </c>
      <c r="K88">
        <v>80</v>
      </c>
      <c r="L88">
        <v>77.002456664999997</v>
      </c>
      <c r="M88">
        <v>50</v>
      </c>
      <c r="N88">
        <v>14.99448967</v>
      </c>
    </row>
    <row r="89" spans="1:14" x14ac:dyDescent="0.25">
      <c r="A89">
        <v>2.5712609999999998</v>
      </c>
      <c r="B89" s="1">
        <f>DATE(2010,5,3) + TIME(13,42,36)</f>
        <v>40301.571250000001</v>
      </c>
      <c r="C89">
        <v>2400</v>
      </c>
      <c r="D89">
        <v>0</v>
      </c>
      <c r="E89">
        <v>0</v>
      </c>
      <c r="F89">
        <v>2400</v>
      </c>
      <c r="G89">
        <v>1409.0578613</v>
      </c>
      <c r="H89">
        <v>1394.4333495999999</v>
      </c>
      <c r="I89">
        <v>1250.3483887</v>
      </c>
      <c r="J89">
        <v>1210.9074707</v>
      </c>
      <c r="K89">
        <v>80</v>
      </c>
      <c r="L89">
        <v>77.252159118999998</v>
      </c>
      <c r="M89">
        <v>50</v>
      </c>
      <c r="N89">
        <v>14.994518279999999</v>
      </c>
    </row>
    <row r="90" spans="1:14" x14ac:dyDescent="0.25">
      <c r="A90">
        <v>2.6445240000000001</v>
      </c>
      <c r="B90" s="1">
        <f>DATE(2010,5,3) + TIME(15,28,6)</f>
        <v>40301.644513888888</v>
      </c>
      <c r="C90">
        <v>2400</v>
      </c>
      <c r="D90">
        <v>0</v>
      </c>
      <c r="E90">
        <v>0</v>
      </c>
      <c r="F90">
        <v>2400</v>
      </c>
      <c r="G90">
        <v>1408.8864745999999</v>
      </c>
      <c r="H90">
        <v>1394.2901611</v>
      </c>
      <c r="I90">
        <v>1250.3496094</v>
      </c>
      <c r="J90">
        <v>1210.9085693</v>
      </c>
      <c r="K90">
        <v>80</v>
      </c>
      <c r="L90">
        <v>77.485427856000001</v>
      </c>
      <c r="M90">
        <v>50</v>
      </c>
      <c r="N90">
        <v>14.994546890000001</v>
      </c>
    </row>
    <row r="91" spans="1:14" x14ac:dyDescent="0.25">
      <c r="A91">
        <v>2.7198129999999998</v>
      </c>
      <c r="B91" s="1">
        <f>DATE(2010,5,3) + TIME(17,16,31)</f>
        <v>40301.71980324074</v>
      </c>
      <c r="C91">
        <v>2400</v>
      </c>
      <c r="D91">
        <v>0</v>
      </c>
      <c r="E91">
        <v>0</v>
      </c>
      <c r="F91">
        <v>2400</v>
      </c>
      <c r="G91">
        <v>1408.7160644999999</v>
      </c>
      <c r="H91">
        <v>1394.1457519999999</v>
      </c>
      <c r="I91">
        <v>1250.3508300999999</v>
      </c>
      <c r="J91">
        <v>1210.9097899999999</v>
      </c>
      <c r="K91">
        <v>80</v>
      </c>
      <c r="L91">
        <v>77.703018188000001</v>
      </c>
      <c r="M91">
        <v>50</v>
      </c>
      <c r="N91">
        <v>14.9945755</v>
      </c>
    </row>
    <row r="92" spans="1:14" x14ac:dyDescent="0.25">
      <c r="A92">
        <v>2.797301</v>
      </c>
      <c r="B92" s="1">
        <f>DATE(2010,5,3) + TIME(19,8,6)</f>
        <v>40301.797291666669</v>
      </c>
      <c r="C92">
        <v>2400</v>
      </c>
      <c r="D92">
        <v>0</v>
      </c>
      <c r="E92">
        <v>0</v>
      </c>
      <c r="F92">
        <v>2400</v>
      </c>
      <c r="G92">
        <v>1408.5465088000001</v>
      </c>
      <c r="H92">
        <v>1394.0001221</v>
      </c>
      <c r="I92">
        <v>1250.3520507999999</v>
      </c>
      <c r="J92">
        <v>1210.9110106999999</v>
      </c>
      <c r="K92">
        <v>80</v>
      </c>
      <c r="L92">
        <v>77.905731200999995</v>
      </c>
      <c r="M92">
        <v>50</v>
      </c>
      <c r="N92">
        <v>14.994604110999999</v>
      </c>
    </row>
    <row r="93" spans="1:14" x14ac:dyDescent="0.25">
      <c r="A93">
        <v>2.8771749999999998</v>
      </c>
      <c r="B93" s="1">
        <f>DATE(2010,5,3) + TIME(21,3,7)</f>
        <v>40301.877164351848</v>
      </c>
      <c r="C93">
        <v>2400</v>
      </c>
      <c r="D93">
        <v>0</v>
      </c>
      <c r="E93">
        <v>0</v>
      </c>
      <c r="F93">
        <v>2400</v>
      </c>
      <c r="G93">
        <v>1408.3774414</v>
      </c>
      <c r="H93">
        <v>1393.8530272999999</v>
      </c>
      <c r="I93">
        <v>1250.3533935999999</v>
      </c>
      <c r="J93">
        <v>1210.9122314000001</v>
      </c>
      <c r="K93">
        <v>80</v>
      </c>
      <c r="L93">
        <v>78.094314574999999</v>
      </c>
      <c r="M93">
        <v>50</v>
      </c>
      <c r="N93">
        <v>14.994631767</v>
      </c>
    </row>
    <row r="94" spans="1:14" x14ac:dyDescent="0.25">
      <c r="A94">
        <v>2.9596460000000002</v>
      </c>
      <c r="B94" s="1">
        <f>DATE(2010,5,3) + TIME(23,1,53)</f>
        <v>40301.959641203706</v>
      </c>
      <c r="C94">
        <v>2400</v>
      </c>
      <c r="D94">
        <v>0</v>
      </c>
      <c r="E94">
        <v>0</v>
      </c>
      <c r="F94">
        <v>2400</v>
      </c>
      <c r="G94">
        <v>1408.208374</v>
      </c>
      <c r="H94">
        <v>1393.7042236</v>
      </c>
      <c r="I94">
        <v>1250.3547363</v>
      </c>
      <c r="J94">
        <v>1210.9134521000001</v>
      </c>
      <c r="K94">
        <v>80</v>
      </c>
      <c r="L94">
        <v>78.269470214999998</v>
      </c>
      <c r="M94">
        <v>50</v>
      </c>
      <c r="N94">
        <v>14.994660378000001</v>
      </c>
    </row>
    <row r="95" spans="1:14" x14ac:dyDescent="0.25">
      <c r="A95">
        <v>3.04494</v>
      </c>
      <c r="B95" s="1">
        <f>DATE(2010,5,4) + TIME(1,4,42)</f>
        <v>40302.044930555552</v>
      </c>
      <c r="C95">
        <v>2400</v>
      </c>
      <c r="D95">
        <v>0</v>
      </c>
      <c r="E95">
        <v>0</v>
      </c>
      <c r="F95">
        <v>2400</v>
      </c>
      <c r="G95">
        <v>1408.0391846</v>
      </c>
      <c r="H95">
        <v>1393.5534668</v>
      </c>
      <c r="I95">
        <v>1250.3560791</v>
      </c>
      <c r="J95">
        <v>1210.9147949000001</v>
      </c>
      <c r="K95">
        <v>80</v>
      </c>
      <c r="L95">
        <v>78.431861877000003</v>
      </c>
      <c r="M95">
        <v>50</v>
      </c>
      <c r="N95">
        <v>14.994688988</v>
      </c>
    </row>
    <row r="96" spans="1:14" x14ac:dyDescent="0.25">
      <c r="A96">
        <v>3.1331690000000001</v>
      </c>
      <c r="B96" s="1">
        <f>DATE(2010,5,4) + TIME(3,11,45)</f>
        <v>40302.133159722223</v>
      </c>
      <c r="C96">
        <v>2400</v>
      </c>
      <c r="D96">
        <v>0</v>
      </c>
      <c r="E96">
        <v>0</v>
      </c>
      <c r="F96">
        <v>2400</v>
      </c>
      <c r="G96">
        <v>1407.8695068</v>
      </c>
      <c r="H96">
        <v>1393.4007568</v>
      </c>
      <c r="I96">
        <v>1250.3574219</v>
      </c>
      <c r="J96">
        <v>1210.9160156</v>
      </c>
      <c r="K96">
        <v>80</v>
      </c>
      <c r="L96">
        <v>78.581916809000006</v>
      </c>
      <c r="M96">
        <v>50</v>
      </c>
      <c r="N96">
        <v>14.994717597999999</v>
      </c>
    </row>
    <row r="97" spans="1:14" x14ac:dyDescent="0.25">
      <c r="A97">
        <v>3.224259</v>
      </c>
      <c r="B97" s="1">
        <f>DATE(2010,5,4) + TIME(5,22,56)</f>
        <v>40302.224259259259</v>
      </c>
      <c r="C97">
        <v>2400</v>
      </c>
      <c r="D97">
        <v>0</v>
      </c>
      <c r="E97">
        <v>0</v>
      </c>
      <c r="F97">
        <v>2400</v>
      </c>
      <c r="G97">
        <v>1407.6994629000001</v>
      </c>
      <c r="H97">
        <v>1393.2459716999999</v>
      </c>
      <c r="I97">
        <v>1250.3587646000001</v>
      </c>
      <c r="J97">
        <v>1210.9173584</v>
      </c>
      <c r="K97">
        <v>80</v>
      </c>
      <c r="L97">
        <v>78.719818114999995</v>
      </c>
      <c r="M97">
        <v>50</v>
      </c>
      <c r="N97">
        <v>14.994746208</v>
      </c>
    </row>
    <row r="98" spans="1:14" x14ac:dyDescent="0.25">
      <c r="A98">
        <v>3.3182010000000002</v>
      </c>
      <c r="B98" s="1">
        <f>DATE(2010,5,4) + TIME(7,38,12)</f>
        <v>40302.318194444444</v>
      </c>
      <c r="C98">
        <v>2400</v>
      </c>
      <c r="D98">
        <v>0</v>
      </c>
      <c r="E98">
        <v>0</v>
      </c>
      <c r="F98">
        <v>2400</v>
      </c>
      <c r="G98">
        <v>1407.5291748</v>
      </c>
      <c r="H98">
        <v>1393.0893555</v>
      </c>
      <c r="I98">
        <v>1250.3602295000001</v>
      </c>
      <c r="J98">
        <v>1210.9188231999999</v>
      </c>
      <c r="K98">
        <v>80</v>
      </c>
      <c r="L98">
        <v>78.845985412999994</v>
      </c>
      <c r="M98">
        <v>50</v>
      </c>
      <c r="N98">
        <v>14.994774818</v>
      </c>
    </row>
    <row r="99" spans="1:14" x14ac:dyDescent="0.25">
      <c r="A99">
        <v>3.4151989999999999</v>
      </c>
      <c r="B99" s="1">
        <f>DATE(2010,5,4) + TIME(9,57,53)</f>
        <v>40302.415196759262</v>
      </c>
      <c r="C99">
        <v>2400</v>
      </c>
      <c r="D99">
        <v>0</v>
      </c>
      <c r="E99">
        <v>0</v>
      </c>
      <c r="F99">
        <v>2400</v>
      </c>
      <c r="G99">
        <v>1407.3586425999999</v>
      </c>
      <c r="H99">
        <v>1392.9313964999999</v>
      </c>
      <c r="I99">
        <v>1250.3616943</v>
      </c>
      <c r="J99">
        <v>1210.9201660000001</v>
      </c>
      <c r="K99">
        <v>80</v>
      </c>
      <c r="L99">
        <v>78.961151122999993</v>
      </c>
      <c r="M99">
        <v>50</v>
      </c>
      <c r="N99">
        <v>14.994803428999999</v>
      </c>
    </row>
    <row r="100" spans="1:14" x14ac:dyDescent="0.25">
      <c r="A100">
        <v>3.5155210000000001</v>
      </c>
      <c r="B100" s="1">
        <f>DATE(2010,5,4) + TIME(12,22,21)</f>
        <v>40302.515520833331</v>
      </c>
      <c r="C100">
        <v>2400</v>
      </c>
      <c r="D100">
        <v>0</v>
      </c>
      <c r="E100">
        <v>0</v>
      </c>
      <c r="F100">
        <v>2400</v>
      </c>
      <c r="G100">
        <v>1407.1877440999999</v>
      </c>
      <c r="H100">
        <v>1392.7716064000001</v>
      </c>
      <c r="I100">
        <v>1250.3631591999999</v>
      </c>
      <c r="J100">
        <v>1210.9216309000001</v>
      </c>
      <c r="K100">
        <v>80</v>
      </c>
      <c r="L100">
        <v>79.066024780000006</v>
      </c>
      <c r="M100">
        <v>50</v>
      </c>
      <c r="N100">
        <v>14.994832039</v>
      </c>
    </row>
    <row r="101" spans="1:14" x14ac:dyDescent="0.25">
      <c r="A101">
        <v>3.6194630000000001</v>
      </c>
      <c r="B101" s="1">
        <f>DATE(2010,5,4) + TIME(14,52,1)</f>
        <v>40302.619456018518</v>
      </c>
      <c r="C101">
        <v>2400</v>
      </c>
      <c r="D101">
        <v>0</v>
      </c>
      <c r="E101">
        <v>0</v>
      </c>
      <c r="F101">
        <v>2400</v>
      </c>
      <c r="G101">
        <v>1407.0162353999999</v>
      </c>
      <c r="H101">
        <v>1392.6099853999999</v>
      </c>
      <c r="I101">
        <v>1250.3647461</v>
      </c>
      <c r="J101">
        <v>1210.9230957</v>
      </c>
      <c r="K101">
        <v>80</v>
      </c>
      <c r="L101">
        <v>79.161315918</v>
      </c>
      <c r="M101">
        <v>50</v>
      </c>
      <c r="N101">
        <v>14.994860649</v>
      </c>
    </row>
    <row r="102" spans="1:14" x14ac:dyDescent="0.25">
      <c r="A102">
        <v>3.7273559999999999</v>
      </c>
      <c r="B102" s="1">
        <f>DATE(2010,5,4) + TIME(17,27,23)</f>
        <v>40302.727349537039</v>
      </c>
      <c r="C102">
        <v>2400</v>
      </c>
      <c r="D102">
        <v>0</v>
      </c>
      <c r="E102">
        <v>0</v>
      </c>
      <c r="F102">
        <v>2400</v>
      </c>
      <c r="G102">
        <v>1406.8436279</v>
      </c>
      <c r="H102">
        <v>1392.4462891000001</v>
      </c>
      <c r="I102">
        <v>1250.3663329999999</v>
      </c>
      <c r="J102">
        <v>1210.9246826000001</v>
      </c>
      <c r="K102">
        <v>80</v>
      </c>
      <c r="L102">
        <v>79.247665405000006</v>
      </c>
      <c r="M102">
        <v>50</v>
      </c>
      <c r="N102">
        <v>14.994889259000001</v>
      </c>
    </row>
    <row r="103" spans="1:14" x14ac:dyDescent="0.25">
      <c r="A103">
        <v>3.8395739999999998</v>
      </c>
      <c r="B103" s="1">
        <f>DATE(2010,5,4) + TIME(20,8,59)</f>
        <v>40302.839571759258</v>
      </c>
      <c r="C103">
        <v>2400</v>
      </c>
      <c r="D103">
        <v>0</v>
      </c>
      <c r="E103">
        <v>0</v>
      </c>
      <c r="F103">
        <v>2400</v>
      </c>
      <c r="G103">
        <v>1406.6696777</v>
      </c>
      <c r="H103">
        <v>1392.2802733999999</v>
      </c>
      <c r="I103">
        <v>1250.3679199000001</v>
      </c>
      <c r="J103">
        <v>1210.9262695</v>
      </c>
      <c r="K103">
        <v>80</v>
      </c>
      <c r="L103">
        <v>79.325691223000007</v>
      </c>
      <c r="M103">
        <v>50</v>
      </c>
      <c r="N103">
        <v>14.994918823000001</v>
      </c>
    </row>
    <row r="104" spans="1:14" x14ac:dyDescent="0.25">
      <c r="A104">
        <v>3.9562020000000002</v>
      </c>
      <c r="B104" s="1">
        <f>DATE(2010,5,4) + TIME(22,56,55)</f>
        <v>40302.956192129626</v>
      </c>
      <c r="C104">
        <v>2400</v>
      </c>
      <c r="D104">
        <v>0</v>
      </c>
      <c r="E104">
        <v>0</v>
      </c>
      <c r="F104">
        <v>2400</v>
      </c>
      <c r="G104">
        <v>1406.4941406</v>
      </c>
      <c r="H104">
        <v>1392.1116943</v>
      </c>
      <c r="I104">
        <v>1250.3696289</v>
      </c>
      <c r="J104">
        <v>1210.9278564000001</v>
      </c>
      <c r="K104">
        <v>80</v>
      </c>
      <c r="L104">
        <v>79.395805358999993</v>
      </c>
      <c r="M104">
        <v>50</v>
      </c>
      <c r="N104">
        <v>14.994948387000001</v>
      </c>
    </row>
    <row r="105" spans="1:14" x14ac:dyDescent="0.25">
      <c r="A105">
        <v>4.0746200000000004</v>
      </c>
      <c r="B105" s="1">
        <f>DATE(2010,5,5) + TIME(1,47,27)</f>
        <v>40303.074618055558</v>
      </c>
      <c r="C105">
        <v>2400</v>
      </c>
      <c r="D105">
        <v>0</v>
      </c>
      <c r="E105">
        <v>0</v>
      </c>
      <c r="F105">
        <v>2400</v>
      </c>
      <c r="G105">
        <v>1406.3172606999999</v>
      </c>
      <c r="H105">
        <v>1391.9407959</v>
      </c>
      <c r="I105">
        <v>1250.3713379000001</v>
      </c>
      <c r="J105">
        <v>1210.9294434000001</v>
      </c>
      <c r="K105">
        <v>80</v>
      </c>
      <c r="L105">
        <v>79.457252502000003</v>
      </c>
      <c r="M105">
        <v>50</v>
      </c>
      <c r="N105">
        <v>14.994976997</v>
      </c>
    </row>
    <row r="106" spans="1:14" x14ac:dyDescent="0.25">
      <c r="A106">
        <v>4.1933740000000004</v>
      </c>
      <c r="B106" s="1">
        <f>DATE(2010,5,5) + TIME(4,38,27)</f>
        <v>40303.193368055552</v>
      </c>
      <c r="C106">
        <v>2400</v>
      </c>
      <c r="D106">
        <v>0</v>
      </c>
      <c r="E106">
        <v>0</v>
      </c>
      <c r="F106">
        <v>2400</v>
      </c>
      <c r="G106">
        <v>1406.1430664</v>
      </c>
      <c r="H106">
        <v>1391.7713623</v>
      </c>
      <c r="I106">
        <v>1250.3730469</v>
      </c>
      <c r="J106">
        <v>1210.9311522999999</v>
      </c>
      <c r="K106">
        <v>80</v>
      </c>
      <c r="L106">
        <v>79.510437011999997</v>
      </c>
      <c r="M106">
        <v>50</v>
      </c>
      <c r="N106">
        <v>14.995005608</v>
      </c>
    </row>
    <row r="107" spans="1:14" x14ac:dyDescent="0.25">
      <c r="A107">
        <v>4.3126410000000002</v>
      </c>
      <c r="B107" s="1">
        <f>DATE(2010,5,5) + TIME(7,30,12)</f>
        <v>40303.312638888892</v>
      </c>
      <c r="C107">
        <v>2400</v>
      </c>
      <c r="D107">
        <v>0</v>
      </c>
      <c r="E107">
        <v>0</v>
      </c>
      <c r="F107">
        <v>2400</v>
      </c>
      <c r="G107">
        <v>1405.9730225000001</v>
      </c>
      <c r="H107">
        <v>1391.6055908000001</v>
      </c>
      <c r="I107">
        <v>1250.3747559000001</v>
      </c>
      <c r="J107">
        <v>1210.9327393000001</v>
      </c>
      <c r="K107">
        <v>80</v>
      </c>
      <c r="L107">
        <v>79.556541443</v>
      </c>
      <c r="M107">
        <v>50</v>
      </c>
      <c r="N107">
        <v>14.995033264</v>
      </c>
    </row>
    <row r="108" spans="1:14" x14ac:dyDescent="0.25">
      <c r="A108">
        <v>4.4323050000000004</v>
      </c>
      <c r="B108" s="1">
        <f>DATE(2010,5,5) + TIME(10,22,31)</f>
        <v>40303.432303240741</v>
      </c>
      <c r="C108">
        <v>2400</v>
      </c>
      <c r="D108">
        <v>0</v>
      </c>
      <c r="E108">
        <v>0</v>
      </c>
      <c r="F108">
        <v>2400</v>
      </c>
      <c r="G108">
        <v>1405.8068848</v>
      </c>
      <c r="H108">
        <v>1391.4429932</v>
      </c>
      <c r="I108">
        <v>1250.3763428</v>
      </c>
      <c r="J108">
        <v>1210.9344481999999</v>
      </c>
      <c r="K108">
        <v>80</v>
      </c>
      <c r="L108">
        <v>79.596473693999997</v>
      </c>
      <c r="M108">
        <v>50</v>
      </c>
      <c r="N108">
        <v>14.995060921</v>
      </c>
    </row>
    <row r="109" spans="1:14" x14ac:dyDescent="0.25">
      <c r="A109">
        <v>4.5525529999999996</v>
      </c>
      <c r="B109" s="1">
        <f>DATE(2010,5,5) + TIME(13,15,40)</f>
        <v>40303.552546296298</v>
      </c>
      <c r="C109">
        <v>2400</v>
      </c>
      <c r="D109">
        <v>0</v>
      </c>
      <c r="E109">
        <v>0</v>
      </c>
      <c r="F109">
        <v>2400</v>
      </c>
      <c r="G109">
        <v>1405.6445312000001</v>
      </c>
      <c r="H109">
        <v>1391.2838135</v>
      </c>
      <c r="I109">
        <v>1250.3780518000001</v>
      </c>
      <c r="J109">
        <v>1210.9360352000001</v>
      </c>
      <c r="K109">
        <v>80</v>
      </c>
      <c r="L109">
        <v>79.631103515999996</v>
      </c>
      <c r="M109">
        <v>50</v>
      </c>
      <c r="N109">
        <v>14.995087624</v>
      </c>
    </row>
    <row r="110" spans="1:14" x14ac:dyDescent="0.25">
      <c r="A110">
        <v>4.6735629999999997</v>
      </c>
      <c r="B110" s="1">
        <f>DATE(2010,5,5) + TIME(16,9,55)</f>
        <v>40303.67355324074</v>
      </c>
      <c r="C110">
        <v>2400</v>
      </c>
      <c r="D110">
        <v>0</v>
      </c>
      <c r="E110">
        <v>0</v>
      </c>
      <c r="F110">
        <v>2400</v>
      </c>
      <c r="G110">
        <v>1405.4855957</v>
      </c>
      <c r="H110">
        <v>1391.1274414</v>
      </c>
      <c r="I110">
        <v>1250.3797606999999</v>
      </c>
      <c r="J110">
        <v>1210.9377440999999</v>
      </c>
      <c r="K110">
        <v>80</v>
      </c>
      <c r="L110">
        <v>79.661178589000002</v>
      </c>
      <c r="M110">
        <v>50</v>
      </c>
      <c r="N110">
        <v>14.995114325999999</v>
      </c>
    </row>
    <row r="111" spans="1:14" x14ac:dyDescent="0.25">
      <c r="A111">
        <v>4.7954850000000002</v>
      </c>
      <c r="B111" s="1">
        <f>DATE(2010,5,5) + TIME(19,5,29)</f>
        <v>40303.795474537037</v>
      </c>
      <c r="C111">
        <v>2400</v>
      </c>
      <c r="D111">
        <v>0</v>
      </c>
      <c r="E111">
        <v>0</v>
      </c>
      <c r="F111">
        <v>2400</v>
      </c>
      <c r="G111">
        <v>1405.3295897999999</v>
      </c>
      <c r="H111">
        <v>1390.9736327999999</v>
      </c>
      <c r="I111">
        <v>1250.3814697</v>
      </c>
      <c r="J111">
        <v>1210.9393310999999</v>
      </c>
      <c r="K111">
        <v>80</v>
      </c>
      <c r="L111">
        <v>79.687324524000005</v>
      </c>
      <c r="M111">
        <v>50</v>
      </c>
      <c r="N111">
        <v>14.995140076</v>
      </c>
    </row>
    <row r="112" spans="1:14" x14ac:dyDescent="0.25">
      <c r="A112">
        <v>4.91852</v>
      </c>
      <c r="B112" s="1">
        <f>DATE(2010,5,5) + TIME(22,2,40)</f>
        <v>40303.91851851852</v>
      </c>
      <c r="C112">
        <v>2400</v>
      </c>
      <c r="D112">
        <v>0</v>
      </c>
      <c r="E112">
        <v>0</v>
      </c>
      <c r="F112">
        <v>2400</v>
      </c>
      <c r="G112">
        <v>1405.1761475000001</v>
      </c>
      <c r="H112">
        <v>1390.8222656</v>
      </c>
      <c r="I112">
        <v>1250.3831786999999</v>
      </c>
      <c r="J112">
        <v>1210.9410399999999</v>
      </c>
      <c r="K112">
        <v>80</v>
      </c>
      <c r="L112">
        <v>79.710075377999999</v>
      </c>
      <c r="M112">
        <v>50</v>
      </c>
      <c r="N112">
        <v>14.995165825000001</v>
      </c>
    </row>
    <row r="113" spans="1:14" x14ac:dyDescent="0.25">
      <c r="A113">
        <v>5.04284</v>
      </c>
      <c r="B113" s="1">
        <f>DATE(2010,5,6) + TIME(1,1,41)</f>
        <v>40304.04283564815</v>
      </c>
      <c r="C113">
        <v>2400</v>
      </c>
      <c r="D113">
        <v>0</v>
      </c>
      <c r="E113">
        <v>0</v>
      </c>
      <c r="F113">
        <v>2400</v>
      </c>
      <c r="G113">
        <v>1405.0251464999999</v>
      </c>
      <c r="H113">
        <v>1390.6729736</v>
      </c>
      <c r="I113">
        <v>1250.3848877</v>
      </c>
      <c r="J113">
        <v>1210.942749</v>
      </c>
      <c r="K113">
        <v>80</v>
      </c>
      <c r="L113">
        <v>79.729888915999993</v>
      </c>
      <c r="M113">
        <v>50</v>
      </c>
      <c r="N113">
        <v>14.995190620000001</v>
      </c>
    </row>
    <row r="114" spans="1:14" x14ac:dyDescent="0.25">
      <c r="A114">
        <v>5.1686249999999996</v>
      </c>
      <c r="B114" s="1">
        <f>DATE(2010,5,6) + TIME(4,2,49)</f>
        <v>40304.168622685182</v>
      </c>
      <c r="C114">
        <v>2400</v>
      </c>
      <c r="D114">
        <v>0</v>
      </c>
      <c r="E114">
        <v>0</v>
      </c>
      <c r="F114">
        <v>2400</v>
      </c>
      <c r="G114">
        <v>1404.8760986</v>
      </c>
      <c r="H114">
        <v>1390.5253906</v>
      </c>
      <c r="I114">
        <v>1250.3865966999999</v>
      </c>
      <c r="J114">
        <v>1210.9443358999999</v>
      </c>
      <c r="K114">
        <v>80</v>
      </c>
      <c r="L114">
        <v>79.747169494999994</v>
      </c>
      <c r="M114">
        <v>50</v>
      </c>
      <c r="N114">
        <v>14.995215416000001</v>
      </c>
    </row>
    <row r="115" spans="1:14" x14ac:dyDescent="0.25">
      <c r="A115">
        <v>5.2960560000000001</v>
      </c>
      <c r="B115" s="1">
        <f>DATE(2010,5,6) + TIME(7,6,19)</f>
        <v>40304.296053240738</v>
      </c>
      <c r="C115">
        <v>2400</v>
      </c>
      <c r="D115">
        <v>0</v>
      </c>
      <c r="E115">
        <v>0</v>
      </c>
      <c r="F115">
        <v>2400</v>
      </c>
      <c r="G115">
        <v>1404.7287598</v>
      </c>
      <c r="H115">
        <v>1390.3793945</v>
      </c>
      <c r="I115">
        <v>1250.3883057</v>
      </c>
      <c r="J115">
        <v>1210.9460449000001</v>
      </c>
      <c r="K115">
        <v>80</v>
      </c>
      <c r="L115">
        <v>79.762237549000005</v>
      </c>
      <c r="M115">
        <v>50</v>
      </c>
      <c r="N115">
        <v>14.995240211</v>
      </c>
    </row>
    <row r="116" spans="1:14" x14ac:dyDescent="0.25">
      <c r="A116">
        <v>5.4253220000000004</v>
      </c>
      <c r="B116" s="1">
        <f>DATE(2010,5,6) + TIME(10,12,27)</f>
        <v>40304.425312500003</v>
      </c>
      <c r="C116">
        <v>2400</v>
      </c>
      <c r="D116">
        <v>0</v>
      </c>
      <c r="E116">
        <v>0</v>
      </c>
      <c r="F116">
        <v>2400</v>
      </c>
      <c r="G116">
        <v>1404.5830077999999</v>
      </c>
      <c r="H116">
        <v>1390.2347411999999</v>
      </c>
      <c r="I116">
        <v>1250.3900146000001</v>
      </c>
      <c r="J116">
        <v>1210.9477539</v>
      </c>
      <c r="K116">
        <v>80</v>
      </c>
      <c r="L116">
        <v>79.775390625</v>
      </c>
      <c r="M116">
        <v>50</v>
      </c>
      <c r="N116">
        <v>14.995265007</v>
      </c>
    </row>
    <row r="117" spans="1:14" x14ac:dyDescent="0.25">
      <c r="A117">
        <v>5.5566199999999997</v>
      </c>
      <c r="B117" s="1">
        <f>DATE(2010,5,6) + TIME(13,21,31)</f>
        <v>40304.556608796294</v>
      </c>
      <c r="C117">
        <v>2400</v>
      </c>
      <c r="D117">
        <v>0</v>
      </c>
      <c r="E117">
        <v>0</v>
      </c>
      <c r="F117">
        <v>2400</v>
      </c>
      <c r="G117">
        <v>1404.4383545000001</v>
      </c>
      <c r="H117">
        <v>1390.0913086</v>
      </c>
      <c r="I117">
        <v>1250.3918457</v>
      </c>
      <c r="J117">
        <v>1210.9494629000001</v>
      </c>
      <c r="K117">
        <v>80</v>
      </c>
      <c r="L117">
        <v>79.786880492999998</v>
      </c>
      <c r="M117">
        <v>50</v>
      </c>
      <c r="N117">
        <v>14.995289803</v>
      </c>
    </row>
    <row r="118" spans="1:14" x14ac:dyDescent="0.25">
      <c r="A118">
        <v>5.6901549999999999</v>
      </c>
      <c r="B118" s="1">
        <f>DATE(2010,5,6) + TIME(16,33,49)</f>
        <v>40304.690150462964</v>
      </c>
      <c r="C118">
        <v>2400</v>
      </c>
      <c r="D118">
        <v>0</v>
      </c>
      <c r="E118">
        <v>0</v>
      </c>
      <c r="F118">
        <v>2400</v>
      </c>
      <c r="G118">
        <v>1404.2947998</v>
      </c>
      <c r="H118">
        <v>1389.9487305</v>
      </c>
      <c r="I118">
        <v>1250.3936768000001</v>
      </c>
      <c r="J118">
        <v>1210.9512939000001</v>
      </c>
      <c r="K118">
        <v>80</v>
      </c>
      <c r="L118">
        <v>79.796920775999993</v>
      </c>
      <c r="M118">
        <v>50</v>
      </c>
      <c r="N118">
        <v>14.995313643999999</v>
      </c>
    </row>
    <row r="119" spans="1:14" x14ac:dyDescent="0.25">
      <c r="A119">
        <v>5.8261450000000004</v>
      </c>
      <c r="B119" s="1">
        <f>DATE(2010,5,6) + TIME(19,49,38)</f>
        <v>40304.82613425926</v>
      </c>
      <c r="C119">
        <v>2400</v>
      </c>
      <c r="D119">
        <v>0</v>
      </c>
      <c r="E119">
        <v>0</v>
      </c>
      <c r="F119">
        <v>2400</v>
      </c>
      <c r="G119">
        <v>1404.1520995999999</v>
      </c>
      <c r="H119">
        <v>1389.8067627</v>
      </c>
      <c r="I119">
        <v>1250.3953856999999</v>
      </c>
      <c r="J119">
        <v>1210.9530029</v>
      </c>
      <c r="K119">
        <v>80</v>
      </c>
      <c r="L119">
        <v>79.805702209000003</v>
      </c>
      <c r="M119">
        <v>50</v>
      </c>
      <c r="N119">
        <v>14.995337486</v>
      </c>
    </row>
    <row r="120" spans="1:14" x14ac:dyDescent="0.25">
      <c r="A120">
        <v>5.964715</v>
      </c>
      <c r="B120" s="1">
        <f>DATE(2010,5,6) + TIME(23,9,11)</f>
        <v>40304.96471064815</v>
      </c>
      <c r="C120">
        <v>2400</v>
      </c>
      <c r="D120">
        <v>0</v>
      </c>
      <c r="E120">
        <v>0</v>
      </c>
      <c r="F120">
        <v>2400</v>
      </c>
      <c r="G120">
        <v>1404.0098877</v>
      </c>
      <c r="H120">
        <v>1389.6655272999999</v>
      </c>
      <c r="I120">
        <v>1250.3973389</v>
      </c>
      <c r="J120">
        <v>1210.9548339999999</v>
      </c>
      <c r="K120">
        <v>80</v>
      </c>
      <c r="L120">
        <v>79.813385010000005</v>
      </c>
      <c r="M120">
        <v>50</v>
      </c>
      <c r="N120">
        <v>14.995362282</v>
      </c>
    </row>
    <row r="121" spans="1:14" x14ac:dyDescent="0.25">
      <c r="A121">
        <v>6.1058909999999997</v>
      </c>
      <c r="B121" s="1">
        <f>DATE(2010,5,7) + TIME(2,32,28)</f>
        <v>40305.105879629627</v>
      </c>
      <c r="C121">
        <v>2400</v>
      </c>
      <c r="D121">
        <v>0</v>
      </c>
      <c r="E121">
        <v>0</v>
      </c>
      <c r="F121">
        <v>2400</v>
      </c>
      <c r="G121">
        <v>1403.8681641000001</v>
      </c>
      <c r="H121">
        <v>1389.5246582</v>
      </c>
      <c r="I121">
        <v>1250.3991699000001</v>
      </c>
      <c r="J121">
        <v>1210.9566649999999</v>
      </c>
      <c r="K121">
        <v>80</v>
      </c>
      <c r="L121">
        <v>79.820091247999997</v>
      </c>
      <c r="M121">
        <v>50</v>
      </c>
      <c r="N121">
        <v>14.995386123999999</v>
      </c>
    </row>
    <row r="122" spans="1:14" x14ac:dyDescent="0.25">
      <c r="A122">
        <v>6.249981</v>
      </c>
      <c r="B122" s="1">
        <f>DATE(2010,5,7) + TIME(5,59,58)</f>
        <v>40305.249976851854</v>
      </c>
      <c r="C122">
        <v>2400</v>
      </c>
      <c r="D122">
        <v>0</v>
      </c>
      <c r="E122">
        <v>0</v>
      </c>
      <c r="F122">
        <v>2400</v>
      </c>
      <c r="G122">
        <v>1403.7269286999999</v>
      </c>
      <c r="H122">
        <v>1389.3841553</v>
      </c>
      <c r="I122">
        <v>1250.401001</v>
      </c>
      <c r="J122">
        <v>1210.9584961</v>
      </c>
      <c r="K122">
        <v>80</v>
      </c>
      <c r="L122">
        <v>79.825965881000002</v>
      </c>
      <c r="M122">
        <v>50</v>
      </c>
      <c r="N122">
        <v>14.995409966</v>
      </c>
    </row>
    <row r="123" spans="1:14" x14ac:dyDescent="0.25">
      <c r="A123">
        <v>6.3971819999999999</v>
      </c>
      <c r="B123" s="1">
        <f>DATE(2010,5,7) + TIME(9,31,56)</f>
        <v>40305.397175925929</v>
      </c>
      <c r="C123">
        <v>2400</v>
      </c>
      <c r="D123">
        <v>0</v>
      </c>
      <c r="E123">
        <v>0</v>
      </c>
      <c r="F123">
        <v>2400</v>
      </c>
      <c r="G123">
        <v>1403.5859375</v>
      </c>
      <c r="H123">
        <v>1389.2440185999999</v>
      </c>
      <c r="I123">
        <v>1250.4029541</v>
      </c>
      <c r="J123">
        <v>1210.9604492000001</v>
      </c>
      <c r="K123">
        <v>80</v>
      </c>
      <c r="L123">
        <v>79.831115722999996</v>
      </c>
      <c r="M123">
        <v>50</v>
      </c>
      <c r="N123">
        <v>14.995434761</v>
      </c>
    </row>
    <row r="124" spans="1:14" x14ac:dyDescent="0.25">
      <c r="A124">
        <v>6.5477749999999997</v>
      </c>
      <c r="B124" s="1">
        <f>DATE(2010,5,7) + TIME(13,8,47)</f>
        <v>40305.547766203701</v>
      </c>
      <c r="C124">
        <v>2400</v>
      </c>
      <c r="D124">
        <v>0</v>
      </c>
      <c r="E124">
        <v>0</v>
      </c>
      <c r="F124">
        <v>2400</v>
      </c>
      <c r="G124">
        <v>1403.4449463000001</v>
      </c>
      <c r="H124">
        <v>1389.1038818</v>
      </c>
      <c r="I124">
        <v>1250.4049072</v>
      </c>
      <c r="J124">
        <v>1210.9622803</v>
      </c>
      <c r="K124">
        <v>80</v>
      </c>
      <c r="L124">
        <v>79.835624695000007</v>
      </c>
      <c r="M124">
        <v>50</v>
      </c>
      <c r="N124">
        <v>14.995458602999999</v>
      </c>
    </row>
    <row r="125" spans="1:14" x14ac:dyDescent="0.25">
      <c r="A125">
        <v>6.7020609999999996</v>
      </c>
      <c r="B125" s="1">
        <f>DATE(2010,5,7) + TIME(16,50,58)</f>
        <v>40305.702060185184</v>
      </c>
      <c r="C125">
        <v>2400</v>
      </c>
      <c r="D125">
        <v>0</v>
      </c>
      <c r="E125">
        <v>0</v>
      </c>
      <c r="F125">
        <v>2400</v>
      </c>
      <c r="G125">
        <v>1403.3038329999999</v>
      </c>
      <c r="H125">
        <v>1388.9637451000001</v>
      </c>
      <c r="I125">
        <v>1250.4069824000001</v>
      </c>
      <c r="J125">
        <v>1210.9642334</v>
      </c>
      <c r="K125">
        <v>80</v>
      </c>
      <c r="L125">
        <v>79.839584350999999</v>
      </c>
      <c r="M125">
        <v>50</v>
      </c>
      <c r="N125">
        <v>14.995482445</v>
      </c>
    </row>
    <row r="126" spans="1:14" x14ac:dyDescent="0.25">
      <c r="A126">
        <v>6.8603719999999999</v>
      </c>
      <c r="B126" s="1">
        <f>DATE(2010,5,7) + TIME(20,38,56)</f>
        <v>40305.86037037037</v>
      </c>
      <c r="C126">
        <v>2400</v>
      </c>
      <c r="D126">
        <v>0</v>
      </c>
      <c r="E126">
        <v>0</v>
      </c>
      <c r="F126">
        <v>2400</v>
      </c>
      <c r="G126">
        <v>1403.1624756000001</v>
      </c>
      <c r="H126">
        <v>1388.8232422000001</v>
      </c>
      <c r="I126">
        <v>1250.4090576000001</v>
      </c>
      <c r="J126">
        <v>1210.9663086</v>
      </c>
      <c r="K126">
        <v>80</v>
      </c>
      <c r="L126">
        <v>79.843070983999993</v>
      </c>
      <c r="M126">
        <v>50</v>
      </c>
      <c r="N126">
        <v>14.99550724</v>
      </c>
    </row>
    <row r="127" spans="1:14" x14ac:dyDescent="0.25">
      <c r="A127">
        <v>7.0230709999999998</v>
      </c>
      <c r="B127" s="1">
        <f>DATE(2010,5,8) + TIME(0,33,13)</f>
        <v>40306.02306712963</v>
      </c>
      <c r="C127">
        <v>2400</v>
      </c>
      <c r="D127">
        <v>0</v>
      </c>
      <c r="E127">
        <v>0</v>
      </c>
      <c r="F127">
        <v>2400</v>
      </c>
      <c r="G127">
        <v>1403.0205077999999</v>
      </c>
      <c r="H127">
        <v>1388.682251</v>
      </c>
      <c r="I127">
        <v>1250.4111327999999</v>
      </c>
      <c r="J127">
        <v>1210.9683838000001</v>
      </c>
      <c r="K127">
        <v>80</v>
      </c>
      <c r="L127">
        <v>79.846145629999995</v>
      </c>
      <c r="M127">
        <v>50</v>
      </c>
      <c r="N127">
        <v>14.995531081999999</v>
      </c>
    </row>
    <row r="128" spans="1:14" x14ac:dyDescent="0.25">
      <c r="A128">
        <v>7.1905659999999996</v>
      </c>
      <c r="B128" s="1">
        <f>DATE(2010,5,8) + TIME(4,34,24)</f>
        <v>40306.190555555557</v>
      </c>
      <c r="C128">
        <v>2400</v>
      </c>
      <c r="D128">
        <v>0</v>
      </c>
      <c r="E128">
        <v>0</v>
      </c>
      <c r="F128">
        <v>2400</v>
      </c>
      <c r="G128">
        <v>1402.8776855000001</v>
      </c>
      <c r="H128">
        <v>1388.5405272999999</v>
      </c>
      <c r="I128">
        <v>1250.4133300999999</v>
      </c>
      <c r="J128">
        <v>1210.9704589999999</v>
      </c>
      <c r="K128">
        <v>80</v>
      </c>
      <c r="L128">
        <v>79.848854064999998</v>
      </c>
      <c r="M128">
        <v>50</v>
      </c>
      <c r="N128">
        <v>14.995555877999999</v>
      </c>
    </row>
    <row r="129" spans="1:14" x14ac:dyDescent="0.25">
      <c r="A129">
        <v>7.3630639999999996</v>
      </c>
      <c r="B129" s="1">
        <f>DATE(2010,5,8) + TIME(8,42,48)</f>
        <v>40306.363055555557</v>
      </c>
      <c r="C129">
        <v>2400</v>
      </c>
      <c r="D129">
        <v>0</v>
      </c>
      <c r="E129">
        <v>0</v>
      </c>
      <c r="F129">
        <v>2400</v>
      </c>
      <c r="G129">
        <v>1402.7340088000001</v>
      </c>
      <c r="H129">
        <v>1388.3978271000001</v>
      </c>
      <c r="I129">
        <v>1250.4155272999999</v>
      </c>
      <c r="J129">
        <v>1210.9726562000001</v>
      </c>
      <c r="K129">
        <v>80</v>
      </c>
      <c r="L129">
        <v>79.851249695000007</v>
      </c>
      <c r="M129">
        <v>50</v>
      </c>
      <c r="N129">
        <v>14.995580672999999</v>
      </c>
    </row>
    <row r="130" spans="1:14" x14ac:dyDescent="0.25">
      <c r="A130">
        <v>7.5408010000000001</v>
      </c>
      <c r="B130" s="1">
        <f>DATE(2010,5,8) + TIME(12,58,45)</f>
        <v>40306.540798611109</v>
      </c>
      <c r="C130">
        <v>2400</v>
      </c>
      <c r="D130">
        <v>0</v>
      </c>
      <c r="E130">
        <v>0</v>
      </c>
      <c r="F130">
        <v>2400</v>
      </c>
      <c r="G130">
        <v>1402.5892334</v>
      </c>
      <c r="H130">
        <v>1388.2542725000001</v>
      </c>
      <c r="I130">
        <v>1250.4178466999999</v>
      </c>
      <c r="J130">
        <v>1210.9748535000001</v>
      </c>
      <c r="K130">
        <v>80</v>
      </c>
      <c r="L130">
        <v>79.853370666999993</v>
      </c>
      <c r="M130">
        <v>50</v>
      </c>
      <c r="N130">
        <v>14.995605468999999</v>
      </c>
    </row>
    <row r="131" spans="1:14" x14ac:dyDescent="0.25">
      <c r="A131">
        <v>7.7239829999999996</v>
      </c>
      <c r="B131" s="1">
        <f>DATE(2010,5,8) + TIME(17,22,32)</f>
        <v>40306.723981481482</v>
      </c>
      <c r="C131">
        <v>2400</v>
      </c>
      <c r="D131">
        <v>0</v>
      </c>
      <c r="E131">
        <v>0</v>
      </c>
      <c r="F131">
        <v>2400</v>
      </c>
      <c r="G131">
        <v>1402.4434814000001</v>
      </c>
      <c r="H131">
        <v>1388.1096190999999</v>
      </c>
      <c r="I131">
        <v>1250.4201660000001</v>
      </c>
      <c r="J131">
        <v>1210.9771728999999</v>
      </c>
      <c r="K131">
        <v>80</v>
      </c>
      <c r="L131">
        <v>79.855255127000007</v>
      </c>
      <c r="M131">
        <v>50</v>
      </c>
      <c r="N131">
        <v>14.995631218</v>
      </c>
    </row>
    <row r="132" spans="1:14" x14ac:dyDescent="0.25">
      <c r="A132">
        <v>7.9128210000000001</v>
      </c>
      <c r="B132" s="1">
        <f>DATE(2010,5,8) + TIME(21,54,27)</f>
        <v>40306.912812499999</v>
      </c>
      <c r="C132">
        <v>2400</v>
      </c>
      <c r="D132">
        <v>0</v>
      </c>
      <c r="E132">
        <v>0</v>
      </c>
      <c r="F132">
        <v>2400</v>
      </c>
      <c r="G132">
        <v>1402.2965088000001</v>
      </c>
      <c r="H132">
        <v>1387.9639893000001</v>
      </c>
      <c r="I132">
        <v>1250.4226074000001</v>
      </c>
      <c r="J132">
        <v>1210.9794922000001</v>
      </c>
      <c r="K132">
        <v>80</v>
      </c>
      <c r="L132">
        <v>79.856925963999998</v>
      </c>
      <c r="M132">
        <v>50</v>
      </c>
      <c r="N132">
        <v>14.995656967</v>
      </c>
    </row>
    <row r="133" spans="1:14" x14ac:dyDescent="0.25">
      <c r="A133">
        <v>8.1017030000000005</v>
      </c>
      <c r="B133" s="1">
        <f>DATE(2010,5,9) + TIME(2,26,27)</f>
        <v>40307.101701388892</v>
      </c>
      <c r="C133">
        <v>2400</v>
      </c>
      <c r="D133">
        <v>0</v>
      </c>
      <c r="E133">
        <v>0</v>
      </c>
      <c r="F133">
        <v>2400</v>
      </c>
      <c r="G133">
        <v>1402.1483154</v>
      </c>
      <c r="H133">
        <v>1387.8172606999999</v>
      </c>
      <c r="I133">
        <v>1250.4250488</v>
      </c>
      <c r="J133">
        <v>1210.9819336</v>
      </c>
      <c r="K133">
        <v>80</v>
      </c>
      <c r="L133">
        <v>79.858367920000006</v>
      </c>
      <c r="M133">
        <v>50</v>
      </c>
      <c r="N133">
        <v>14.995681763</v>
      </c>
    </row>
    <row r="134" spans="1:14" x14ac:dyDescent="0.25">
      <c r="A134">
        <v>8.2908030000000004</v>
      </c>
      <c r="B134" s="1">
        <f>DATE(2010,5,9) + TIME(6,58,45)</f>
        <v>40307.290798611109</v>
      </c>
      <c r="C134">
        <v>2400</v>
      </c>
      <c r="D134">
        <v>0</v>
      </c>
      <c r="E134">
        <v>0</v>
      </c>
      <c r="F134">
        <v>2400</v>
      </c>
      <c r="G134">
        <v>1402.003418</v>
      </c>
      <c r="H134">
        <v>1387.6738281</v>
      </c>
      <c r="I134">
        <v>1250.4274902</v>
      </c>
      <c r="J134">
        <v>1210.9842529</v>
      </c>
      <c r="K134">
        <v>80</v>
      </c>
      <c r="L134">
        <v>79.859626770000006</v>
      </c>
      <c r="M134">
        <v>50</v>
      </c>
      <c r="N134">
        <v>14.995706558</v>
      </c>
    </row>
    <row r="135" spans="1:14" x14ac:dyDescent="0.25">
      <c r="A135">
        <v>8.4804349999999999</v>
      </c>
      <c r="B135" s="1">
        <f>DATE(2010,5,9) + TIME(11,31,49)</f>
        <v>40307.480428240742</v>
      </c>
      <c r="C135">
        <v>2400</v>
      </c>
      <c r="D135">
        <v>0</v>
      </c>
      <c r="E135">
        <v>0</v>
      </c>
      <c r="F135">
        <v>2400</v>
      </c>
      <c r="G135">
        <v>1401.8614502</v>
      </c>
      <c r="H135">
        <v>1387.5334473</v>
      </c>
      <c r="I135">
        <v>1250.4299315999999</v>
      </c>
      <c r="J135">
        <v>1210.9866943</v>
      </c>
      <c r="K135">
        <v>80</v>
      </c>
      <c r="L135">
        <v>79.860733031999999</v>
      </c>
      <c r="M135">
        <v>50</v>
      </c>
      <c r="N135">
        <v>14.995730399999999</v>
      </c>
    </row>
    <row r="136" spans="1:14" x14ac:dyDescent="0.25">
      <c r="A136">
        <v>8.670871</v>
      </c>
      <c r="B136" s="1">
        <f>DATE(2010,5,9) + TIME(16,6,3)</f>
        <v>40307.670868055553</v>
      </c>
      <c r="C136">
        <v>2400</v>
      </c>
      <c r="D136">
        <v>0</v>
      </c>
      <c r="E136">
        <v>0</v>
      </c>
      <c r="F136">
        <v>2400</v>
      </c>
      <c r="G136">
        <v>1401.722168</v>
      </c>
      <c r="H136">
        <v>1387.3957519999999</v>
      </c>
      <c r="I136">
        <v>1250.4323730000001</v>
      </c>
      <c r="J136">
        <v>1210.9891356999999</v>
      </c>
      <c r="K136">
        <v>80</v>
      </c>
      <c r="L136">
        <v>79.861709594999994</v>
      </c>
      <c r="M136">
        <v>50</v>
      </c>
      <c r="N136">
        <v>14.995754242</v>
      </c>
    </row>
    <row r="137" spans="1:14" x14ac:dyDescent="0.25">
      <c r="A137">
        <v>8.8624189999999992</v>
      </c>
      <c r="B137" s="1">
        <f>DATE(2010,5,9) + TIME(20,41,53)</f>
        <v>40307.86241898148</v>
      </c>
      <c r="C137">
        <v>2400</v>
      </c>
      <c r="D137">
        <v>0</v>
      </c>
      <c r="E137">
        <v>0</v>
      </c>
      <c r="F137">
        <v>2400</v>
      </c>
      <c r="G137">
        <v>1401.5853271000001</v>
      </c>
      <c r="H137">
        <v>1387.2604980000001</v>
      </c>
      <c r="I137">
        <v>1250.4349365</v>
      </c>
      <c r="J137">
        <v>1210.9914550999999</v>
      </c>
      <c r="K137">
        <v>80</v>
      </c>
      <c r="L137">
        <v>79.862579346000004</v>
      </c>
      <c r="M137">
        <v>50</v>
      </c>
      <c r="N137">
        <v>14.995778083999999</v>
      </c>
    </row>
    <row r="138" spans="1:14" x14ac:dyDescent="0.25">
      <c r="A138">
        <v>9.0553860000000004</v>
      </c>
      <c r="B138" s="1">
        <f>DATE(2010,5,10) + TIME(1,19,45)</f>
        <v>40308.055381944447</v>
      </c>
      <c r="C138">
        <v>2400</v>
      </c>
      <c r="D138">
        <v>0</v>
      </c>
      <c r="E138">
        <v>0</v>
      </c>
      <c r="F138">
        <v>2400</v>
      </c>
      <c r="G138">
        <v>1401.4504394999999</v>
      </c>
      <c r="H138">
        <v>1387.1273193</v>
      </c>
      <c r="I138">
        <v>1250.4373779</v>
      </c>
      <c r="J138">
        <v>1210.9938964999999</v>
      </c>
      <c r="K138">
        <v>80</v>
      </c>
      <c r="L138">
        <v>79.863349915000001</v>
      </c>
      <c r="M138">
        <v>50</v>
      </c>
      <c r="N138">
        <v>14.995800972</v>
      </c>
    </row>
    <row r="139" spans="1:14" x14ac:dyDescent="0.25">
      <c r="A139">
        <v>9.2500640000000001</v>
      </c>
      <c r="B139" s="1">
        <f>DATE(2010,5,10) + TIME(6,0,5)</f>
        <v>40308.250057870369</v>
      </c>
      <c r="C139">
        <v>2400</v>
      </c>
      <c r="D139">
        <v>0</v>
      </c>
      <c r="E139">
        <v>0</v>
      </c>
      <c r="F139">
        <v>2400</v>
      </c>
      <c r="G139">
        <v>1401.3173827999999</v>
      </c>
      <c r="H139">
        <v>1386.9960937999999</v>
      </c>
      <c r="I139">
        <v>1250.4398193</v>
      </c>
      <c r="J139">
        <v>1210.9963379000001</v>
      </c>
      <c r="K139">
        <v>80</v>
      </c>
      <c r="L139">
        <v>79.864051818999997</v>
      </c>
      <c r="M139">
        <v>50</v>
      </c>
      <c r="N139">
        <v>14.995824814000001</v>
      </c>
    </row>
    <row r="140" spans="1:14" x14ac:dyDescent="0.25">
      <c r="A140">
        <v>9.4467499999999998</v>
      </c>
      <c r="B140" s="1">
        <f>DATE(2010,5,10) + TIME(10,43,19)</f>
        <v>40308.446747685186</v>
      </c>
      <c r="C140">
        <v>2400</v>
      </c>
      <c r="D140">
        <v>0</v>
      </c>
      <c r="E140">
        <v>0</v>
      </c>
      <c r="F140">
        <v>2400</v>
      </c>
      <c r="G140">
        <v>1401.1857910000001</v>
      </c>
      <c r="H140">
        <v>1386.8663329999999</v>
      </c>
      <c r="I140">
        <v>1250.4423827999999</v>
      </c>
      <c r="J140">
        <v>1210.9987793</v>
      </c>
      <c r="K140">
        <v>80</v>
      </c>
      <c r="L140">
        <v>79.864677428999997</v>
      </c>
      <c r="M140">
        <v>50</v>
      </c>
      <c r="N140">
        <v>14.995847702000001</v>
      </c>
    </row>
    <row r="141" spans="1:14" x14ac:dyDescent="0.25">
      <c r="A141">
        <v>9.6457470000000001</v>
      </c>
      <c r="B141" s="1">
        <f>DATE(2010,5,10) + TIME(15,29,52)</f>
        <v>40308.645740740743</v>
      </c>
      <c r="C141">
        <v>2400</v>
      </c>
      <c r="D141">
        <v>0</v>
      </c>
      <c r="E141">
        <v>0</v>
      </c>
      <c r="F141">
        <v>2400</v>
      </c>
      <c r="G141">
        <v>1401.0555420000001</v>
      </c>
      <c r="H141">
        <v>1386.7379149999999</v>
      </c>
      <c r="I141">
        <v>1250.4449463000001</v>
      </c>
      <c r="J141">
        <v>1211.0013428</v>
      </c>
      <c r="K141">
        <v>80</v>
      </c>
      <c r="L141">
        <v>79.865242003999995</v>
      </c>
      <c r="M141">
        <v>50</v>
      </c>
      <c r="N141">
        <v>14.995870589999999</v>
      </c>
    </row>
    <row r="142" spans="1:14" x14ac:dyDescent="0.25">
      <c r="A142">
        <v>9.8470619999999993</v>
      </c>
      <c r="B142" s="1">
        <f>DATE(2010,5,10) + TIME(20,19,46)</f>
        <v>40308.847060185188</v>
      </c>
      <c r="C142">
        <v>2400</v>
      </c>
      <c r="D142">
        <v>0</v>
      </c>
      <c r="E142">
        <v>0</v>
      </c>
      <c r="F142">
        <v>2400</v>
      </c>
      <c r="G142">
        <v>1400.9263916</v>
      </c>
      <c r="H142">
        <v>1386.6107178</v>
      </c>
      <c r="I142">
        <v>1250.4475098</v>
      </c>
      <c r="J142">
        <v>1211.0037841999999</v>
      </c>
      <c r="K142">
        <v>80</v>
      </c>
      <c r="L142">
        <v>79.865760803000001</v>
      </c>
      <c r="M142">
        <v>50</v>
      </c>
      <c r="N142">
        <v>14.995892525</v>
      </c>
    </row>
    <row r="143" spans="1:14" x14ac:dyDescent="0.25">
      <c r="A143">
        <v>10.050700000000001</v>
      </c>
      <c r="B143" s="1">
        <f>DATE(2010,5,11) + TIME(1,13,0)</f>
        <v>40309.050694444442</v>
      </c>
      <c r="C143">
        <v>2400</v>
      </c>
      <c r="D143">
        <v>0</v>
      </c>
      <c r="E143">
        <v>0</v>
      </c>
      <c r="F143">
        <v>2400</v>
      </c>
      <c r="G143">
        <v>1400.7982178</v>
      </c>
      <c r="H143">
        <v>1386.4846190999999</v>
      </c>
      <c r="I143">
        <v>1250.4500731999999</v>
      </c>
      <c r="J143">
        <v>1211.0063477000001</v>
      </c>
      <c r="K143">
        <v>80</v>
      </c>
      <c r="L143">
        <v>79.866226196</v>
      </c>
      <c r="M143">
        <v>50</v>
      </c>
      <c r="N143">
        <v>14.995915413000001</v>
      </c>
    </row>
    <row r="144" spans="1:14" x14ac:dyDescent="0.25">
      <c r="A144">
        <v>10.256963000000001</v>
      </c>
      <c r="B144" s="1">
        <f>DATE(2010,5,11) + TIME(6,10,1)</f>
        <v>40309.256956018522</v>
      </c>
      <c r="C144">
        <v>2400</v>
      </c>
      <c r="D144">
        <v>0</v>
      </c>
      <c r="E144">
        <v>0</v>
      </c>
      <c r="F144">
        <v>2400</v>
      </c>
      <c r="G144">
        <v>1400.6711425999999</v>
      </c>
      <c r="H144">
        <v>1386.3596190999999</v>
      </c>
      <c r="I144">
        <v>1250.4527588000001</v>
      </c>
      <c r="J144">
        <v>1211.0089111</v>
      </c>
      <c r="K144">
        <v>80</v>
      </c>
      <c r="L144">
        <v>79.866661071999999</v>
      </c>
      <c r="M144">
        <v>50</v>
      </c>
      <c r="N144">
        <v>14.995937347</v>
      </c>
    </row>
    <row r="145" spans="1:14" x14ac:dyDescent="0.25">
      <c r="A145">
        <v>10.466165999999999</v>
      </c>
      <c r="B145" s="1">
        <f>DATE(2010,5,11) + TIME(11,11,16)</f>
        <v>40309.466157407405</v>
      </c>
      <c r="C145">
        <v>2400</v>
      </c>
      <c r="D145">
        <v>0</v>
      </c>
      <c r="E145">
        <v>0</v>
      </c>
      <c r="F145">
        <v>2400</v>
      </c>
      <c r="G145">
        <v>1400.5447998</v>
      </c>
      <c r="H145">
        <v>1386.2355957</v>
      </c>
      <c r="I145">
        <v>1250.4554443</v>
      </c>
      <c r="J145">
        <v>1211.0114745999999</v>
      </c>
      <c r="K145">
        <v>80</v>
      </c>
      <c r="L145">
        <v>79.867050171000002</v>
      </c>
      <c r="M145">
        <v>50</v>
      </c>
      <c r="N145">
        <v>14.995960236</v>
      </c>
    </row>
    <row r="146" spans="1:14" x14ac:dyDescent="0.25">
      <c r="A146">
        <v>10.678634000000001</v>
      </c>
      <c r="B146" s="1">
        <f>DATE(2010,5,11) + TIME(16,17,13)</f>
        <v>40309.678622685184</v>
      </c>
      <c r="C146">
        <v>2400</v>
      </c>
      <c r="D146">
        <v>0</v>
      </c>
      <c r="E146">
        <v>0</v>
      </c>
      <c r="F146">
        <v>2400</v>
      </c>
      <c r="G146">
        <v>1400.4191894999999</v>
      </c>
      <c r="H146">
        <v>1386.1121826000001</v>
      </c>
      <c r="I146">
        <v>1250.4581298999999</v>
      </c>
      <c r="J146">
        <v>1211.0141602000001</v>
      </c>
      <c r="K146">
        <v>80</v>
      </c>
      <c r="L146">
        <v>79.867416382000002</v>
      </c>
      <c r="M146">
        <v>50</v>
      </c>
      <c r="N146">
        <v>14.99598217</v>
      </c>
    </row>
    <row r="147" spans="1:14" x14ac:dyDescent="0.25">
      <c r="A147">
        <v>10.894762999999999</v>
      </c>
      <c r="B147" s="1">
        <f>DATE(2010,5,11) + TIME(21,28,27)</f>
        <v>40309.894756944443</v>
      </c>
      <c r="C147">
        <v>2400</v>
      </c>
      <c r="D147">
        <v>0</v>
      </c>
      <c r="E147">
        <v>0</v>
      </c>
      <c r="F147">
        <v>2400</v>
      </c>
      <c r="G147">
        <v>1400.2940673999999</v>
      </c>
      <c r="H147">
        <v>1385.9893798999999</v>
      </c>
      <c r="I147">
        <v>1250.4608154</v>
      </c>
      <c r="J147">
        <v>1211.0168457</v>
      </c>
      <c r="K147">
        <v>80</v>
      </c>
      <c r="L147">
        <v>79.867752074999999</v>
      </c>
      <c r="M147">
        <v>50</v>
      </c>
      <c r="N147">
        <v>14.996004105000001</v>
      </c>
    </row>
    <row r="148" spans="1:14" x14ac:dyDescent="0.25">
      <c r="A148">
        <v>11.114929</v>
      </c>
      <c r="B148" s="1">
        <f>DATE(2010,5,12) + TIME(2,45,29)</f>
        <v>40310.114918981482</v>
      </c>
      <c r="C148">
        <v>2400</v>
      </c>
      <c r="D148">
        <v>0</v>
      </c>
      <c r="E148">
        <v>0</v>
      </c>
      <c r="F148">
        <v>2400</v>
      </c>
      <c r="G148">
        <v>1400.1691894999999</v>
      </c>
      <c r="H148">
        <v>1385.8668213000001</v>
      </c>
      <c r="I148">
        <v>1250.4636230000001</v>
      </c>
      <c r="J148">
        <v>1211.0195312000001</v>
      </c>
      <c r="K148">
        <v>80</v>
      </c>
      <c r="L148">
        <v>79.868057250999996</v>
      </c>
      <c r="M148">
        <v>50</v>
      </c>
      <c r="N148">
        <v>14.996026039</v>
      </c>
    </row>
    <row r="149" spans="1:14" x14ac:dyDescent="0.25">
      <c r="A149">
        <v>11.339483</v>
      </c>
      <c r="B149" s="1">
        <f>DATE(2010,5,12) + TIME(8,8,51)</f>
        <v>40310.339479166665</v>
      </c>
      <c r="C149">
        <v>2400</v>
      </c>
      <c r="D149">
        <v>0</v>
      </c>
      <c r="E149">
        <v>0</v>
      </c>
      <c r="F149">
        <v>2400</v>
      </c>
      <c r="G149">
        <v>1400.0444336</v>
      </c>
      <c r="H149">
        <v>1385.7445068</v>
      </c>
      <c r="I149">
        <v>1250.4664307</v>
      </c>
      <c r="J149">
        <v>1211.0222168</v>
      </c>
      <c r="K149">
        <v>80</v>
      </c>
      <c r="L149">
        <v>79.868347168</v>
      </c>
      <c r="M149">
        <v>50</v>
      </c>
      <c r="N149">
        <v>14.996047974</v>
      </c>
    </row>
    <row r="150" spans="1:14" x14ac:dyDescent="0.25">
      <c r="A150">
        <v>11.568847999999999</v>
      </c>
      <c r="B150" s="1">
        <f>DATE(2010,5,12) + TIME(13,39,8)</f>
        <v>40310.568842592591</v>
      </c>
      <c r="C150">
        <v>2400</v>
      </c>
      <c r="D150">
        <v>0</v>
      </c>
      <c r="E150">
        <v>0</v>
      </c>
      <c r="F150">
        <v>2400</v>
      </c>
      <c r="G150">
        <v>1399.9195557</v>
      </c>
      <c r="H150">
        <v>1385.6221923999999</v>
      </c>
      <c r="I150">
        <v>1250.4693603999999</v>
      </c>
      <c r="J150">
        <v>1211.0251464999999</v>
      </c>
      <c r="K150">
        <v>80</v>
      </c>
      <c r="L150">
        <v>79.868614196999999</v>
      </c>
      <c r="M150">
        <v>50</v>
      </c>
      <c r="N150">
        <v>14.996069908000001</v>
      </c>
    </row>
    <row r="151" spans="1:14" x14ac:dyDescent="0.25">
      <c r="A151">
        <v>11.803490999999999</v>
      </c>
      <c r="B151" s="1">
        <f>DATE(2010,5,12) + TIME(19,17,1)</f>
        <v>40310.803483796299</v>
      </c>
      <c r="C151">
        <v>2400</v>
      </c>
      <c r="D151">
        <v>0</v>
      </c>
      <c r="E151">
        <v>0</v>
      </c>
      <c r="F151">
        <v>2400</v>
      </c>
      <c r="G151">
        <v>1399.7944336</v>
      </c>
      <c r="H151">
        <v>1385.4997559000001</v>
      </c>
      <c r="I151">
        <v>1250.4722899999999</v>
      </c>
      <c r="J151">
        <v>1211.0279541</v>
      </c>
      <c r="K151">
        <v>80</v>
      </c>
      <c r="L151">
        <v>79.868865967000005</v>
      </c>
      <c r="M151">
        <v>50</v>
      </c>
      <c r="N151">
        <v>14.996092795999999</v>
      </c>
    </row>
    <row r="152" spans="1:14" x14ac:dyDescent="0.25">
      <c r="A152">
        <v>12.04392</v>
      </c>
      <c r="B152" s="1">
        <f>DATE(2010,5,13) + TIME(1,3,14)</f>
        <v>40311.043912037036</v>
      </c>
      <c r="C152">
        <v>2400</v>
      </c>
      <c r="D152">
        <v>0</v>
      </c>
      <c r="E152">
        <v>0</v>
      </c>
      <c r="F152">
        <v>2400</v>
      </c>
      <c r="G152">
        <v>1399.6688231999999</v>
      </c>
      <c r="H152">
        <v>1385.3768310999999</v>
      </c>
      <c r="I152">
        <v>1250.4753418</v>
      </c>
      <c r="J152">
        <v>1211.0308838000001</v>
      </c>
      <c r="K152">
        <v>80</v>
      </c>
      <c r="L152">
        <v>79.869094849000007</v>
      </c>
      <c r="M152">
        <v>50</v>
      </c>
      <c r="N152">
        <v>14.996114731</v>
      </c>
    </row>
    <row r="153" spans="1:14" x14ac:dyDescent="0.25">
      <c r="A153">
        <v>12.290146999999999</v>
      </c>
      <c r="B153" s="1">
        <f>DATE(2010,5,13) + TIME(6,57,48)</f>
        <v>40311.290138888886</v>
      </c>
      <c r="C153">
        <v>2400</v>
      </c>
      <c r="D153">
        <v>0</v>
      </c>
      <c r="E153">
        <v>0</v>
      </c>
      <c r="F153">
        <v>2400</v>
      </c>
      <c r="G153">
        <v>1399.5426024999999</v>
      </c>
      <c r="H153">
        <v>1385.253418</v>
      </c>
      <c r="I153">
        <v>1250.4785156</v>
      </c>
      <c r="J153">
        <v>1211.0339355000001</v>
      </c>
      <c r="K153">
        <v>80</v>
      </c>
      <c r="L153">
        <v>79.869316100999995</v>
      </c>
      <c r="M153">
        <v>50</v>
      </c>
      <c r="N153">
        <v>14.996136665</v>
      </c>
    </row>
    <row r="154" spans="1:14" x14ac:dyDescent="0.25">
      <c r="A154">
        <v>12.542343000000001</v>
      </c>
      <c r="B154" s="1">
        <f>DATE(2010,5,13) + TIME(13,0,58)</f>
        <v>40311.542337962965</v>
      </c>
      <c r="C154">
        <v>2400</v>
      </c>
      <c r="D154">
        <v>0</v>
      </c>
      <c r="E154">
        <v>0</v>
      </c>
      <c r="F154">
        <v>2400</v>
      </c>
      <c r="G154">
        <v>1399.4158935999999</v>
      </c>
      <c r="H154">
        <v>1385.1295166</v>
      </c>
      <c r="I154">
        <v>1250.4816894999999</v>
      </c>
      <c r="J154">
        <v>1211.0369873</v>
      </c>
      <c r="K154">
        <v>80</v>
      </c>
      <c r="L154">
        <v>79.869522094999994</v>
      </c>
      <c r="M154">
        <v>50</v>
      </c>
      <c r="N154">
        <v>14.996159554</v>
      </c>
    </row>
    <row r="155" spans="1:14" x14ac:dyDescent="0.25">
      <c r="A155">
        <v>12.800684</v>
      </c>
      <c r="B155" s="1">
        <f>DATE(2010,5,13) + TIME(19,12,59)</f>
        <v>40311.800682870373</v>
      </c>
      <c r="C155">
        <v>2400</v>
      </c>
      <c r="D155">
        <v>0</v>
      </c>
      <c r="E155">
        <v>0</v>
      </c>
      <c r="F155">
        <v>2400</v>
      </c>
      <c r="G155">
        <v>1399.2884521000001</v>
      </c>
      <c r="H155">
        <v>1385.005249</v>
      </c>
      <c r="I155">
        <v>1250.4848632999999</v>
      </c>
      <c r="J155">
        <v>1211.0401611</v>
      </c>
      <c r="K155">
        <v>80</v>
      </c>
      <c r="L155">
        <v>79.869712829999997</v>
      </c>
      <c r="M155">
        <v>50</v>
      </c>
      <c r="N155">
        <v>14.996182442</v>
      </c>
    </row>
    <row r="156" spans="1:14" x14ac:dyDescent="0.25">
      <c r="A156">
        <v>13.062951</v>
      </c>
      <c r="B156" s="1">
        <f>DATE(2010,5,14) + TIME(1,30,38)</f>
        <v>40312.062939814816</v>
      </c>
      <c r="C156">
        <v>2400</v>
      </c>
      <c r="D156">
        <v>0</v>
      </c>
      <c r="E156">
        <v>0</v>
      </c>
      <c r="F156">
        <v>2400</v>
      </c>
      <c r="G156">
        <v>1399.1605225000001</v>
      </c>
      <c r="H156">
        <v>1384.8803711</v>
      </c>
      <c r="I156">
        <v>1250.4881591999999</v>
      </c>
      <c r="J156">
        <v>1211.0433350000001</v>
      </c>
      <c r="K156">
        <v>80</v>
      </c>
      <c r="L156">
        <v>79.869888306000007</v>
      </c>
      <c r="M156">
        <v>50</v>
      </c>
      <c r="N156">
        <v>14.996204376</v>
      </c>
    </row>
    <row r="157" spans="1:14" x14ac:dyDescent="0.25">
      <c r="A157">
        <v>13.32569</v>
      </c>
      <c r="B157" s="1">
        <f>DATE(2010,5,14) + TIME(7,48,59)</f>
        <v>40312.325682870367</v>
      </c>
      <c r="C157">
        <v>2400</v>
      </c>
      <c r="D157">
        <v>0</v>
      </c>
      <c r="E157">
        <v>0</v>
      </c>
      <c r="F157">
        <v>2400</v>
      </c>
      <c r="G157">
        <v>1399.0330810999999</v>
      </c>
      <c r="H157">
        <v>1384.7559814000001</v>
      </c>
      <c r="I157">
        <v>1250.4915771000001</v>
      </c>
      <c r="J157">
        <v>1211.0466309000001</v>
      </c>
      <c r="K157">
        <v>80</v>
      </c>
      <c r="L157">
        <v>79.870056152000004</v>
      </c>
      <c r="M157">
        <v>50</v>
      </c>
      <c r="N157">
        <v>14.996227264</v>
      </c>
    </row>
    <row r="158" spans="1:14" x14ac:dyDescent="0.25">
      <c r="A158">
        <v>13.589295</v>
      </c>
      <c r="B158" s="1">
        <f>DATE(2010,5,14) + TIME(14,8,35)</f>
        <v>40312.58929398148</v>
      </c>
      <c r="C158">
        <v>2400</v>
      </c>
      <c r="D158">
        <v>0</v>
      </c>
      <c r="E158">
        <v>0</v>
      </c>
      <c r="F158">
        <v>2400</v>
      </c>
      <c r="G158">
        <v>1398.9078368999999</v>
      </c>
      <c r="H158">
        <v>1384.6339111</v>
      </c>
      <c r="I158">
        <v>1250.4949951000001</v>
      </c>
      <c r="J158">
        <v>1211.0499268000001</v>
      </c>
      <c r="K158">
        <v>80</v>
      </c>
      <c r="L158">
        <v>79.870208739999995</v>
      </c>
      <c r="M158">
        <v>50</v>
      </c>
      <c r="N158">
        <v>14.996249198999999</v>
      </c>
    </row>
    <row r="159" spans="1:14" x14ac:dyDescent="0.25">
      <c r="A159">
        <v>13.854238</v>
      </c>
      <c r="B159" s="1">
        <f>DATE(2010,5,14) + TIME(20,30,6)</f>
        <v>40312.85423611111</v>
      </c>
      <c r="C159">
        <v>2400</v>
      </c>
      <c r="D159">
        <v>0</v>
      </c>
      <c r="E159">
        <v>0</v>
      </c>
      <c r="F159">
        <v>2400</v>
      </c>
      <c r="G159">
        <v>1398.7845459</v>
      </c>
      <c r="H159">
        <v>1384.5139160000001</v>
      </c>
      <c r="I159">
        <v>1250.4982910000001</v>
      </c>
      <c r="J159">
        <v>1211.0532227000001</v>
      </c>
      <c r="K159">
        <v>80</v>
      </c>
      <c r="L159">
        <v>79.870353699000006</v>
      </c>
      <c r="M159">
        <v>50</v>
      </c>
      <c r="N159">
        <v>14.996271133</v>
      </c>
    </row>
    <row r="160" spans="1:14" x14ac:dyDescent="0.25">
      <c r="A160">
        <v>14.120945000000001</v>
      </c>
      <c r="B160" s="1">
        <f>DATE(2010,5,15) + TIME(2,54,9)</f>
        <v>40313.120937500003</v>
      </c>
      <c r="C160">
        <v>2400</v>
      </c>
      <c r="D160">
        <v>0</v>
      </c>
      <c r="E160">
        <v>0</v>
      </c>
      <c r="F160">
        <v>2400</v>
      </c>
      <c r="G160">
        <v>1398.6629639</v>
      </c>
      <c r="H160">
        <v>1384.3955077999999</v>
      </c>
      <c r="I160">
        <v>1250.5017089999999</v>
      </c>
      <c r="J160">
        <v>1211.0565185999999</v>
      </c>
      <c r="K160">
        <v>80</v>
      </c>
      <c r="L160">
        <v>79.870483398000005</v>
      </c>
      <c r="M160">
        <v>50</v>
      </c>
      <c r="N160">
        <v>14.996292113999999</v>
      </c>
    </row>
    <row r="161" spans="1:14" x14ac:dyDescent="0.25">
      <c r="A161">
        <v>14.38983</v>
      </c>
      <c r="B161" s="1">
        <f>DATE(2010,5,15) + TIME(9,21,21)</f>
        <v>40313.389826388891</v>
      </c>
      <c r="C161">
        <v>2400</v>
      </c>
      <c r="D161">
        <v>0</v>
      </c>
      <c r="E161">
        <v>0</v>
      </c>
      <c r="F161">
        <v>2400</v>
      </c>
      <c r="G161">
        <v>1398.5427245999999</v>
      </c>
      <c r="H161">
        <v>1384.2785644999999</v>
      </c>
      <c r="I161">
        <v>1250.5051269999999</v>
      </c>
      <c r="J161">
        <v>1211.0598144999999</v>
      </c>
      <c r="K161">
        <v>80</v>
      </c>
      <c r="L161">
        <v>79.870605468999997</v>
      </c>
      <c r="M161">
        <v>50</v>
      </c>
      <c r="N161">
        <v>14.996314049</v>
      </c>
    </row>
    <row r="162" spans="1:14" x14ac:dyDescent="0.25">
      <c r="A162">
        <v>14.660278999999999</v>
      </c>
      <c r="B162" s="1">
        <f>DATE(2010,5,15) + TIME(15,50,48)</f>
        <v>40313.660277777781</v>
      </c>
      <c r="C162">
        <v>2400</v>
      </c>
      <c r="D162">
        <v>0</v>
      </c>
      <c r="E162">
        <v>0</v>
      </c>
      <c r="F162">
        <v>2400</v>
      </c>
      <c r="G162">
        <v>1398.4237060999999</v>
      </c>
      <c r="H162">
        <v>1384.1629639</v>
      </c>
      <c r="I162">
        <v>1250.5086670000001</v>
      </c>
      <c r="J162">
        <v>1211.0632324000001</v>
      </c>
      <c r="K162">
        <v>80</v>
      </c>
      <c r="L162">
        <v>79.870727539000001</v>
      </c>
      <c r="M162">
        <v>50</v>
      </c>
      <c r="N162">
        <v>14.996335029999999</v>
      </c>
    </row>
    <row r="163" spans="1:14" x14ac:dyDescent="0.25">
      <c r="A163">
        <v>14.932691999999999</v>
      </c>
      <c r="B163" s="1">
        <f>DATE(2010,5,15) + TIME(22,23,4)</f>
        <v>40313.932685185187</v>
      </c>
      <c r="C163">
        <v>2400</v>
      </c>
      <c r="D163">
        <v>0</v>
      </c>
      <c r="E163">
        <v>0</v>
      </c>
      <c r="F163">
        <v>2400</v>
      </c>
      <c r="G163">
        <v>1398.3062743999999</v>
      </c>
      <c r="H163">
        <v>1384.0487060999999</v>
      </c>
      <c r="I163">
        <v>1250.5120850000001</v>
      </c>
      <c r="J163">
        <v>1211.0665283000001</v>
      </c>
      <c r="K163">
        <v>80</v>
      </c>
      <c r="L163">
        <v>79.870834350999999</v>
      </c>
      <c r="M163">
        <v>50</v>
      </c>
      <c r="N163">
        <v>14.99635601</v>
      </c>
    </row>
    <row r="164" spans="1:14" x14ac:dyDescent="0.25">
      <c r="A164">
        <v>15.207464</v>
      </c>
      <c r="B164" s="1">
        <f>DATE(2010,5,16) + TIME(4,58,44)</f>
        <v>40314.207453703704</v>
      </c>
      <c r="C164">
        <v>2400</v>
      </c>
      <c r="D164">
        <v>0</v>
      </c>
      <c r="E164">
        <v>0</v>
      </c>
      <c r="F164">
        <v>2400</v>
      </c>
      <c r="G164">
        <v>1398.1899414</v>
      </c>
      <c r="H164">
        <v>1383.9357910000001</v>
      </c>
      <c r="I164">
        <v>1250.515625</v>
      </c>
      <c r="J164">
        <v>1211.0699463000001</v>
      </c>
      <c r="K164">
        <v>80</v>
      </c>
      <c r="L164">
        <v>79.870941161999994</v>
      </c>
      <c r="M164">
        <v>50</v>
      </c>
      <c r="N164">
        <v>14.996376991</v>
      </c>
    </row>
    <row r="165" spans="1:14" x14ac:dyDescent="0.25">
      <c r="A165">
        <v>15.484999</v>
      </c>
      <c r="B165" s="1">
        <f>DATE(2010,5,16) + TIME(11,38,23)</f>
        <v>40314.484988425924</v>
      </c>
      <c r="C165">
        <v>2400</v>
      </c>
      <c r="D165">
        <v>0</v>
      </c>
      <c r="E165">
        <v>0</v>
      </c>
      <c r="F165">
        <v>2400</v>
      </c>
      <c r="G165">
        <v>1398.074707</v>
      </c>
      <c r="H165">
        <v>1383.8239745999999</v>
      </c>
      <c r="I165">
        <v>1250.5191649999999</v>
      </c>
      <c r="J165">
        <v>1211.0733643000001</v>
      </c>
      <c r="K165">
        <v>80</v>
      </c>
      <c r="L165">
        <v>79.871040343999994</v>
      </c>
      <c r="M165">
        <v>50</v>
      </c>
      <c r="N165">
        <v>14.996397018</v>
      </c>
    </row>
    <row r="166" spans="1:14" x14ac:dyDescent="0.25">
      <c r="A166">
        <v>15.765713</v>
      </c>
      <c r="B166" s="1">
        <f>DATE(2010,5,16) + TIME(18,22,37)</f>
        <v>40314.765706018516</v>
      </c>
      <c r="C166">
        <v>2400</v>
      </c>
      <c r="D166">
        <v>0</v>
      </c>
      <c r="E166">
        <v>0</v>
      </c>
      <c r="F166">
        <v>2400</v>
      </c>
      <c r="G166">
        <v>1397.9603271000001</v>
      </c>
      <c r="H166">
        <v>1383.7130127</v>
      </c>
      <c r="I166">
        <v>1250.5227050999999</v>
      </c>
      <c r="J166">
        <v>1211.0769043</v>
      </c>
      <c r="K166">
        <v>80</v>
      </c>
      <c r="L166">
        <v>79.871139525999993</v>
      </c>
      <c r="M166">
        <v>50</v>
      </c>
      <c r="N166">
        <v>14.996417999</v>
      </c>
    </row>
    <row r="167" spans="1:14" x14ac:dyDescent="0.25">
      <c r="A167">
        <v>16.050035000000001</v>
      </c>
      <c r="B167" s="1">
        <f>DATE(2010,5,17) + TIME(1,12,2)</f>
        <v>40315.050023148149</v>
      </c>
      <c r="C167">
        <v>2400</v>
      </c>
      <c r="D167">
        <v>0</v>
      </c>
      <c r="E167">
        <v>0</v>
      </c>
      <c r="F167">
        <v>2400</v>
      </c>
      <c r="G167">
        <v>1397.8465576000001</v>
      </c>
      <c r="H167">
        <v>1383.6029053</v>
      </c>
      <c r="I167">
        <v>1250.5263672000001</v>
      </c>
      <c r="J167">
        <v>1211.0804443</v>
      </c>
      <c r="K167">
        <v>80</v>
      </c>
      <c r="L167">
        <v>79.871231078999998</v>
      </c>
      <c r="M167">
        <v>50</v>
      </c>
      <c r="N167">
        <v>14.996438026</v>
      </c>
    </row>
    <row r="168" spans="1:14" x14ac:dyDescent="0.25">
      <c r="A168">
        <v>16.338412999999999</v>
      </c>
      <c r="B168" s="1">
        <f>DATE(2010,5,17) + TIME(8,7,18)</f>
        <v>40315.338402777779</v>
      </c>
      <c r="C168">
        <v>2400</v>
      </c>
      <c r="D168">
        <v>0</v>
      </c>
      <c r="E168">
        <v>0</v>
      </c>
      <c r="F168">
        <v>2400</v>
      </c>
      <c r="G168">
        <v>1397.7333983999999</v>
      </c>
      <c r="H168">
        <v>1383.4932861</v>
      </c>
      <c r="I168">
        <v>1250.5300293</v>
      </c>
      <c r="J168">
        <v>1211.0839844</v>
      </c>
      <c r="K168">
        <v>80</v>
      </c>
      <c r="L168">
        <v>79.871322632000002</v>
      </c>
      <c r="M168">
        <v>50</v>
      </c>
      <c r="N168">
        <v>14.996459007</v>
      </c>
    </row>
    <row r="169" spans="1:14" x14ac:dyDescent="0.25">
      <c r="A169">
        <v>16.631433999999999</v>
      </c>
      <c r="B169" s="1">
        <f>DATE(2010,5,17) + TIME(15,9,15)</f>
        <v>40315.631423611114</v>
      </c>
      <c r="C169">
        <v>2400</v>
      </c>
      <c r="D169">
        <v>0</v>
      </c>
      <c r="E169">
        <v>0</v>
      </c>
      <c r="F169">
        <v>2400</v>
      </c>
      <c r="G169">
        <v>1397.6204834</v>
      </c>
      <c r="H169">
        <v>1383.3840332</v>
      </c>
      <c r="I169">
        <v>1250.5338135</v>
      </c>
      <c r="J169">
        <v>1211.0875243999999</v>
      </c>
      <c r="K169">
        <v>80</v>
      </c>
      <c r="L169">
        <v>79.871406554999993</v>
      </c>
      <c r="M169">
        <v>50</v>
      </c>
      <c r="N169">
        <v>14.996479034</v>
      </c>
    </row>
    <row r="170" spans="1:14" x14ac:dyDescent="0.25">
      <c r="A170">
        <v>16.929517000000001</v>
      </c>
      <c r="B170" s="1">
        <f>DATE(2010,5,17) + TIME(22,18,30)</f>
        <v>40315.929513888892</v>
      </c>
      <c r="C170">
        <v>2400</v>
      </c>
      <c r="D170">
        <v>0</v>
      </c>
      <c r="E170">
        <v>0</v>
      </c>
      <c r="F170">
        <v>2400</v>
      </c>
      <c r="G170">
        <v>1397.5078125</v>
      </c>
      <c r="H170">
        <v>1383.2749022999999</v>
      </c>
      <c r="I170">
        <v>1250.5375977000001</v>
      </c>
      <c r="J170">
        <v>1211.0911865</v>
      </c>
      <c r="K170">
        <v>80</v>
      </c>
      <c r="L170">
        <v>79.871490479000002</v>
      </c>
      <c r="M170">
        <v>50</v>
      </c>
      <c r="N170">
        <v>14.996499062</v>
      </c>
    </row>
    <row r="171" spans="1:14" x14ac:dyDescent="0.25">
      <c r="A171">
        <v>17.233180999999998</v>
      </c>
      <c r="B171" s="1">
        <f>DATE(2010,5,18) + TIME(5,35,46)</f>
        <v>40316.233171296299</v>
      </c>
      <c r="C171">
        <v>2400</v>
      </c>
      <c r="D171">
        <v>0</v>
      </c>
      <c r="E171">
        <v>0</v>
      </c>
      <c r="F171">
        <v>2400</v>
      </c>
      <c r="G171">
        <v>1397.3950195</v>
      </c>
      <c r="H171">
        <v>1383.1660156</v>
      </c>
      <c r="I171">
        <v>1250.5413818</v>
      </c>
      <c r="J171">
        <v>1211.0949707</v>
      </c>
      <c r="K171">
        <v>80</v>
      </c>
      <c r="L171">
        <v>79.871574401999993</v>
      </c>
      <c r="M171">
        <v>50</v>
      </c>
      <c r="N171">
        <v>14.996520042</v>
      </c>
    </row>
    <row r="172" spans="1:14" x14ac:dyDescent="0.25">
      <c r="A172">
        <v>17.543005000000001</v>
      </c>
      <c r="B172" s="1">
        <f>DATE(2010,5,18) + TIME(13,1,55)</f>
        <v>40316.542997685188</v>
      </c>
      <c r="C172">
        <v>2400</v>
      </c>
      <c r="D172">
        <v>0</v>
      </c>
      <c r="E172">
        <v>0</v>
      </c>
      <c r="F172">
        <v>2400</v>
      </c>
      <c r="G172">
        <v>1397.2822266000001</v>
      </c>
      <c r="H172">
        <v>1383.0568848</v>
      </c>
      <c r="I172">
        <v>1250.5454102000001</v>
      </c>
      <c r="J172">
        <v>1211.0987548999999</v>
      </c>
      <c r="K172">
        <v>80</v>
      </c>
      <c r="L172">
        <v>79.871658324999999</v>
      </c>
      <c r="M172">
        <v>50</v>
      </c>
      <c r="N172">
        <v>14.99654007</v>
      </c>
    </row>
    <row r="173" spans="1:14" x14ac:dyDescent="0.25">
      <c r="A173">
        <v>17.859629000000002</v>
      </c>
      <c r="B173" s="1">
        <f>DATE(2010,5,18) + TIME(20,37,51)</f>
        <v>40316.859618055554</v>
      </c>
      <c r="C173">
        <v>2400</v>
      </c>
      <c r="D173">
        <v>0</v>
      </c>
      <c r="E173">
        <v>0</v>
      </c>
      <c r="F173">
        <v>2400</v>
      </c>
      <c r="G173">
        <v>1397.1689452999999</v>
      </c>
      <c r="H173">
        <v>1382.9476318</v>
      </c>
      <c r="I173">
        <v>1250.5494385</v>
      </c>
      <c r="J173">
        <v>1211.1026611</v>
      </c>
      <c r="K173">
        <v>80</v>
      </c>
      <c r="L173">
        <v>79.871742248999993</v>
      </c>
      <c r="M173">
        <v>50</v>
      </c>
      <c r="N173">
        <v>14.996560097</v>
      </c>
    </row>
    <row r="174" spans="1:14" x14ac:dyDescent="0.25">
      <c r="A174">
        <v>18.182970999999998</v>
      </c>
      <c r="B174" s="1">
        <f>DATE(2010,5,19) + TIME(4,23,28)</f>
        <v>40317.182962962965</v>
      </c>
      <c r="C174">
        <v>2400</v>
      </c>
      <c r="D174">
        <v>0</v>
      </c>
      <c r="E174">
        <v>0</v>
      </c>
      <c r="F174">
        <v>2400</v>
      </c>
      <c r="G174">
        <v>1397.0552978999999</v>
      </c>
      <c r="H174">
        <v>1382.8377685999999</v>
      </c>
      <c r="I174">
        <v>1250.5534668</v>
      </c>
      <c r="J174">
        <v>1211.1066894999999</v>
      </c>
      <c r="K174">
        <v>80</v>
      </c>
      <c r="L174">
        <v>79.871818542</v>
      </c>
      <c r="M174">
        <v>50</v>
      </c>
      <c r="N174">
        <v>14.996581078</v>
      </c>
    </row>
    <row r="175" spans="1:14" x14ac:dyDescent="0.25">
      <c r="A175">
        <v>18.513162999999999</v>
      </c>
      <c r="B175" s="1">
        <f>DATE(2010,5,19) + TIME(12,18,57)</f>
        <v>40317.513159722221</v>
      </c>
      <c r="C175">
        <v>2400</v>
      </c>
      <c r="D175">
        <v>0</v>
      </c>
      <c r="E175">
        <v>0</v>
      </c>
      <c r="F175">
        <v>2400</v>
      </c>
      <c r="G175">
        <v>1396.9410399999999</v>
      </c>
      <c r="H175">
        <v>1382.7276611</v>
      </c>
      <c r="I175">
        <v>1250.5577393000001</v>
      </c>
      <c r="J175">
        <v>1211.1108397999999</v>
      </c>
      <c r="K175">
        <v>80</v>
      </c>
      <c r="L175">
        <v>79.871902465999995</v>
      </c>
      <c r="M175">
        <v>50</v>
      </c>
      <c r="N175">
        <v>14.996602058000001</v>
      </c>
    </row>
    <row r="176" spans="1:14" x14ac:dyDescent="0.25">
      <c r="A176">
        <v>18.850318000000001</v>
      </c>
      <c r="B176" s="1">
        <f>DATE(2010,5,19) + TIME(20,24,27)</f>
        <v>40317.850312499999</v>
      </c>
      <c r="C176">
        <v>2400</v>
      </c>
      <c r="D176">
        <v>0</v>
      </c>
      <c r="E176">
        <v>0</v>
      </c>
      <c r="F176">
        <v>2400</v>
      </c>
      <c r="G176">
        <v>1396.8265381000001</v>
      </c>
      <c r="H176">
        <v>1382.6173096</v>
      </c>
      <c r="I176">
        <v>1250.5620117000001</v>
      </c>
      <c r="J176">
        <v>1211.1149902</v>
      </c>
      <c r="K176">
        <v>80</v>
      </c>
      <c r="L176">
        <v>79.871978760000005</v>
      </c>
      <c r="M176">
        <v>50</v>
      </c>
      <c r="N176">
        <v>14.996622086</v>
      </c>
    </row>
    <row r="177" spans="1:14" x14ac:dyDescent="0.25">
      <c r="A177">
        <v>19.191739999999999</v>
      </c>
      <c r="B177" s="1">
        <f>DATE(2010,5,20) + TIME(4,36,6)</f>
        <v>40318.191736111112</v>
      </c>
      <c r="C177">
        <v>2400</v>
      </c>
      <c r="D177">
        <v>0</v>
      </c>
      <c r="E177">
        <v>0</v>
      </c>
      <c r="F177">
        <v>2400</v>
      </c>
      <c r="G177">
        <v>1396.7115478999999</v>
      </c>
      <c r="H177">
        <v>1382.5064697</v>
      </c>
      <c r="I177">
        <v>1250.5664062000001</v>
      </c>
      <c r="J177">
        <v>1211.1192627</v>
      </c>
      <c r="K177">
        <v>80</v>
      </c>
      <c r="L177">
        <v>79.872062682999996</v>
      </c>
      <c r="M177">
        <v>50</v>
      </c>
      <c r="N177">
        <v>14.996643066000001</v>
      </c>
    </row>
    <row r="178" spans="1:14" x14ac:dyDescent="0.25">
      <c r="A178">
        <v>19.534147999999998</v>
      </c>
      <c r="B178" s="1">
        <f>DATE(2010,5,20) + TIME(12,49,10)</f>
        <v>40318.534143518518</v>
      </c>
      <c r="C178">
        <v>2400</v>
      </c>
      <c r="D178">
        <v>0</v>
      </c>
      <c r="E178">
        <v>0</v>
      </c>
      <c r="F178">
        <v>2400</v>
      </c>
      <c r="G178">
        <v>1396.5970459</v>
      </c>
      <c r="H178">
        <v>1382.3962402</v>
      </c>
      <c r="I178">
        <v>1250.5709228999999</v>
      </c>
      <c r="J178">
        <v>1211.1235352000001</v>
      </c>
      <c r="K178">
        <v>80</v>
      </c>
      <c r="L178">
        <v>79.872138977000006</v>
      </c>
      <c r="M178">
        <v>50</v>
      </c>
      <c r="N178">
        <v>14.996664046999999</v>
      </c>
    </row>
    <row r="179" spans="1:14" x14ac:dyDescent="0.25">
      <c r="A179">
        <v>19.877651</v>
      </c>
      <c r="B179" s="1">
        <f>DATE(2010,5,20) + TIME(21,3,49)</f>
        <v>40318.877650462964</v>
      </c>
      <c r="C179">
        <v>2400</v>
      </c>
      <c r="D179">
        <v>0</v>
      </c>
      <c r="E179">
        <v>0</v>
      </c>
      <c r="F179">
        <v>2400</v>
      </c>
      <c r="G179">
        <v>1396.4841309000001</v>
      </c>
      <c r="H179">
        <v>1382.2875977000001</v>
      </c>
      <c r="I179">
        <v>1250.5753173999999</v>
      </c>
      <c r="J179">
        <v>1211.1278076000001</v>
      </c>
      <c r="K179">
        <v>80</v>
      </c>
      <c r="L179">
        <v>79.872215271000002</v>
      </c>
      <c r="M179">
        <v>50</v>
      </c>
      <c r="N179">
        <v>14.996684073999999</v>
      </c>
    </row>
    <row r="180" spans="1:14" x14ac:dyDescent="0.25">
      <c r="A180">
        <v>20.221713000000001</v>
      </c>
      <c r="B180" s="1">
        <f>DATE(2010,5,21) + TIME(5,19,15)</f>
        <v>40319.221701388888</v>
      </c>
      <c r="C180">
        <v>2400</v>
      </c>
      <c r="D180">
        <v>0</v>
      </c>
      <c r="E180">
        <v>0</v>
      </c>
      <c r="F180">
        <v>2400</v>
      </c>
      <c r="G180">
        <v>1396.3728027</v>
      </c>
      <c r="H180">
        <v>1382.1805420000001</v>
      </c>
      <c r="I180">
        <v>1250.5798339999999</v>
      </c>
      <c r="J180">
        <v>1211.1322021000001</v>
      </c>
      <c r="K180">
        <v>80</v>
      </c>
      <c r="L180">
        <v>79.872291564999998</v>
      </c>
      <c r="M180">
        <v>50</v>
      </c>
      <c r="N180">
        <v>14.996704102000001</v>
      </c>
    </row>
    <row r="181" spans="1:14" x14ac:dyDescent="0.25">
      <c r="A181">
        <v>20.566858</v>
      </c>
      <c r="B181" s="1">
        <f>DATE(2010,5,21) + TIME(13,36,16)</f>
        <v>40319.566851851851</v>
      </c>
      <c r="C181">
        <v>2400</v>
      </c>
      <c r="D181">
        <v>0</v>
      </c>
      <c r="E181">
        <v>0</v>
      </c>
      <c r="F181">
        <v>2400</v>
      </c>
      <c r="G181">
        <v>1396.2630615</v>
      </c>
      <c r="H181">
        <v>1382.0751952999999</v>
      </c>
      <c r="I181">
        <v>1250.5843506000001</v>
      </c>
      <c r="J181">
        <v>1211.1364745999999</v>
      </c>
      <c r="K181">
        <v>80</v>
      </c>
      <c r="L181">
        <v>79.872367858999993</v>
      </c>
      <c r="M181">
        <v>50</v>
      </c>
      <c r="N181">
        <v>14.996724129</v>
      </c>
    </row>
    <row r="182" spans="1:14" x14ac:dyDescent="0.25">
      <c r="A182">
        <v>20.913599000000001</v>
      </c>
      <c r="B182" s="1">
        <f>DATE(2010,5,21) + TIME(21,55,34)</f>
        <v>40319.913587962961</v>
      </c>
      <c r="C182">
        <v>2400</v>
      </c>
      <c r="D182">
        <v>0</v>
      </c>
      <c r="E182">
        <v>0</v>
      </c>
      <c r="F182">
        <v>2400</v>
      </c>
      <c r="G182">
        <v>1396.1549072</v>
      </c>
      <c r="H182">
        <v>1381.9711914</v>
      </c>
      <c r="I182">
        <v>1250.5888672000001</v>
      </c>
      <c r="J182">
        <v>1211.1408690999999</v>
      </c>
      <c r="K182">
        <v>80</v>
      </c>
      <c r="L182">
        <v>79.872444153000004</v>
      </c>
      <c r="M182">
        <v>50</v>
      </c>
      <c r="N182">
        <v>14.996743201999999</v>
      </c>
    </row>
    <row r="183" spans="1:14" x14ac:dyDescent="0.25">
      <c r="A183">
        <v>21.262453000000001</v>
      </c>
      <c r="B183" s="1">
        <f>DATE(2010,5,22) + TIME(6,17,55)</f>
        <v>40320.262442129628</v>
      </c>
      <c r="C183">
        <v>2400</v>
      </c>
      <c r="D183">
        <v>0</v>
      </c>
      <c r="E183">
        <v>0</v>
      </c>
      <c r="F183">
        <v>2400</v>
      </c>
      <c r="G183">
        <v>1396.0478516000001</v>
      </c>
      <c r="H183">
        <v>1381.8684082</v>
      </c>
      <c r="I183">
        <v>1250.5933838000001</v>
      </c>
      <c r="J183">
        <v>1211.1452637</v>
      </c>
      <c r="K183">
        <v>80</v>
      </c>
      <c r="L183">
        <v>79.872512817</v>
      </c>
      <c r="M183">
        <v>50</v>
      </c>
      <c r="N183">
        <v>14.996763229000001</v>
      </c>
    </row>
    <row r="184" spans="1:14" x14ac:dyDescent="0.25">
      <c r="A184">
        <v>21.613937</v>
      </c>
      <c r="B184" s="1">
        <f>DATE(2010,5,22) + TIME(14,44,4)</f>
        <v>40320.613935185182</v>
      </c>
      <c r="C184">
        <v>2400</v>
      </c>
      <c r="D184">
        <v>0</v>
      </c>
      <c r="E184">
        <v>0</v>
      </c>
      <c r="F184">
        <v>2400</v>
      </c>
      <c r="G184">
        <v>1395.9420166</v>
      </c>
      <c r="H184">
        <v>1381.7668457</v>
      </c>
      <c r="I184">
        <v>1250.5980225000001</v>
      </c>
      <c r="J184">
        <v>1211.1496582</v>
      </c>
      <c r="K184">
        <v>80</v>
      </c>
      <c r="L184">
        <v>79.872589110999996</v>
      </c>
      <c r="M184">
        <v>50</v>
      </c>
      <c r="N184">
        <v>14.996782303</v>
      </c>
    </row>
    <row r="185" spans="1:14" x14ac:dyDescent="0.25">
      <c r="A185">
        <v>21.968571000000001</v>
      </c>
      <c r="B185" s="1">
        <f>DATE(2010,5,22) + TIME(23,14,44)</f>
        <v>40320.968564814815</v>
      </c>
      <c r="C185">
        <v>2400</v>
      </c>
      <c r="D185">
        <v>0</v>
      </c>
      <c r="E185">
        <v>0</v>
      </c>
      <c r="F185">
        <v>2400</v>
      </c>
      <c r="G185">
        <v>1395.8370361</v>
      </c>
      <c r="H185">
        <v>1381.6661377</v>
      </c>
      <c r="I185">
        <v>1250.6026611</v>
      </c>
      <c r="J185">
        <v>1211.1541748</v>
      </c>
      <c r="K185">
        <v>80</v>
      </c>
      <c r="L185">
        <v>79.872665405000006</v>
      </c>
      <c r="M185">
        <v>50</v>
      </c>
      <c r="N185">
        <v>14.996801376000001</v>
      </c>
    </row>
    <row r="186" spans="1:14" x14ac:dyDescent="0.25">
      <c r="A186">
        <v>22.326895</v>
      </c>
      <c r="B186" s="1">
        <f>DATE(2010,5,23) + TIME(7,50,43)</f>
        <v>40321.326886574076</v>
      </c>
      <c r="C186">
        <v>2400</v>
      </c>
      <c r="D186">
        <v>0</v>
      </c>
      <c r="E186">
        <v>0</v>
      </c>
      <c r="F186">
        <v>2400</v>
      </c>
      <c r="G186">
        <v>1395.7326660000001</v>
      </c>
      <c r="H186">
        <v>1381.5661620999999</v>
      </c>
      <c r="I186">
        <v>1250.6072998</v>
      </c>
      <c r="J186">
        <v>1211.1586914</v>
      </c>
      <c r="K186">
        <v>80</v>
      </c>
      <c r="L186">
        <v>79.872741699000002</v>
      </c>
      <c r="M186">
        <v>50</v>
      </c>
      <c r="N186">
        <v>14.99682045</v>
      </c>
    </row>
    <row r="187" spans="1:14" x14ac:dyDescent="0.25">
      <c r="A187">
        <v>22.689461000000001</v>
      </c>
      <c r="B187" s="1">
        <f>DATE(2010,5,23) + TIME(16,32,49)</f>
        <v>40321.689456018517</v>
      </c>
      <c r="C187">
        <v>2400</v>
      </c>
      <c r="D187">
        <v>0</v>
      </c>
      <c r="E187">
        <v>0</v>
      </c>
      <c r="F187">
        <v>2400</v>
      </c>
      <c r="G187">
        <v>1395.6289062000001</v>
      </c>
      <c r="H187">
        <v>1381.4666748</v>
      </c>
      <c r="I187">
        <v>1250.6120605000001</v>
      </c>
      <c r="J187">
        <v>1211.1633300999999</v>
      </c>
      <c r="K187">
        <v>80</v>
      </c>
      <c r="L187">
        <v>79.872810364000003</v>
      </c>
      <c r="M187">
        <v>50</v>
      </c>
      <c r="N187">
        <v>14.996839523</v>
      </c>
    </row>
    <row r="188" spans="1:14" x14ac:dyDescent="0.25">
      <c r="A188">
        <v>23.056847000000001</v>
      </c>
      <c r="B188" s="1">
        <f>DATE(2010,5,24) + TIME(1,21,51)</f>
        <v>40322.056840277779</v>
      </c>
      <c r="C188">
        <v>2400</v>
      </c>
      <c r="D188">
        <v>0</v>
      </c>
      <c r="E188">
        <v>0</v>
      </c>
      <c r="F188">
        <v>2400</v>
      </c>
      <c r="G188">
        <v>1395.5255127</v>
      </c>
      <c r="H188">
        <v>1381.3676757999999</v>
      </c>
      <c r="I188">
        <v>1250.6168213000001</v>
      </c>
      <c r="J188">
        <v>1211.1678466999999</v>
      </c>
      <c r="K188">
        <v>80</v>
      </c>
      <c r="L188">
        <v>79.872886657999999</v>
      </c>
      <c r="M188">
        <v>50</v>
      </c>
      <c r="N188">
        <v>14.996858596999999</v>
      </c>
    </row>
    <row r="189" spans="1:14" x14ac:dyDescent="0.25">
      <c r="A189">
        <v>23.429825000000001</v>
      </c>
      <c r="B189" s="1">
        <f>DATE(2010,5,24) + TIME(10,18,56)</f>
        <v>40322.429814814815</v>
      </c>
      <c r="C189">
        <v>2400</v>
      </c>
      <c r="D189">
        <v>0</v>
      </c>
      <c r="E189">
        <v>0</v>
      </c>
      <c r="F189">
        <v>2400</v>
      </c>
      <c r="G189">
        <v>1395.4223632999999</v>
      </c>
      <c r="H189">
        <v>1381.269043</v>
      </c>
      <c r="I189">
        <v>1250.6217041</v>
      </c>
      <c r="J189">
        <v>1211.1726074000001</v>
      </c>
      <c r="K189">
        <v>80</v>
      </c>
      <c r="L189">
        <v>79.872970581000004</v>
      </c>
      <c r="M189">
        <v>50</v>
      </c>
      <c r="N189">
        <v>14.99687767</v>
      </c>
    </row>
    <row r="190" spans="1:14" x14ac:dyDescent="0.25">
      <c r="A190">
        <v>23.808886000000001</v>
      </c>
      <c r="B190" s="1">
        <f>DATE(2010,5,24) + TIME(19,24,47)</f>
        <v>40322.808877314812</v>
      </c>
      <c r="C190">
        <v>2400</v>
      </c>
      <c r="D190">
        <v>0</v>
      </c>
      <c r="E190">
        <v>0</v>
      </c>
      <c r="F190">
        <v>2400</v>
      </c>
      <c r="G190">
        <v>1395.3193358999999</v>
      </c>
      <c r="H190">
        <v>1381.1704102000001</v>
      </c>
      <c r="I190">
        <v>1250.6267089999999</v>
      </c>
      <c r="J190">
        <v>1211.1773682</v>
      </c>
      <c r="K190">
        <v>80</v>
      </c>
      <c r="L190">
        <v>79.873046875</v>
      </c>
      <c r="M190">
        <v>50</v>
      </c>
      <c r="N190">
        <v>14.996896744000001</v>
      </c>
    </row>
    <row r="191" spans="1:14" x14ac:dyDescent="0.25">
      <c r="A191">
        <v>24.194704000000002</v>
      </c>
      <c r="B191" s="1">
        <f>DATE(2010,5,25) + TIME(4,40,22)</f>
        <v>40323.194699074076</v>
      </c>
      <c r="C191">
        <v>2400</v>
      </c>
      <c r="D191">
        <v>0</v>
      </c>
      <c r="E191">
        <v>0</v>
      </c>
      <c r="F191">
        <v>2400</v>
      </c>
      <c r="G191">
        <v>1395.2161865</v>
      </c>
      <c r="H191">
        <v>1381.0717772999999</v>
      </c>
      <c r="I191">
        <v>1250.6317139</v>
      </c>
      <c r="J191">
        <v>1211.182251</v>
      </c>
      <c r="K191">
        <v>80</v>
      </c>
      <c r="L191">
        <v>79.873123168999996</v>
      </c>
      <c r="M191">
        <v>50</v>
      </c>
      <c r="N191">
        <v>14.996915817</v>
      </c>
    </row>
    <row r="192" spans="1:14" x14ac:dyDescent="0.25">
      <c r="A192">
        <v>24.588051</v>
      </c>
      <c r="B192" s="1">
        <f>DATE(2010,5,25) + TIME(14,6,47)</f>
        <v>40323.588043981479</v>
      </c>
      <c r="C192">
        <v>2400</v>
      </c>
      <c r="D192">
        <v>0</v>
      </c>
      <c r="E192">
        <v>0</v>
      </c>
      <c r="F192">
        <v>2400</v>
      </c>
      <c r="G192">
        <v>1395.112793</v>
      </c>
      <c r="H192">
        <v>1380.9729004000001</v>
      </c>
      <c r="I192">
        <v>1250.6368408000001</v>
      </c>
      <c r="J192">
        <v>1211.1871338000001</v>
      </c>
      <c r="K192">
        <v>80</v>
      </c>
      <c r="L192">
        <v>79.873207092000001</v>
      </c>
      <c r="M192">
        <v>50</v>
      </c>
      <c r="N192">
        <v>14.996933937</v>
      </c>
    </row>
    <row r="193" spans="1:14" x14ac:dyDescent="0.25">
      <c r="A193">
        <v>24.989249999999998</v>
      </c>
      <c r="B193" s="1">
        <f>DATE(2010,5,25) + TIME(23,44,31)</f>
        <v>40323.989247685182</v>
      </c>
      <c r="C193">
        <v>2400</v>
      </c>
      <c r="D193">
        <v>0</v>
      </c>
      <c r="E193">
        <v>0</v>
      </c>
      <c r="F193">
        <v>2400</v>
      </c>
      <c r="G193">
        <v>1395.0089111</v>
      </c>
      <c r="H193">
        <v>1380.8737793</v>
      </c>
      <c r="I193">
        <v>1250.6420897999999</v>
      </c>
      <c r="J193">
        <v>1211.1922606999999</v>
      </c>
      <c r="K193">
        <v>80</v>
      </c>
      <c r="L193">
        <v>79.873283385999997</v>
      </c>
      <c r="M193">
        <v>50</v>
      </c>
      <c r="N193">
        <v>14.996953963999999</v>
      </c>
    </row>
    <row r="194" spans="1:14" x14ac:dyDescent="0.25">
      <c r="A194">
        <v>25.398263</v>
      </c>
      <c r="B194" s="1">
        <f>DATE(2010,5,26) + TIME(9,33,29)</f>
        <v>40324.398252314815</v>
      </c>
      <c r="C194">
        <v>2400</v>
      </c>
      <c r="D194">
        <v>0</v>
      </c>
      <c r="E194">
        <v>0</v>
      </c>
      <c r="F194">
        <v>2400</v>
      </c>
      <c r="G194">
        <v>1394.9047852000001</v>
      </c>
      <c r="H194">
        <v>1380.7742920000001</v>
      </c>
      <c r="I194">
        <v>1250.6474608999999</v>
      </c>
      <c r="J194">
        <v>1211.1973877</v>
      </c>
      <c r="K194">
        <v>80</v>
      </c>
      <c r="L194">
        <v>79.873367310000006</v>
      </c>
      <c r="M194">
        <v>50</v>
      </c>
      <c r="N194">
        <v>14.996973038</v>
      </c>
    </row>
    <row r="195" spans="1:14" x14ac:dyDescent="0.25">
      <c r="A195">
        <v>25.815041000000001</v>
      </c>
      <c r="B195" s="1">
        <f>DATE(2010,5,26) + TIME(19,33,39)</f>
        <v>40324.815034722225</v>
      </c>
      <c r="C195">
        <v>2400</v>
      </c>
      <c r="D195">
        <v>0</v>
      </c>
      <c r="E195">
        <v>0</v>
      </c>
      <c r="F195">
        <v>2400</v>
      </c>
      <c r="G195">
        <v>1394.8001709</v>
      </c>
      <c r="H195">
        <v>1380.6745605000001</v>
      </c>
      <c r="I195">
        <v>1250.6529541</v>
      </c>
      <c r="J195">
        <v>1211.2026367000001</v>
      </c>
      <c r="K195">
        <v>80</v>
      </c>
      <c r="L195">
        <v>79.873451232999997</v>
      </c>
      <c r="M195">
        <v>50</v>
      </c>
      <c r="N195">
        <v>14.996992111000001</v>
      </c>
    </row>
    <row r="196" spans="1:14" x14ac:dyDescent="0.25">
      <c r="A196">
        <v>26.239584000000001</v>
      </c>
      <c r="B196" s="1">
        <f>DATE(2010,5,27) + TIME(5,45,0)</f>
        <v>40325.239583333336</v>
      </c>
      <c r="C196">
        <v>2400</v>
      </c>
      <c r="D196">
        <v>0</v>
      </c>
      <c r="E196">
        <v>0</v>
      </c>
      <c r="F196">
        <v>2400</v>
      </c>
      <c r="G196">
        <v>1394.6953125</v>
      </c>
      <c r="H196">
        <v>1380.5744629000001</v>
      </c>
      <c r="I196">
        <v>1250.6584473</v>
      </c>
      <c r="J196">
        <v>1211.2080077999999</v>
      </c>
      <c r="K196">
        <v>80</v>
      </c>
      <c r="L196">
        <v>79.873542786000002</v>
      </c>
      <c r="M196">
        <v>50</v>
      </c>
      <c r="N196">
        <v>14.997011185</v>
      </c>
    </row>
    <row r="197" spans="1:14" x14ac:dyDescent="0.25">
      <c r="A197">
        <v>26.452808999999998</v>
      </c>
      <c r="B197" s="1">
        <f>DATE(2010,5,27) + TIME(10,52,2)</f>
        <v>40325.452800925923</v>
      </c>
      <c r="C197">
        <v>2400</v>
      </c>
      <c r="D197">
        <v>0</v>
      </c>
      <c r="E197">
        <v>0</v>
      </c>
      <c r="F197">
        <v>2400</v>
      </c>
      <c r="G197">
        <v>1394.5893555</v>
      </c>
      <c r="H197">
        <v>1380.4733887</v>
      </c>
      <c r="I197">
        <v>1250.6638184000001</v>
      </c>
      <c r="J197">
        <v>1211.2131348</v>
      </c>
      <c r="K197">
        <v>80</v>
      </c>
      <c r="L197">
        <v>79.873573303000001</v>
      </c>
      <c r="M197">
        <v>50</v>
      </c>
      <c r="N197">
        <v>14.997022629</v>
      </c>
    </row>
    <row r="198" spans="1:14" x14ac:dyDescent="0.25">
      <c r="A198">
        <v>26.666032999999999</v>
      </c>
      <c r="B198" s="1">
        <f>DATE(2010,5,27) + TIME(15,59,5)</f>
        <v>40325.666030092594</v>
      </c>
      <c r="C198">
        <v>2400</v>
      </c>
      <c r="D198">
        <v>0</v>
      </c>
      <c r="E198">
        <v>0</v>
      </c>
      <c r="F198">
        <v>2400</v>
      </c>
      <c r="G198">
        <v>1394.5362548999999</v>
      </c>
      <c r="H198">
        <v>1380.4227295000001</v>
      </c>
      <c r="I198">
        <v>1250.6667480000001</v>
      </c>
      <c r="J198">
        <v>1211.2159423999999</v>
      </c>
      <c r="K198">
        <v>80</v>
      </c>
      <c r="L198">
        <v>79.873611449999999</v>
      </c>
      <c r="M198">
        <v>50</v>
      </c>
      <c r="N198">
        <v>14.997034073</v>
      </c>
    </row>
    <row r="199" spans="1:14" x14ac:dyDescent="0.25">
      <c r="A199">
        <v>26.879256999999999</v>
      </c>
      <c r="B199" s="1">
        <f>DATE(2010,5,27) + TIME(21,6,7)</f>
        <v>40325.879247685189</v>
      </c>
      <c r="C199">
        <v>2400</v>
      </c>
      <c r="D199">
        <v>0</v>
      </c>
      <c r="E199">
        <v>0</v>
      </c>
      <c r="F199">
        <v>2400</v>
      </c>
      <c r="G199">
        <v>1394.484375</v>
      </c>
      <c r="H199">
        <v>1380.3732910000001</v>
      </c>
      <c r="I199">
        <v>1250.6695557</v>
      </c>
      <c r="J199">
        <v>1211.21875</v>
      </c>
      <c r="K199">
        <v>80</v>
      </c>
      <c r="L199">
        <v>79.873657226999995</v>
      </c>
      <c r="M199">
        <v>50</v>
      </c>
      <c r="N199">
        <v>14.997044562999999</v>
      </c>
    </row>
    <row r="200" spans="1:14" x14ac:dyDescent="0.25">
      <c r="A200">
        <v>27.305705</v>
      </c>
      <c r="B200" s="1">
        <f>DATE(2010,5,28) + TIME(7,20,12)</f>
        <v>40326.305694444447</v>
      </c>
      <c r="C200">
        <v>2400</v>
      </c>
      <c r="D200">
        <v>0</v>
      </c>
      <c r="E200">
        <v>0</v>
      </c>
      <c r="F200">
        <v>2400</v>
      </c>
      <c r="G200">
        <v>1394.4339600000001</v>
      </c>
      <c r="H200">
        <v>1380.3254394999999</v>
      </c>
      <c r="I200">
        <v>1250.6728516000001</v>
      </c>
      <c r="J200">
        <v>1211.2219238</v>
      </c>
      <c r="K200">
        <v>80</v>
      </c>
      <c r="L200">
        <v>79.873748778999996</v>
      </c>
      <c r="M200">
        <v>50</v>
      </c>
      <c r="N200">
        <v>14.997061729</v>
      </c>
    </row>
    <row r="201" spans="1:14" x14ac:dyDescent="0.25">
      <c r="A201">
        <v>27.732386999999999</v>
      </c>
      <c r="B201" s="1">
        <f>DATE(2010,5,28) + TIME(17,34,38)</f>
        <v>40326.73238425926</v>
      </c>
      <c r="C201">
        <v>2400</v>
      </c>
      <c r="D201">
        <v>0</v>
      </c>
      <c r="E201">
        <v>0</v>
      </c>
      <c r="F201">
        <v>2400</v>
      </c>
      <c r="G201">
        <v>1394.3327637</v>
      </c>
      <c r="H201">
        <v>1380.2290039</v>
      </c>
      <c r="I201">
        <v>1250.6785889</v>
      </c>
      <c r="J201">
        <v>1211.2274170000001</v>
      </c>
      <c r="K201">
        <v>80</v>
      </c>
      <c r="L201">
        <v>79.873840332</v>
      </c>
      <c r="M201">
        <v>50</v>
      </c>
      <c r="N201">
        <v>14.997079849</v>
      </c>
    </row>
    <row r="202" spans="1:14" x14ac:dyDescent="0.25">
      <c r="A202">
        <v>28.160637999999999</v>
      </c>
      <c r="B202" s="1">
        <f>DATE(2010,5,29) + TIME(3,51,19)</f>
        <v>40327.160636574074</v>
      </c>
      <c r="C202">
        <v>2400</v>
      </c>
      <c r="D202">
        <v>0</v>
      </c>
      <c r="E202">
        <v>0</v>
      </c>
      <c r="F202">
        <v>2400</v>
      </c>
      <c r="G202">
        <v>1394.2325439000001</v>
      </c>
      <c r="H202">
        <v>1380.1336670000001</v>
      </c>
      <c r="I202">
        <v>1250.6844481999999</v>
      </c>
      <c r="J202">
        <v>1211.2330322</v>
      </c>
      <c r="K202">
        <v>80</v>
      </c>
      <c r="L202">
        <v>79.873924255000006</v>
      </c>
      <c r="M202">
        <v>50</v>
      </c>
      <c r="N202">
        <v>14.997097015</v>
      </c>
    </row>
    <row r="203" spans="1:14" x14ac:dyDescent="0.25">
      <c r="A203">
        <v>28.591106</v>
      </c>
      <c r="B203" s="1">
        <f>DATE(2010,5,29) + TIME(14,11,11)</f>
        <v>40327.591099537036</v>
      </c>
      <c r="C203">
        <v>2400</v>
      </c>
      <c r="D203">
        <v>0</v>
      </c>
      <c r="E203">
        <v>0</v>
      </c>
      <c r="F203">
        <v>2400</v>
      </c>
      <c r="G203">
        <v>1394.1334228999999</v>
      </c>
      <c r="H203">
        <v>1380.0394286999999</v>
      </c>
      <c r="I203">
        <v>1250.6901855000001</v>
      </c>
      <c r="J203">
        <v>1211.2386475000001</v>
      </c>
      <c r="K203">
        <v>80</v>
      </c>
      <c r="L203">
        <v>79.874015807999996</v>
      </c>
      <c r="M203">
        <v>50</v>
      </c>
      <c r="N203">
        <v>14.997115135</v>
      </c>
    </row>
    <row r="204" spans="1:14" x14ac:dyDescent="0.25">
      <c r="A204">
        <v>29.024432000000001</v>
      </c>
      <c r="B204" s="1">
        <f>DATE(2010,5,30) + TIME(0,35,10)</f>
        <v>40328.024421296293</v>
      </c>
      <c r="C204">
        <v>2400</v>
      </c>
      <c r="D204">
        <v>0</v>
      </c>
      <c r="E204">
        <v>0</v>
      </c>
      <c r="F204">
        <v>2400</v>
      </c>
      <c r="G204">
        <v>1394.0352783000001</v>
      </c>
      <c r="H204">
        <v>1379.9460449000001</v>
      </c>
      <c r="I204">
        <v>1250.6960449000001</v>
      </c>
      <c r="J204">
        <v>1211.2442627</v>
      </c>
      <c r="K204">
        <v>80</v>
      </c>
      <c r="L204">
        <v>79.874099731000001</v>
      </c>
      <c r="M204">
        <v>50</v>
      </c>
      <c r="N204">
        <v>14.997133255</v>
      </c>
    </row>
    <row r="205" spans="1:14" x14ac:dyDescent="0.25">
      <c r="A205">
        <v>29.461262999999999</v>
      </c>
      <c r="B205" s="1">
        <f>DATE(2010,5,30) + TIME(11,4,13)</f>
        <v>40328.461261574077</v>
      </c>
      <c r="C205">
        <v>2400</v>
      </c>
      <c r="D205">
        <v>0</v>
      </c>
      <c r="E205">
        <v>0</v>
      </c>
      <c r="F205">
        <v>2400</v>
      </c>
      <c r="G205">
        <v>1393.9378661999999</v>
      </c>
      <c r="H205">
        <v>1379.8535156</v>
      </c>
      <c r="I205">
        <v>1250.7020264</v>
      </c>
      <c r="J205">
        <v>1211.25</v>
      </c>
      <c r="K205">
        <v>80</v>
      </c>
      <c r="L205">
        <v>79.874191284000005</v>
      </c>
      <c r="M205">
        <v>50</v>
      </c>
      <c r="N205">
        <v>14.997151375</v>
      </c>
    </row>
    <row r="206" spans="1:14" x14ac:dyDescent="0.25">
      <c r="A206">
        <v>29.902262</v>
      </c>
      <c r="B206" s="1">
        <f>DATE(2010,5,30) + TIME(21,39,15)</f>
        <v>40328.902256944442</v>
      </c>
      <c r="C206">
        <v>2400</v>
      </c>
      <c r="D206">
        <v>0</v>
      </c>
      <c r="E206">
        <v>0</v>
      </c>
      <c r="F206">
        <v>2400</v>
      </c>
      <c r="G206">
        <v>1393.8410644999999</v>
      </c>
      <c r="H206">
        <v>1379.7615966999999</v>
      </c>
      <c r="I206">
        <v>1250.7080077999999</v>
      </c>
      <c r="J206">
        <v>1211.2557373</v>
      </c>
      <c r="K206">
        <v>80</v>
      </c>
      <c r="L206">
        <v>79.874282836999996</v>
      </c>
      <c r="M206">
        <v>50</v>
      </c>
      <c r="N206">
        <v>14.997168541000001</v>
      </c>
    </row>
    <row r="207" spans="1:14" x14ac:dyDescent="0.25">
      <c r="A207">
        <v>30.348112</v>
      </c>
      <c r="B207" s="1">
        <f>DATE(2010,5,31) + TIME(8,21,16)</f>
        <v>40329.348101851851</v>
      </c>
      <c r="C207">
        <v>2400</v>
      </c>
      <c r="D207">
        <v>0</v>
      </c>
      <c r="E207">
        <v>0</v>
      </c>
      <c r="F207">
        <v>2400</v>
      </c>
      <c r="G207">
        <v>1393.744751</v>
      </c>
      <c r="H207">
        <v>1379.6701660000001</v>
      </c>
      <c r="I207">
        <v>1250.7139893000001</v>
      </c>
      <c r="J207">
        <v>1211.2614745999999</v>
      </c>
      <c r="K207">
        <v>80</v>
      </c>
      <c r="L207">
        <v>79.87437439</v>
      </c>
      <c r="M207">
        <v>50</v>
      </c>
      <c r="N207">
        <v>14.997186661000001</v>
      </c>
    </row>
    <row r="208" spans="1:14" x14ac:dyDescent="0.25">
      <c r="A208">
        <v>30.799522</v>
      </c>
      <c r="B208" s="1">
        <f>DATE(2010,5,31) + TIME(19,11,18)</f>
        <v>40329.799513888887</v>
      </c>
      <c r="C208">
        <v>2400</v>
      </c>
      <c r="D208">
        <v>0</v>
      </c>
      <c r="E208">
        <v>0</v>
      </c>
      <c r="F208">
        <v>2400</v>
      </c>
      <c r="G208">
        <v>1393.6488036999999</v>
      </c>
      <c r="H208">
        <v>1379.5789795000001</v>
      </c>
      <c r="I208">
        <v>1250.7202147999999</v>
      </c>
      <c r="J208">
        <v>1211.2674560999999</v>
      </c>
      <c r="K208">
        <v>80</v>
      </c>
      <c r="L208">
        <v>79.874465942</v>
      </c>
      <c r="M208">
        <v>50</v>
      </c>
      <c r="N208">
        <v>14.997204781000001</v>
      </c>
    </row>
    <row r="209" spans="1:14" x14ac:dyDescent="0.25">
      <c r="A209">
        <v>31</v>
      </c>
      <c r="B209" s="1">
        <f>DATE(2010,6,1) + TIME(0,0,0)</f>
        <v>40330</v>
      </c>
      <c r="C209">
        <v>2400</v>
      </c>
      <c r="D209">
        <v>0</v>
      </c>
      <c r="E209">
        <v>0</v>
      </c>
      <c r="F209">
        <v>2400</v>
      </c>
      <c r="G209">
        <v>1393.5527344</v>
      </c>
      <c r="H209">
        <v>1379.487793</v>
      </c>
      <c r="I209">
        <v>1250.7258300999999</v>
      </c>
      <c r="J209">
        <v>1211.2728271000001</v>
      </c>
      <c r="K209">
        <v>80</v>
      </c>
      <c r="L209">
        <v>79.874496460000003</v>
      </c>
      <c r="M209">
        <v>50</v>
      </c>
      <c r="N209">
        <v>14.997214316999999</v>
      </c>
    </row>
    <row r="210" spans="1:14" x14ac:dyDescent="0.25">
      <c r="A210">
        <v>31.45787</v>
      </c>
      <c r="B210" s="1">
        <f>DATE(2010,6,1) + TIME(10,59,19)</f>
        <v>40330.457858796297</v>
      </c>
      <c r="C210">
        <v>2400</v>
      </c>
      <c r="D210">
        <v>0</v>
      </c>
      <c r="E210">
        <v>0</v>
      </c>
      <c r="F210">
        <v>2400</v>
      </c>
      <c r="G210">
        <v>1393.510376</v>
      </c>
      <c r="H210">
        <v>1379.4476318</v>
      </c>
      <c r="I210">
        <v>1250.7292480000001</v>
      </c>
      <c r="J210">
        <v>1211.2761230000001</v>
      </c>
      <c r="K210">
        <v>80</v>
      </c>
      <c r="L210">
        <v>79.874595642000003</v>
      </c>
      <c r="M210">
        <v>50</v>
      </c>
      <c r="N210">
        <v>14.997231483</v>
      </c>
    </row>
    <row r="211" spans="1:14" x14ac:dyDescent="0.25">
      <c r="A211">
        <v>31.92632</v>
      </c>
      <c r="B211" s="1">
        <f>DATE(2010,6,1) + TIME(22,13,54)</f>
        <v>40330.926319444443</v>
      </c>
      <c r="C211">
        <v>2400</v>
      </c>
      <c r="D211">
        <v>0</v>
      </c>
      <c r="E211">
        <v>0</v>
      </c>
      <c r="F211">
        <v>2400</v>
      </c>
      <c r="G211">
        <v>1393.4156493999999</v>
      </c>
      <c r="H211">
        <v>1379.3579102000001</v>
      </c>
      <c r="I211">
        <v>1250.7355957</v>
      </c>
      <c r="J211">
        <v>1211.2821045000001</v>
      </c>
      <c r="K211">
        <v>80</v>
      </c>
      <c r="L211">
        <v>79.874694824000002</v>
      </c>
      <c r="M211">
        <v>50</v>
      </c>
      <c r="N211">
        <v>14.99724865</v>
      </c>
    </row>
    <row r="212" spans="1:14" x14ac:dyDescent="0.25">
      <c r="A212">
        <v>32.403019</v>
      </c>
      <c r="B212" s="1">
        <f>DATE(2010,6,2) + TIME(9,40,20)</f>
        <v>40331.403009259258</v>
      </c>
      <c r="C212">
        <v>2400</v>
      </c>
      <c r="D212">
        <v>0</v>
      </c>
      <c r="E212">
        <v>0</v>
      </c>
      <c r="F212">
        <v>2400</v>
      </c>
      <c r="G212">
        <v>1393.3197021000001</v>
      </c>
      <c r="H212">
        <v>1379.2668457</v>
      </c>
      <c r="I212">
        <v>1250.7420654</v>
      </c>
      <c r="J212">
        <v>1211.2884521000001</v>
      </c>
      <c r="K212">
        <v>80</v>
      </c>
      <c r="L212">
        <v>79.874786377000007</v>
      </c>
      <c r="M212">
        <v>50</v>
      </c>
      <c r="N212">
        <v>14.997266768999999</v>
      </c>
    </row>
    <row r="213" spans="1:14" x14ac:dyDescent="0.25">
      <c r="A213">
        <v>32.889021</v>
      </c>
      <c r="B213" s="1">
        <f>DATE(2010,6,2) + TIME(21,20,11)</f>
        <v>40331.889016203706</v>
      </c>
      <c r="C213">
        <v>2400</v>
      </c>
      <c r="D213">
        <v>0</v>
      </c>
      <c r="E213">
        <v>0</v>
      </c>
      <c r="F213">
        <v>2400</v>
      </c>
      <c r="G213">
        <v>1393.2233887</v>
      </c>
      <c r="H213">
        <v>1379.1756591999999</v>
      </c>
      <c r="I213">
        <v>1250.7486572</v>
      </c>
      <c r="J213">
        <v>1211.2947998</v>
      </c>
      <c r="K213">
        <v>80</v>
      </c>
      <c r="L213">
        <v>79.874885559000006</v>
      </c>
      <c r="M213">
        <v>50</v>
      </c>
      <c r="N213">
        <v>14.997283936000001</v>
      </c>
    </row>
    <row r="214" spans="1:14" x14ac:dyDescent="0.25">
      <c r="A214">
        <v>33.384020999999997</v>
      </c>
      <c r="B214" s="1">
        <f>DATE(2010,6,3) + TIME(9,12,59)</f>
        <v>40332.384016203701</v>
      </c>
      <c r="C214">
        <v>2400</v>
      </c>
      <c r="D214">
        <v>0</v>
      </c>
      <c r="E214">
        <v>0</v>
      </c>
      <c r="F214">
        <v>2400</v>
      </c>
      <c r="G214">
        <v>1393.1265868999999</v>
      </c>
      <c r="H214">
        <v>1379.0839844</v>
      </c>
      <c r="I214">
        <v>1250.7554932</v>
      </c>
      <c r="J214">
        <v>1211.3013916</v>
      </c>
      <c r="K214">
        <v>80</v>
      </c>
      <c r="L214">
        <v>79.874992371000005</v>
      </c>
      <c r="M214">
        <v>50</v>
      </c>
      <c r="N214">
        <v>14.997302055</v>
      </c>
    </row>
    <row r="215" spans="1:14" x14ac:dyDescent="0.25">
      <c r="A215">
        <v>33.888302000000003</v>
      </c>
      <c r="B215" s="1">
        <f>DATE(2010,6,3) + TIME(21,19,9)</f>
        <v>40332.888298611113</v>
      </c>
      <c r="C215">
        <v>2400</v>
      </c>
      <c r="D215">
        <v>0</v>
      </c>
      <c r="E215">
        <v>0</v>
      </c>
      <c r="F215">
        <v>2400</v>
      </c>
      <c r="G215">
        <v>1393.0294189000001</v>
      </c>
      <c r="H215">
        <v>1378.9920654</v>
      </c>
      <c r="I215">
        <v>1250.7624512</v>
      </c>
      <c r="J215">
        <v>1211.3079834</v>
      </c>
      <c r="K215">
        <v>80</v>
      </c>
      <c r="L215">
        <v>79.875091553000004</v>
      </c>
      <c r="M215">
        <v>50</v>
      </c>
      <c r="N215">
        <v>14.997320175</v>
      </c>
    </row>
    <row r="216" spans="1:14" x14ac:dyDescent="0.25">
      <c r="A216">
        <v>34.141900999999997</v>
      </c>
      <c r="B216" s="1">
        <f>DATE(2010,6,4) + TIME(3,24,20)</f>
        <v>40333.141898148147</v>
      </c>
      <c r="C216">
        <v>2400</v>
      </c>
      <c r="D216">
        <v>0</v>
      </c>
      <c r="E216">
        <v>0</v>
      </c>
      <c r="F216">
        <v>2400</v>
      </c>
      <c r="G216">
        <v>1392.9312743999999</v>
      </c>
      <c r="H216">
        <v>1378.8990478999999</v>
      </c>
      <c r="I216">
        <v>1250.7691649999999</v>
      </c>
      <c r="J216">
        <v>1211.3143310999999</v>
      </c>
      <c r="K216">
        <v>80</v>
      </c>
      <c r="L216">
        <v>79.875137328999998</v>
      </c>
      <c r="M216">
        <v>50</v>
      </c>
      <c r="N216">
        <v>14.997331619000001</v>
      </c>
    </row>
    <row r="217" spans="1:14" x14ac:dyDescent="0.25">
      <c r="A217">
        <v>34.395499999999998</v>
      </c>
      <c r="B217" s="1">
        <f>DATE(2010,6,4) + TIME(9,29,31)</f>
        <v>40333.395497685182</v>
      </c>
      <c r="C217">
        <v>2400</v>
      </c>
      <c r="D217">
        <v>0</v>
      </c>
      <c r="E217">
        <v>0</v>
      </c>
      <c r="F217">
        <v>2400</v>
      </c>
      <c r="G217">
        <v>1392.8818358999999</v>
      </c>
      <c r="H217">
        <v>1378.8521728999999</v>
      </c>
      <c r="I217">
        <v>1250.7728271000001</v>
      </c>
      <c r="J217">
        <v>1211.3178711</v>
      </c>
      <c r="K217">
        <v>80</v>
      </c>
      <c r="L217">
        <v>79.875183105000005</v>
      </c>
      <c r="M217">
        <v>50</v>
      </c>
      <c r="N217">
        <v>14.99734211</v>
      </c>
    </row>
    <row r="218" spans="1:14" x14ac:dyDescent="0.25">
      <c r="A218">
        <v>34.649099</v>
      </c>
      <c r="B218" s="1">
        <f>DATE(2010,6,4) + TIME(15,34,42)</f>
        <v>40333.649097222224</v>
      </c>
      <c r="C218">
        <v>2400</v>
      </c>
      <c r="D218">
        <v>0</v>
      </c>
      <c r="E218">
        <v>0</v>
      </c>
      <c r="F218">
        <v>2400</v>
      </c>
      <c r="G218">
        <v>1392.8336182</v>
      </c>
      <c r="H218">
        <v>1378.8065185999999</v>
      </c>
      <c r="I218">
        <v>1250.7763672000001</v>
      </c>
      <c r="J218">
        <v>1211.3212891000001</v>
      </c>
      <c r="K218">
        <v>80</v>
      </c>
      <c r="L218">
        <v>79.875236510999997</v>
      </c>
      <c r="M218">
        <v>50</v>
      </c>
      <c r="N218">
        <v>14.997352599999999</v>
      </c>
    </row>
    <row r="219" spans="1:14" x14ac:dyDescent="0.25">
      <c r="A219">
        <v>34.902698999999998</v>
      </c>
      <c r="B219" s="1">
        <f>DATE(2010,6,4) + TIME(21,39,53)</f>
        <v>40333.902696759258</v>
      </c>
      <c r="C219">
        <v>2400</v>
      </c>
      <c r="D219">
        <v>0</v>
      </c>
      <c r="E219">
        <v>0</v>
      </c>
      <c r="F219">
        <v>2400</v>
      </c>
      <c r="G219">
        <v>1392.7857666</v>
      </c>
      <c r="H219">
        <v>1378.7612305</v>
      </c>
      <c r="I219">
        <v>1250.7800293</v>
      </c>
      <c r="J219">
        <v>1211.3248291</v>
      </c>
      <c r="K219">
        <v>80</v>
      </c>
      <c r="L219">
        <v>79.875282287999994</v>
      </c>
      <c r="M219">
        <v>50</v>
      </c>
      <c r="N219">
        <v>14.997362137</v>
      </c>
    </row>
    <row r="220" spans="1:14" x14ac:dyDescent="0.25">
      <c r="A220">
        <v>35.156298</v>
      </c>
      <c r="B220" s="1">
        <f>DATE(2010,6,5) + TIME(3,45,4)</f>
        <v>40334.1562962963</v>
      </c>
      <c r="C220">
        <v>2400</v>
      </c>
      <c r="D220">
        <v>0</v>
      </c>
      <c r="E220">
        <v>0</v>
      </c>
      <c r="F220">
        <v>2400</v>
      </c>
      <c r="G220">
        <v>1392.7381591999999</v>
      </c>
      <c r="H220">
        <v>1378.7161865</v>
      </c>
      <c r="I220">
        <v>1250.7835693</v>
      </c>
      <c r="J220">
        <v>1211.3282471</v>
      </c>
      <c r="K220">
        <v>80</v>
      </c>
      <c r="L220">
        <v>79.875335692999997</v>
      </c>
      <c r="M220">
        <v>50</v>
      </c>
      <c r="N220">
        <v>14.997371674</v>
      </c>
    </row>
    <row r="221" spans="1:14" x14ac:dyDescent="0.25">
      <c r="A221">
        <v>35.663496000000002</v>
      </c>
      <c r="B221" s="1">
        <f>DATE(2010,6,5) + TIME(15,55,26)</f>
        <v>40334.663495370369</v>
      </c>
      <c r="C221">
        <v>2400</v>
      </c>
      <c r="D221">
        <v>0</v>
      </c>
      <c r="E221">
        <v>0</v>
      </c>
      <c r="F221">
        <v>2400</v>
      </c>
      <c r="G221">
        <v>1392.6918945</v>
      </c>
      <c r="H221">
        <v>1378.6726074000001</v>
      </c>
      <c r="I221">
        <v>1250.7875977000001</v>
      </c>
      <c r="J221">
        <v>1211.3321533000001</v>
      </c>
      <c r="K221">
        <v>80</v>
      </c>
      <c r="L221">
        <v>79.875450134000005</v>
      </c>
      <c r="M221">
        <v>50</v>
      </c>
      <c r="N221">
        <v>14.997386932</v>
      </c>
    </row>
    <row r="222" spans="1:14" x14ac:dyDescent="0.25">
      <c r="A222">
        <v>36.170803999999997</v>
      </c>
      <c r="B222" s="1">
        <f>DATE(2010,6,6) + TIME(4,5,57)</f>
        <v>40335.170798611114</v>
      </c>
      <c r="C222">
        <v>2400</v>
      </c>
      <c r="D222">
        <v>0</v>
      </c>
      <c r="E222">
        <v>0</v>
      </c>
      <c r="F222">
        <v>2400</v>
      </c>
      <c r="G222">
        <v>1392.5988769999999</v>
      </c>
      <c r="H222">
        <v>1378.5847168</v>
      </c>
      <c r="I222">
        <v>1250.7947998</v>
      </c>
      <c r="J222">
        <v>1211.3389893000001</v>
      </c>
      <c r="K222">
        <v>80</v>
      </c>
      <c r="L222">
        <v>79.875556946000003</v>
      </c>
      <c r="M222">
        <v>50</v>
      </c>
      <c r="N222">
        <v>14.997403145</v>
      </c>
    </row>
    <row r="223" spans="1:14" x14ac:dyDescent="0.25">
      <c r="A223">
        <v>36.68047</v>
      </c>
      <c r="B223" s="1">
        <f>DATE(2010,6,6) + TIME(16,19,52)</f>
        <v>40335.680462962962</v>
      </c>
      <c r="C223">
        <v>2400</v>
      </c>
      <c r="D223">
        <v>0</v>
      </c>
      <c r="E223">
        <v>0</v>
      </c>
      <c r="F223">
        <v>2400</v>
      </c>
      <c r="G223">
        <v>1392.5067139</v>
      </c>
      <c r="H223">
        <v>1378.4976807</v>
      </c>
      <c r="I223">
        <v>1250.8020019999999</v>
      </c>
      <c r="J223">
        <v>1211.3459473</v>
      </c>
      <c r="K223">
        <v>80</v>
      </c>
      <c r="L223">
        <v>79.875663756999998</v>
      </c>
      <c r="M223">
        <v>50</v>
      </c>
      <c r="N223">
        <v>14.997419357</v>
      </c>
    </row>
    <row r="224" spans="1:14" x14ac:dyDescent="0.25">
      <c r="A224">
        <v>37.193243000000002</v>
      </c>
      <c r="B224" s="1">
        <f>DATE(2010,6,7) + TIME(4,38,16)</f>
        <v>40336.193240740744</v>
      </c>
      <c r="C224">
        <v>2400</v>
      </c>
      <c r="D224">
        <v>0</v>
      </c>
      <c r="E224">
        <v>0</v>
      </c>
      <c r="F224">
        <v>2400</v>
      </c>
      <c r="G224">
        <v>1392.4154053</v>
      </c>
      <c r="H224">
        <v>1378.4113769999999</v>
      </c>
      <c r="I224">
        <v>1250.8093262</v>
      </c>
      <c r="J224">
        <v>1211.3530272999999</v>
      </c>
      <c r="K224">
        <v>80</v>
      </c>
      <c r="L224">
        <v>79.875770568999997</v>
      </c>
      <c r="M224">
        <v>50</v>
      </c>
      <c r="N224">
        <v>14.99743557</v>
      </c>
    </row>
    <row r="225" spans="1:14" x14ac:dyDescent="0.25">
      <c r="A225">
        <v>37.709893999999998</v>
      </c>
      <c r="B225" s="1">
        <f>DATE(2010,6,7) + TIME(17,2,14)</f>
        <v>40336.70988425926</v>
      </c>
      <c r="C225">
        <v>2400</v>
      </c>
      <c r="D225">
        <v>0</v>
      </c>
      <c r="E225">
        <v>0</v>
      </c>
      <c r="F225">
        <v>2400</v>
      </c>
      <c r="G225">
        <v>1392.324707</v>
      </c>
      <c r="H225">
        <v>1378.3258057</v>
      </c>
      <c r="I225">
        <v>1250.8167725000001</v>
      </c>
      <c r="J225">
        <v>1211.3599853999999</v>
      </c>
      <c r="K225">
        <v>80</v>
      </c>
      <c r="L225">
        <v>79.875877380000006</v>
      </c>
      <c r="M225">
        <v>50</v>
      </c>
      <c r="N225">
        <v>14.997452736</v>
      </c>
    </row>
    <row r="226" spans="1:14" x14ac:dyDescent="0.25">
      <c r="A226">
        <v>38.231212999999997</v>
      </c>
      <c r="B226" s="1">
        <f>DATE(2010,6,8) + TIME(5,32,56)</f>
        <v>40337.231203703705</v>
      </c>
      <c r="C226">
        <v>2400</v>
      </c>
      <c r="D226">
        <v>0</v>
      </c>
      <c r="E226">
        <v>0</v>
      </c>
      <c r="F226">
        <v>2400</v>
      </c>
      <c r="G226">
        <v>1392.2346190999999</v>
      </c>
      <c r="H226">
        <v>1378.2407227000001</v>
      </c>
      <c r="I226">
        <v>1250.8242187999999</v>
      </c>
      <c r="J226">
        <v>1211.3671875</v>
      </c>
      <c r="K226">
        <v>80</v>
      </c>
      <c r="L226">
        <v>79.875984192000004</v>
      </c>
      <c r="M226">
        <v>50</v>
      </c>
      <c r="N226">
        <v>14.997468948</v>
      </c>
    </row>
    <row r="227" spans="1:14" x14ac:dyDescent="0.25">
      <c r="A227">
        <v>38.758009999999999</v>
      </c>
      <c r="B227" s="1">
        <f>DATE(2010,6,8) + TIME(18,11,32)</f>
        <v>40337.758009259262</v>
      </c>
      <c r="C227">
        <v>2400</v>
      </c>
      <c r="D227">
        <v>0</v>
      </c>
      <c r="E227">
        <v>0</v>
      </c>
      <c r="F227">
        <v>2400</v>
      </c>
      <c r="G227">
        <v>1392.1447754000001</v>
      </c>
      <c r="H227">
        <v>1378.1560059000001</v>
      </c>
      <c r="I227">
        <v>1250.8316649999999</v>
      </c>
      <c r="J227">
        <v>1211.3743896000001</v>
      </c>
      <c r="K227">
        <v>80</v>
      </c>
      <c r="L227">
        <v>79.876091002999999</v>
      </c>
      <c r="M227">
        <v>50</v>
      </c>
      <c r="N227">
        <v>14.997486114999999</v>
      </c>
    </row>
    <row r="228" spans="1:14" x14ac:dyDescent="0.25">
      <c r="A228">
        <v>39.291131999999998</v>
      </c>
      <c r="B228" s="1">
        <f>DATE(2010,6,9) + TIME(6,59,13)</f>
        <v>40338.291122685187</v>
      </c>
      <c r="C228">
        <v>2400</v>
      </c>
      <c r="D228">
        <v>0</v>
      </c>
      <c r="E228">
        <v>0</v>
      </c>
      <c r="F228">
        <v>2400</v>
      </c>
      <c r="G228">
        <v>1392.0552978999999</v>
      </c>
      <c r="H228">
        <v>1378.0715332</v>
      </c>
      <c r="I228">
        <v>1250.8393555</v>
      </c>
      <c r="J228">
        <v>1211.3817139</v>
      </c>
      <c r="K228">
        <v>80</v>
      </c>
      <c r="L228">
        <v>79.876205443999993</v>
      </c>
      <c r="M228">
        <v>50</v>
      </c>
      <c r="N228">
        <v>14.997502326999999</v>
      </c>
    </row>
    <row r="229" spans="1:14" x14ac:dyDescent="0.25">
      <c r="A229">
        <v>39.831691999999997</v>
      </c>
      <c r="B229" s="1">
        <f>DATE(2010,6,9) + TIME(19,57,38)</f>
        <v>40338.831689814811</v>
      </c>
      <c r="C229">
        <v>2400</v>
      </c>
      <c r="D229">
        <v>0</v>
      </c>
      <c r="E229">
        <v>0</v>
      </c>
      <c r="F229">
        <v>2400</v>
      </c>
      <c r="G229">
        <v>1391.9658202999999</v>
      </c>
      <c r="H229">
        <v>1377.9873047000001</v>
      </c>
      <c r="I229">
        <v>1250.847168</v>
      </c>
      <c r="J229">
        <v>1211.3891602000001</v>
      </c>
      <c r="K229">
        <v>80</v>
      </c>
      <c r="L229">
        <v>79.876312256000006</v>
      </c>
      <c r="M229">
        <v>50</v>
      </c>
      <c r="N229">
        <v>14.997519493</v>
      </c>
    </row>
    <row r="230" spans="1:14" x14ac:dyDescent="0.25">
      <c r="A230">
        <v>40.380408000000003</v>
      </c>
      <c r="B230" s="1">
        <f>DATE(2010,6,10) + TIME(9,7,47)</f>
        <v>40339.38040509259</v>
      </c>
      <c r="C230">
        <v>2400</v>
      </c>
      <c r="D230">
        <v>0</v>
      </c>
      <c r="E230">
        <v>0</v>
      </c>
      <c r="F230">
        <v>2400</v>
      </c>
      <c r="G230">
        <v>1391.8763428</v>
      </c>
      <c r="H230">
        <v>1377.9029541</v>
      </c>
      <c r="I230">
        <v>1250.8551024999999</v>
      </c>
      <c r="J230">
        <v>1211.3967285000001</v>
      </c>
      <c r="K230">
        <v>80</v>
      </c>
      <c r="L230">
        <v>79.876426696999999</v>
      </c>
      <c r="M230">
        <v>50</v>
      </c>
      <c r="N230">
        <v>14.997536659</v>
      </c>
    </row>
    <row r="231" spans="1:14" x14ac:dyDescent="0.25">
      <c r="A231">
        <v>40.938257999999998</v>
      </c>
      <c r="B231" s="1">
        <f>DATE(2010,6,10) + TIME(22,31,5)</f>
        <v>40339.938252314816</v>
      </c>
      <c r="C231">
        <v>2400</v>
      </c>
      <c r="D231">
        <v>0</v>
      </c>
      <c r="E231">
        <v>0</v>
      </c>
      <c r="F231">
        <v>2400</v>
      </c>
      <c r="G231">
        <v>1391.7867432</v>
      </c>
      <c r="H231">
        <v>1377.8184814000001</v>
      </c>
      <c r="I231">
        <v>1250.8631591999999</v>
      </c>
      <c r="J231">
        <v>1211.4045410000001</v>
      </c>
      <c r="K231">
        <v>80</v>
      </c>
      <c r="L231">
        <v>79.876541137999993</v>
      </c>
      <c r="M231">
        <v>50</v>
      </c>
      <c r="N231">
        <v>14.997552872</v>
      </c>
    </row>
    <row r="232" spans="1:14" x14ac:dyDescent="0.25">
      <c r="A232">
        <v>41.506345000000003</v>
      </c>
      <c r="B232" s="1">
        <f>DATE(2010,6,11) + TIME(12,9,8)</f>
        <v>40340.506342592591</v>
      </c>
      <c r="C232">
        <v>2400</v>
      </c>
      <c r="D232">
        <v>0</v>
      </c>
      <c r="E232">
        <v>0</v>
      </c>
      <c r="F232">
        <v>2400</v>
      </c>
      <c r="G232">
        <v>1391.6968993999999</v>
      </c>
      <c r="H232">
        <v>1377.7338867000001</v>
      </c>
      <c r="I232">
        <v>1250.8713379000001</v>
      </c>
      <c r="J232">
        <v>1211.4123535000001</v>
      </c>
      <c r="K232">
        <v>80</v>
      </c>
      <c r="L232">
        <v>79.876655579000001</v>
      </c>
      <c r="M232">
        <v>50</v>
      </c>
      <c r="N232">
        <v>14.997570037999999</v>
      </c>
    </row>
    <row r="233" spans="1:14" x14ac:dyDescent="0.25">
      <c r="A233">
        <v>42.084921000000001</v>
      </c>
      <c r="B233" s="1">
        <f>DATE(2010,6,12) + TIME(2,2,17)</f>
        <v>40341.084918981483</v>
      </c>
      <c r="C233">
        <v>2400</v>
      </c>
      <c r="D233">
        <v>0</v>
      </c>
      <c r="E233">
        <v>0</v>
      </c>
      <c r="F233">
        <v>2400</v>
      </c>
      <c r="G233">
        <v>1391.6064452999999</v>
      </c>
      <c r="H233">
        <v>1377.6488036999999</v>
      </c>
      <c r="I233">
        <v>1250.8797606999999</v>
      </c>
      <c r="J233">
        <v>1211.4204102000001</v>
      </c>
      <c r="K233">
        <v>80</v>
      </c>
      <c r="L233">
        <v>79.876777649000005</v>
      </c>
      <c r="M233">
        <v>50</v>
      </c>
      <c r="N233">
        <v>14.997587204</v>
      </c>
    </row>
    <row r="234" spans="1:14" x14ac:dyDescent="0.25">
      <c r="A234">
        <v>42.673206999999998</v>
      </c>
      <c r="B234" s="1">
        <f>DATE(2010,6,12) + TIME(16,9,25)</f>
        <v>40341.673206018517</v>
      </c>
      <c r="C234">
        <v>2400</v>
      </c>
      <c r="D234">
        <v>0</v>
      </c>
      <c r="E234">
        <v>0</v>
      </c>
      <c r="F234">
        <v>2400</v>
      </c>
      <c r="G234">
        <v>1391.515625</v>
      </c>
      <c r="H234">
        <v>1377.5632324000001</v>
      </c>
      <c r="I234">
        <v>1250.8884277</v>
      </c>
      <c r="J234">
        <v>1211.4287108999999</v>
      </c>
      <c r="K234">
        <v>80</v>
      </c>
      <c r="L234">
        <v>79.876899718999994</v>
      </c>
      <c r="M234">
        <v>50</v>
      </c>
      <c r="N234">
        <v>14.997604369999999</v>
      </c>
    </row>
    <row r="235" spans="1:14" x14ac:dyDescent="0.25">
      <c r="A235">
        <v>42.968359999999997</v>
      </c>
      <c r="B235" s="1">
        <f>DATE(2010,6,12) + TIME(23,14,26)</f>
        <v>40341.968356481484</v>
      </c>
      <c r="C235">
        <v>2400</v>
      </c>
      <c r="D235">
        <v>0</v>
      </c>
      <c r="E235">
        <v>0</v>
      </c>
      <c r="F235">
        <v>2400</v>
      </c>
      <c r="G235">
        <v>1391.4240723</v>
      </c>
      <c r="H235">
        <v>1377.4769286999999</v>
      </c>
      <c r="I235">
        <v>1250.8967285000001</v>
      </c>
      <c r="J235">
        <v>1211.4366454999999</v>
      </c>
      <c r="K235">
        <v>80</v>
      </c>
      <c r="L235">
        <v>79.876953125</v>
      </c>
      <c r="M235">
        <v>50</v>
      </c>
      <c r="N235">
        <v>14.997615814</v>
      </c>
    </row>
    <row r="236" spans="1:14" x14ac:dyDescent="0.25">
      <c r="A236">
        <v>43.263513000000003</v>
      </c>
      <c r="B236" s="1">
        <f>DATE(2010,6,13) + TIME(6,19,27)</f>
        <v>40342.263506944444</v>
      </c>
      <c r="C236">
        <v>2400</v>
      </c>
      <c r="D236">
        <v>0</v>
      </c>
      <c r="E236">
        <v>0</v>
      </c>
      <c r="F236">
        <v>2400</v>
      </c>
      <c r="G236">
        <v>1391.3779297000001</v>
      </c>
      <c r="H236">
        <v>1377.4334716999999</v>
      </c>
      <c r="I236">
        <v>1250.9012451000001</v>
      </c>
      <c r="J236">
        <v>1211.440918</v>
      </c>
      <c r="K236">
        <v>80</v>
      </c>
      <c r="L236">
        <v>79.877006531000006</v>
      </c>
      <c r="M236">
        <v>50</v>
      </c>
      <c r="N236">
        <v>14.997625351</v>
      </c>
    </row>
    <row r="237" spans="1:14" x14ac:dyDescent="0.25">
      <c r="A237">
        <v>43.558667</v>
      </c>
      <c r="B237" s="1">
        <f>DATE(2010,6,13) + TIME(13,24,28)</f>
        <v>40342.558657407404</v>
      </c>
      <c r="C237">
        <v>2400</v>
      </c>
      <c r="D237">
        <v>0</v>
      </c>
      <c r="E237">
        <v>0</v>
      </c>
      <c r="F237">
        <v>2400</v>
      </c>
      <c r="G237">
        <v>1391.3328856999999</v>
      </c>
      <c r="H237">
        <v>1377.3911132999999</v>
      </c>
      <c r="I237">
        <v>1250.9057617000001</v>
      </c>
      <c r="J237">
        <v>1211.4451904</v>
      </c>
      <c r="K237">
        <v>80</v>
      </c>
      <c r="L237">
        <v>79.877067565999994</v>
      </c>
      <c r="M237">
        <v>50</v>
      </c>
      <c r="N237">
        <v>14.997635840999999</v>
      </c>
    </row>
    <row r="238" spans="1:14" x14ac:dyDescent="0.25">
      <c r="A238">
        <v>43.853819999999999</v>
      </c>
      <c r="B238" s="1">
        <f>DATE(2010,6,13) + TIME(20,29,30)</f>
        <v>40342.853819444441</v>
      </c>
      <c r="C238">
        <v>2400</v>
      </c>
      <c r="D238">
        <v>0</v>
      </c>
      <c r="E238">
        <v>0</v>
      </c>
      <c r="F238">
        <v>2400</v>
      </c>
      <c r="G238">
        <v>1391.2882079999999</v>
      </c>
      <c r="H238">
        <v>1377.348999</v>
      </c>
      <c r="I238">
        <v>1250.9101562000001</v>
      </c>
      <c r="J238">
        <v>1211.4494629000001</v>
      </c>
      <c r="K238">
        <v>80</v>
      </c>
      <c r="L238">
        <v>79.877128600999995</v>
      </c>
      <c r="M238">
        <v>50</v>
      </c>
      <c r="N238">
        <v>14.997644424000001</v>
      </c>
    </row>
    <row r="239" spans="1:14" x14ac:dyDescent="0.25">
      <c r="A239">
        <v>44.148972999999998</v>
      </c>
      <c r="B239" s="1">
        <f>DATE(2010,6,14) + TIME(3,34,31)</f>
        <v>40343.148969907408</v>
      </c>
      <c r="C239">
        <v>2400</v>
      </c>
      <c r="D239">
        <v>0</v>
      </c>
      <c r="E239">
        <v>0</v>
      </c>
      <c r="F239">
        <v>2400</v>
      </c>
      <c r="G239">
        <v>1391.2437743999999</v>
      </c>
      <c r="H239">
        <v>1377.307251</v>
      </c>
      <c r="I239">
        <v>1250.9146728999999</v>
      </c>
      <c r="J239">
        <v>1211.4537353999999</v>
      </c>
      <c r="K239">
        <v>80</v>
      </c>
      <c r="L239">
        <v>79.877182007000002</v>
      </c>
      <c r="M239">
        <v>50</v>
      </c>
      <c r="N239">
        <v>14.997653960999999</v>
      </c>
    </row>
    <row r="240" spans="1:14" x14ac:dyDescent="0.25">
      <c r="A240">
        <v>44.739280000000001</v>
      </c>
      <c r="B240" s="1">
        <f>DATE(2010,6,14) + TIME(17,44,33)</f>
        <v>40343.739270833335</v>
      </c>
      <c r="C240">
        <v>2400</v>
      </c>
      <c r="D240">
        <v>0</v>
      </c>
      <c r="E240">
        <v>0</v>
      </c>
      <c r="F240">
        <v>2400</v>
      </c>
      <c r="G240">
        <v>1391.2004394999999</v>
      </c>
      <c r="H240">
        <v>1377.2666016000001</v>
      </c>
      <c r="I240">
        <v>1250.9195557</v>
      </c>
      <c r="J240">
        <v>1211.458374</v>
      </c>
      <c r="K240">
        <v>80</v>
      </c>
      <c r="L240">
        <v>79.877319335999999</v>
      </c>
      <c r="M240">
        <v>50</v>
      </c>
      <c r="N240">
        <v>14.997668266</v>
      </c>
    </row>
    <row r="241" spans="1:14" x14ac:dyDescent="0.25">
      <c r="A241">
        <v>45.329709999999999</v>
      </c>
      <c r="B241" s="1">
        <f>DATE(2010,6,15) + TIME(7,54,46)</f>
        <v>40344.329699074071</v>
      </c>
      <c r="C241">
        <v>2400</v>
      </c>
      <c r="D241">
        <v>0</v>
      </c>
      <c r="E241">
        <v>0</v>
      </c>
      <c r="F241">
        <v>2400</v>
      </c>
      <c r="G241">
        <v>1391.1135254000001</v>
      </c>
      <c r="H241">
        <v>1377.1848144999999</v>
      </c>
      <c r="I241">
        <v>1250.9284668</v>
      </c>
      <c r="J241">
        <v>1211.4669189000001</v>
      </c>
      <c r="K241">
        <v>80</v>
      </c>
      <c r="L241">
        <v>79.877449036000002</v>
      </c>
      <c r="M241">
        <v>50</v>
      </c>
      <c r="N241">
        <v>14.997682571</v>
      </c>
    </row>
    <row r="242" spans="1:14" x14ac:dyDescent="0.25">
      <c r="A242">
        <v>45.923045000000002</v>
      </c>
      <c r="B242" s="1">
        <f>DATE(2010,6,15) + TIME(22,9,11)</f>
        <v>40344.923043981478</v>
      </c>
      <c r="C242">
        <v>2400</v>
      </c>
      <c r="D242">
        <v>0</v>
      </c>
      <c r="E242">
        <v>0</v>
      </c>
      <c r="F242">
        <v>2400</v>
      </c>
      <c r="G242">
        <v>1391.0272216999999</v>
      </c>
      <c r="H242">
        <v>1377.1037598</v>
      </c>
      <c r="I242">
        <v>1250.9373779</v>
      </c>
      <c r="J242">
        <v>1211.4754639</v>
      </c>
      <c r="K242">
        <v>80</v>
      </c>
      <c r="L242">
        <v>79.877571106000005</v>
      </c>
      <c r="M242">
        <v>50</v>
      </c>
      <c r="N242">
        <v>14.997698784000001</v>
      </c>
    </row>
    <row r="243" spans="1:14" x14ac:dyDescent="0.25">
      <c r="A243">
        <v>46.520170999999998</v>
      </c>
      <c r="B243" s="1">
        <f>DATE(2010,6,16) + TIME(12,29,2)</f>
        <v>40345.520162037035</v>
      </c>
      <c r="C243">
        <v>2400</v>
      </c>
      <c r="D243">
        <v>0</v>
      </c>
      <c r="E243">
        <v>0</v>
      </c>
      <c r="F243">
        <v>2400</v>
      </c>
      <c r="G243">
        <v>1390.9415283000001</v>
      </c>
      <c r="H243">
        <v>1377.0231934000001</v>
      </c>
      <c r="I243">
        <v>1250.9465332</v>
      </c>
      <c r="J243">
        <v>1211.4841309000001</v>
      </c>
      <c r="K243">
        <v>80</v>
      </c>
      <c r="L243">
        <v>79.877693175999994</v>
      </c>
      <c r="M243">
        <v>50</v>
      </c>
      <c r="N243">
        <v>14.997714043</v>
      </c>
    </row>
    <row r="244" spans="1:14" x14ac:dyDescent="0.25">
      <c r="A244">
        <v>47.121996000000003</v>
      </c>
      <c r="B244" s="1">
        <f>DATE(2010,6,17) + TIME(2,55,40)</f>
        <v>40346.121990740743</v>
      </c>
      <c r="C244">
        <v>2400</v>
      </c>
      <c r="D244">
        <v>0</v>
      </c>
      <c r="E244">
        <v>0</v>
      </c>
      <c r="F244">
        <v>2400</v>
      </c>
      <c r="G244">
        <v>1390.8564452999999</v>
      </c>
      <c r="H244">
        <v>1376.9432373</v>
      </c>
      <c r="I244">
        <v>1250.9556885</v>
      </c>
      <c r="J244">
        <v>1211.4927978999999</v>
      </c>
      <c r="K244">
        <v>80</v>
      </c>
      <c r="L244">
        <v>79.877822875999996</v>
      </c>
      <c r="M244">
        <v>50</v>
      </c>
      <c r="N244">
        <v>14.997730255</v>
      </c>
    </row>
    <row r="245" spans="1:14" x14ac:dyDescent="0.25">
      <c r="A245">
        <v>47.729460000000003</v>
      </c>
      <c r="B245" s="1">
        <f>DATE(2010,6,17) + TIME(17,30,25)</f>
        <v>40346.729456018518</v>
      </c>
      <c r="C245">
        <v>2400</v>
      </c>
      <c r="D245">
        <v>0</v>
      </c>
      <c r="E245">
        <v>0</v>
      </c>
      <c r="F245">
        <v>2400</v>
      </c>
      <c r="G245">
        <v>1390.7717285000001</v>
      </c>
      <c r="H245">
        <v>1376.8636475000001</v>
      </c>
      <c r="I245">
        <v>1250.9649658000001</v>
      </c>
      <c r="J245">
        <v>1211.5017089999999</v>
      </c>
      <c r="K245">
        <v>80</v>
      </c>
      <c r="L245">
        <v>79.877944946</v>
      </c>
      <c r="M245">
        <v>50</v>
      </c>
      <c r="N245">
        <v>14.997745514</v>
      </c>
    </row>
    <row r="246" spans="1:14" x14ac:dyDescent="0.25">
      <c r="A246">
        <v>48.343528999999997</v>
      </c>
      <c r="B246" s="1">
        <f>DATE(2010,6,18) + TIME(8,14,40)</f>
        <v>40347.343518518515</v>
      </c>
      <c r="C246">
        <v>2400</v>
      </c>
      <c r="D246">
        <v>0</v>
      </c>
      <c r="E246">
        <v>0</v>
      </c>
      <c r="F246">
        <v>2400</v>
      </c>
      <c r="G246">
        <v>1390.6872559000001</v>
      </c>
      <c r="H246">
        <v>1376.7844238</v>
      </c>
      <c r="I246">
        <v>1250.9743652</v>
      </c>
      <c r="J246">
        <v>1211.5106201000001</v>
      </c>
      <c r="K246">
        <v>80</v>
      </c>
      <c r="L246">
        <v>79.878074646000002</v>
      </c>
      <c r="M246">
        <v>50</v>
      </c>
      <c r="N246">
        <v>14.997761726</v>
      </c>
    </row>
    <row r="247" spans="1:14" x14ac:dyDescent="0.25">
      <c r="A247">
        <v>48.965353</v>
      </c>
      <c r="B247" s="1">
        <f>DATE(2010,6,18) + TIME(23,10,6)</f>
        <v>40347.96534722222</v>
      </c>
      <c r="C247">
        <v>2400</v>
      </c>
      <c r="D247">
        <v>0</v>
      </c>
      <c r="E247">
        <v>0</v>
      </c>
      <c r="F247">
        <v>2400</v>
      </c>
      <c r="G247">
        <v>1390.6029053</v>
      </c>
      <c r="H247">
        <v>1376.7052002</v>
      </c>
      <c r="I247">
        <v>1250.9838867000001</v>
      </c>
      <c r="J247">
        <v>1211.5197754000001</v>
      </c>
      <c r="K247">
        <v>80</v>
      </c>
      <c r="L247">
        <v>79.878204346000004</v>
      </c>
      <c r="M247">
        <v>50</v>
      </c>
      <c r="N247">
        <v>14.997777939000001</v>
      </c>
    </row>
    <row r="248" spans="1:14" x14ac:dyDescent="0.25">
      <c r="A248">
        <v>49.595993</v>
      </c>
      <c r="B248" s="1">
        <f>DATE(2010,6,19) + TIME(14,18,13)</f>
        <v>40348.595983796295</v>
      </c>
      <c r="C248">
        <v>2400</v>
      </c>
      <c r="D248">
        <v>0</v>
      </c>
      <c r="E248">
        <v>0</v>
      </c>
      <c r="F248">
        <v>2400</v>
      </c>
      <c r="G248">
        <v>1390.5185547000001</v>
      </c>
      <c r="H248">
        <v>1376.6259766000001</v>
      </c>
      <c r="I248">
        <v>1250.9936522999999</v>
      </c>
      <c r="J248">
        <v>1211.5290527</v>
      </c>
      <c r="K248">
        <v>80</v>
      </c>
      <c r="L248">
        <v>79.878334045000003</v>
      </c>
      <c r="M248">
        <v>50</v>
      </c>
      <c r="N248">
        <v>14.997794151000001</v>
      </c>
    </row>
    <row r="249" spans="1:14" x14ac:dyDescent="0.25">
      <c r="A249">
        <v>50.236445000000003</v>
      </c>
      <c r="B249" s="1">
        <f>DATE(2010,6,20) + TIME(5,40,28)</f>
        <v>40349.236435185187</v>
      </c>
      <c r="C249">
        <v>2400</v>
      </c>
      <c r="D249">
        <v>0</v>
      </c>
      <c r="E249">
        <v>0</v>
      </c>
      <c r="F249">
        <v>2400</v>
      </c>
      <c r="G249">
        <v>1390.4339600000001</v>
      </c>
      <c r="H249">
        <v>1376.5467529</v>
      </c>
      <c r="I249">
        <v>1251.0035399999999</v>
      </c>
      <c r="J249">
        <v>1211.5384521000001</v>
      </c>
      <c r="K249">
        <v>80</v>
      </c>
      <c r="L249">
        <v>79.878463745000005</v>
      </c>
      <c r="M249">
        <v>50</v>
      </c>
      <c r="N249">
        <v>14.997810363999999</v>
      </c>
    </row>
    <row r="250" spans="1:14" x14ac:dyDescent="0.25">
      <c r="A250">
        <v>50.887889000000001</v>
      </c>
      <c r="B250" s="1">
        <f>DATE(2010,6,20) + TIME(21,18,33)</f>
        <v>40349.887881944444</v>
      </c>
      <c r="C250">
        <v>2400</v>
      </c>
      <c r="D250">
        <v>0</v>
      </c>
      <c r="E250">
        <v>0</v>
      </c>
      <c r="F250">
        <v>2400</v>
      </c>
      <c r="G250">
        <v>1390.3492432</v>
      </c>
      <c r="H250">
        <v>1376.4671631000001</v>
      </c>
      <c r="I250">
        <v>1251.0136719</v>
      </c>
      <c r="J250">
        <v>1211.5480957</v>
      </c>
      <c r="K250">
        <v>80</v>
      </c>
      <c r="L250">
        <v>79.878601074000002</v>
      </c>
      <c r="M250">
        <v>50</v>
      </c>
      <c r="N250">
        <v>14.997826576</v>
      </c>
    </row>
    <row r="251" spans="1:14" x14ac:dyDescent="0.25">
      <c r="A251">
        <v>51.551219000000003</v>
      </c>
      <c r="B251" s="1">
        <f>DATE(2010,6,21) + TIME(13,13,45)</f>
        <v>40350.551215277781</v>
      </c>
      <c r="C251">
        <v>2400</v>
      </c>
      <c r="D251">
        <v>0</v>
      </c>
      <c r="E251">
        <v>0</v>
      </c>
      <c r="F251">
        <v>2400</v>
      </c>
      <c r="G251">
        <v>1390.2640381000001</v>
      </c>
      <c r="H251">
        <v>1376.3873291</v>
      </c>
      <c r="I251">
        <v>1251.0239257999999</v>
      </c>
      <c r="J251">
        <v>1211.5579834</v>
      </c>
      <c r="K251">
        <v>80</v>
      </c>
      <c r="L251">
        <v>79.878738403</v>
      </c>
      <c r="M251">
        <v>50</v>
      </c>
      <c r="N251">
        <v>14.997842789</v>
      </c>
    </row>
    <row r="252" spans="1:14" x14ac:dyDescent="0.25">
      <c r="A252">
        <v>52.224263000000001</v>
      </c>
      <c r="B252" s="1">
        <f>DATE(2010,6,22) + TIME(5,22,56)</f>
        <v>40351.224259259259</v>
      </c>
      <c r="C252">
        <v>2400</v>
      </c>
      <c r="D252">
        <v>0</v>
      </c>
      <c r="E252">
        <v>0</v>
      </c>
      <c r="F252">
        <v>2400</v>
      </c>
      <c r="G252">
        <v>1390.1783447</v>
      </c>
      <c r="H252">
        <v>1376.3070068</v>
      </c>
      <c r="I252">
        <v>1251.0345459</v>
      </c>
      <c r="J252">
        <v>1211.5679932</v>
      </c>
      <c r="K252">
        <v>80</v>
      </c>
      <c r="L252">
        <v>79.878883361999996</v>
      </c>
      <c r="M252">
        <v>50</v>
      </c>
      <c r="N252">
        <v>14.997859001</v>
      </c>
    </row>
    <row r="253" spans="1:14" x14ac:dyDescent="0.25">
      <c r="A253">
        <v>52.562035999999999</v>
      </c>
      <c r="B253" s="1">
        <f>DATE(2010,6,22) + TIME(13,29,19)</f>
        <v>40351.562025462961</v>
      </c>
      <c r="C253">
        <v>2400</v>
      </c>
      <c r="D253">
        <v>0</v>
      </c>
      <c r="E253">
        <v>0</v>
      </c>
      <c r="F253">
        <v>2400</v>
      </c>
      <c r="G253">
        <v>1390.0920410000001</v>
      </c>
      <c r="H253">
        <v>1376.2259521000001</v>
      </c>
      <c r="I253">
        <v>1251.0449219</v>
      </c>
      <c r="J253">
        <v>1211.5777588000001</v>
      </c>
      <c r="K253">
        <v>80</v>
      </c>
      <c r="L253">
        <v>79.878936768000003</v>
      </c>
      <c r="M253">
        <v>50</v>
      </c>
      <c r="N253">
        <v>14.997870445</v>
      </c>
    </row>
    <row r="254" spans="1:14" x14ac:dyDescent="0.25">
      <c r="A254">
        <v>52.899808999999998</v>
      </c>
      <c r="B254" s="1">
        <f>DATE(2010,6,22) + TIME(21,35,43)</f>
        <v>40351.89980324074</v>
      </c>
      <c r="C254">
        <v>2400</v>
      </c>
      <c r="D254">
        <v>0</v>
      </c>
      <c r="E254">
        <v>0</v>
      </c>
      <c r="F254">
        <v>2400</v>
      </c>
      <c r="G254">
        <v>1390.0485839999999</v>
      </c>
      <c r="H254">
        <v>1376.1851807</v>
      </c>
      <c r="I254">
        <v>1251.0504149999999</v>
      </c>
      <c r="J254">
        <v>1211.5831298999999</v>
      </c>
      <c r="K254">
        <v>80</v>
      </c>
      <c r="L254">
        <v>79.879005432</v>
      </c>
      <c r="M254">
        <v>50</v>
      </c>
      <c r="N254">
        <v>14.997879982000001</v>
      </c>
    </row>
    <row r="255" spans="1:14" x14ac:dyDescent="0.25">
      <c r="A255">
        <v>53.237580999999999</v>
      </c>
      <c r="B255" s="1">
        <f>DATE(2010,6,23) + TIME(5,42,7)</f>
        <v>40352.237581018519</v>
      </c>
      <c r="C255">
        <v>2400</v>
      </c>
      <c r="D255">
        <v>0</v>
      </c>
      <c r="E255">
        <v>0</v>
      </c>
      <c r="F255">
        <v>2400</v>
      </c>
      <c r="G255">
        <v>1390.0059814000001</v>
      </c>
      <c r="H255">
        <v>1376.1452637</v>
      </c>
      <c r="I255">
        <v>1251.0559082</v>
      </c>
      <c r="J255">
        <v>1211.5882568</v>
      </c>
      <c r="K255">
        <v>80</v>
      </c>
      <c r="L255">
        <v>79.879074097</v>
      </c>
      <c r="M255">
        <v>50</v>
      </c>
      <c r="N255">
        <v>14.997889518999999</v>
      </c>
    </row>
    <row r="256" spans="1:14" x14ac:dyDescent="0.25">
      <c r="A256">
        <v>53.575353999999997</v>
      </c>
      <c r="B256" s="1">
        <f>DATE(2010,6,23) + TIME(13,48,30)</f>
        <v>40352.57534722222</v>
      </c>
      <c r="C256">
        <v>2400</v>
      </c>
      <c r="D256">
        <v>0</v>
      </c>
      <c r="E256">
        <v>0</v>
      </c>
      <c r="F256">
        <v>2400</v>
      </c>
      <c r="G256">
        <v>1389.9637451000001</v>
      </c>
      <c r="H256">
        <v>1376.1057129000001</v>
      </c>
      <c r="I256">
        <v>1251.0614014</v>
      </c>
      <c r="J256">
        <v>1211.5935059000001</v>
      </c>
      <c r="K256">
        <v>80</v>
      </c>
      <c r="L256">
        <v>79.879142760999997</v>
      </c>
      <c r="M256">
        <v>50</v>
      </c>
      <c r="N256">
        <v>14.997898102000001</v>
      </c>
    </row>
    <row r="257" spans="1:14" x14ac:dyDescent="0.25">
      <c r="A257">
        <v>53.913127000000003</v>
      </c>
      <c r="B257" s="1">
        <f>DATE(2010,6,23) + TIME(21,54,54)</f>
        <v>40352.913124999999</v>
      </c>
      <c r="C257">
        <v>2400</v>
      </c>
      <c r="D257">
        <v>0</v>
      </c>
      <c r="E257">
        <v>0</v>
      </c>
      <c r="F257">
        <v>2400</v>
      </c>
      <c r="G257">
        <v>1389.921875</v>
      </c>
      <c r="H257">
        <v>1376.0662841999999</v>
      </c>
      <c r="I257">
        <v>1251.0668945</v>
      </c>
      <c r="J257">
        <v>1211.5987548999999</v>
      </c>
      <c r="K257">
        <v>80</v>
      </c>
      <c r="L257">
        <v>79.879211425999998</v>
      </c>
      <c r="M257">
        <v>50</v>
      </c>
      <c r="N257">
        <v>14.997906685</v>
      </c>
    </row>
    <row r="258" spans="1:14" x14ac:dyDescent="0.25">
      <c r="A258">
        <v>54.250900000000001</v>
      </c>
      <c r="B258" s="1">
        <f>DATE(2010,6,24) + TIME(6,1,17)</f>
        <v>40353.250891203701</v>
      </c>
      <c r="C258">
        <v>2400</v>
      </c>
      <c r="D258">
        <v>0</v>
      </c>
      <c r="E258">
        <v>0</v>
      </c>
      <c r="F258">
        <v>2400</v>
      </c>
      <c r="G258">
        <v>1389.8801269999999</v>
      </c>
      <c r="H258">
        <v>1376.0272216999999</v>
      </c>
      <c r="I258">
        <v>1251.0723877</v>
      </c>
      <c r="J258">
        <v>1211.6040039</v>
      </c>
      <c r="K258">
        <v>80</v>
      </c>
      <c r="L258">
        <v>79.879280089999995</v>
      </c>
      <c r="M258">
        <v>50</v>
      </c>
      <c r="N258">
        <v>14.997915268</v>
      </c>
    </row>
    <row r="259" spans="1:14" x14ac:dyDescent="0.25">
      <c r="A259">
        <v>54.926445000000001</v>
      </c>
      <c r="B259" s="1">
        <f>DATE(2010,6,24) + TIME(22,14,4)</f>
        <v>40353.926435185182</v>
      </c>
      <c r="C259">
        <v>2400</v>
      </c>
      <c r="D259">
        <v>0</v>
      </c>
      <c r="E259">
        <v>0</v>
      </c>
      <c r="F259">
        <v>2400</v>
      </c>
      <c r="G259">
        <v>1389.8394774999999</v>
      </c>
      <c r="H259">
        <v>1375.9891356999999</v>
      </c>
      <c r="I259">
        <v>1251.0782471</v>
      </c>
      <c r="J259">
        <v>1211.6096190999999</v>
      </c>
      <c r="K259">
        <v>80</v>
      </c>
      <c r="L259">
        <v>79.879432678000001</v>
      </c>
      <c r="M259">
        <v>50</v>
      </c>
      <c r="N259">
        <v>14.997928619</v>
      </c>
    </row>
    <row r="260" spans="1:14" x14ac:dyDescent="0.25">
      <c r="A260">
        <v>55.602632</v>
      </c>
      <c r="B260" s="1">
        <f>DATE(2010,6,25) + TIME(14,27,47)</f>
        <v>40354.602627314816</v>
      </c>
      <c r="C260">
        <v>2400</v>
      </c>
      <c r="D260">
        <v>0</v>
      </c>
      <c r="E260">
        <v>0</v>
      </c>
      <c r="F260">
        <v>2400</v>
      </c>
      <c r="G260">
        <v>1389.7576904</v>
      </c>
      <c r="H260">
        <v>1375.9125977000001</v>
      </c>
      <c r="I260">
        <v>1251.0892334</v>
      </c>
      <c r="J260">
        <v>1211.6201172000001</v>
      </c>
      <c r="K260">
        <v>80</v>
      </c>
      <c r="L260">
        <v>79.879577636999997</v>
      </c>
      <c r="M260">
        <v>50</v>
      </c>
      <c r="N260">
        <v>14.997941970999999</v>
      </c>
    </row>
    <row r="261" spans="1:14" x14ac:dyDescent="0.25">
      <c r="A261">
        <v>56.282780000000002</v>
      </c>
      <c r="B261" s="1">
        <f>DATE(2010,6,26) + TIME(6,47,12)</f>
        <v>40355.282777777778</v>
      </c>
      <c r="C261">
        <v>2400</v>
      </c>
      <c r="D261">
        <v>0</v>
      </c>
      <c r="E261">
        <v>0</v>
      </c>
      <c r="F261">
        <v>2400</v>
      </c>
      <c r="G261">
        <v>1389.6763916</v>
      </c>
      <c r="H261">
        <v>1375.8364257999999</v>
      </c>
      <c r="I261">
        <v>1251.1003418</v>
      </c>
      <c r="J261">
        <v>1211.6306152</v>
      </c>
      <c r="K261">
        <v>80</v>
      </c>
      <c r="L261">
        <v>79.879714965999995</v>
      </c>
      <c r="M261">
        <v>50</v>
      </c>
      <c r="N261">
        <v>14.997957230000001</v>
      </c>
    </row>
    <row r="262" spans="1:14" x14ac:dyDescent="0.25">
      <c r="A262">
        <v>56.967910000000003</v>
      </c>
      <c r="B262" s="1">
        <f>DATE(2010,6,26) + TIME(23,13,47)</f>
        <v>40355.967905092592</v>
      </c>
      <c r="C262">
        <v>2400</v>
      </c>
      <c r="D262">
        <v>0</v>
      </c>
      <c r="E262">
        <v>0</v>
      </c>
      <c r="F262">
        <v>2400</v>
      </c>
      <c r="G262">
        <v>1389.5955810999999</v>
      </c>
      <c r="H262">
        <v>1375.7608643000001</v>
      </c>
      <c r="I262">
        <v>1251.1115723</v>
      </c>
      <c r="J262">
        <v>1211.6413574000001</v>
      </c>
      <c r="K262">
        <v>80</v>
      </c>
      <c r="L262">
        <v>79.879859924000002</v>
      </c>
      <c r="M262">
        <v>50</v>
      </c>
      <c r="N262">
        <v>14.997971535</v>
      </c>
    </row>
    <row r="263" spans="1:14" x14ac:dyDescent="0.25">
      <c r="A263">
        <v>57.659089999999999</v>
      </c>
      <c r="B263" s="1">
        <f>DATE(2010,6,27) + TIME(15,49,5)</f>
        <v>40356.659085648149</v>
      </c>
      <c r="C263">
        <v>2400</v>
      </c>
      <c r="D263">
        <v>0</v>
      </c>
      <c r="E263">
        <v>0</v>
      </c>
      <c r="F263">
        <v>2400</v>
      </c>
      <c r="G263">
        <v>1389.5151367000001</v>
      </c>
      <c r="H263">
        <v>1375.6855469</v>
      </c>
      <c r="I263">
        <v>1251.1230469</v>
      </c>
      <c r="J263">
        <v>1211.6520995999999</v>
      </c>
      <c r="K263">
        <v>80</v>
      </c>
      <c r="L263">
        <v>79.880004882999998</v>
      </c>
      <c r="M263">
        <v>50</v>
      </c>
      <c r="N263">
        <v>14.997986793999999</v>
      </c>
    </row>
    <row r="264" spans="1:14" x14ac:dyDescent="0.25">
      <c r="A264">
        <v>58.357413000000001</v>
      </c>
      <c r="B264" s="1">
        <f>DATE(2010,6,28) + TIME(8,34,40)</f>
        <v>40357.357407407406</v>
      </c>
      <c r="C264">
        <v>2400</v>
      </c>
      <c r="D264">
        <v>0</v>
      </c>
      <c r="E264">
        <v>0</v>
      </c>
      <c r="F264">
        <v>2400</v>
      </c>
      <c r="G264">
        <v>1389.4349365</v>
      </c>
      <c r="H264">
        <v>1375.6103516000001</v>
      </c>
      <c r="I264">
        <v>1251.1345214999999</v>
      </c>
      <c r="J264">
        <v>1211.6630858999999</v>
      </c>
      <c r="K264">
        <v>80</v>
      </c>
      <c r="L264">
        <v>79.880149841000005</v>
      </c>
      <c r="M264">
        <v>50</v>
      </c>
      <c r="N264">
        <v>14.998003005999999</v>
      </c>
    </row>
    <row r="265" spans="1:14" x14ac:dyDescent="0.25">
      <c r="A265">
        <v>59.064087000000001</v>
      </c>
      <c r="B265" s="1">
        <f>DATE(2010,6,29) + TIME(1,32,17)</f>
        <v>40358.064085648148</v>
      </c>
      <c r="C265">
        <v>2400</v>
      </c>
      <c r="D265">
        <v>0</v>
      </c>
      <c r="E265">
        <v>0</v>
      </c>
      <c r="F265">
        <v>2400</v>
      </c>
      <c r="G265">
        <v>1389.3548584</v>
      </c>
      <c r="H265">
        <v>1375.5354004000001</v>
      </c>
      <c r="I265">
        <v>1251.1462402</v>
      </c>
      <c r="J265">
        <v>1211.6741943</v>
      </c>
      <c r="K265">
        <v>80</v>
      </c>
      <c r="L265">
        <v>79.880294800000001</v>
      </c>
      <c r="M265">
        <v>50</v>
      </c>
      <c r="N265">
        <v>14.998018265000001</v>
      </c>
    </row>
    <row r="266" spans="1:14" x14ac:dyDescent="0.25">
      <c r="A266">
        <v>59.780501999999998</v>
      </c>
      <c r="B266" s="1">
        <f>DATE(2010,6,29) + TIME(18,43,55)</f>
        <v>40358.780497685184</v>
      </c>
      <c r="C266">
        <v>2400</v>
      </c>
      <c r="D266">
        <v>0</v>
      </c>
      <c r="E266">
        <v>0</v>
      </c>
      <c r="F266">
        <v>2400</v>
      </c>
      <c r="G266">
        <v>1389.2746582</v>
      </c>
      <c r="H266">
        <v>1375.4604492000001</v>
      </c>
      <c r="I266">
        <v>1251.1582031</v>
      </c>
      <c r="J266">
        <v>1211.6855469</v>
      </c>
      <c r="K266">
        <v>80</v>
      </c>
      <c r="L266">
        <v>79.880447387999993</v>
      </c>
      <c r="M266">
        <v>50</v>
      </c>
      <c r="N266">
        <v>14.998033524</v>
      </c>
    </row>
    <row r="267" spans="1:14" x14ac:dyDescent="0.25">
      <c r="A267">
        <v>60.507683999999998</v>
      </c>
      <c r="B267" s="1">
        <f>DATE(2010,6,30) + TIME(12,11,3)</f>
        <v>40359.507673611108</v>
      </c>
      <c r="C267">
        <v>2400</v>
      </c>
      <c r="D267">
        <v>0</v>
      </c>
      <c r="E267">
        <v>0</v>
      </c>
      <c r="F267">
        <v>2400</v>
      </c>
      <c r="G267">
        <v>1389.1943358999999</v>
      </c>
      <c r="H267">
        <v>1375.3852539</v>
      </c>
      <c r="I267">
        <v>1251.1704102000001</v>
      </c>
      <c r="J267">
        <v>1211.6970214999999</v>
      </c>
      <c r="K267">
        <v>80</v>
      </c>
      <c r="L267">
        <v>79.880592346</v>
      </c>
      <c r="M267">
        <v>50</v>
      </c>
      <c r="N267">
        <v>14.998048782</v>
      </c>
    </row>
    <row r="268" spans="1:14" x14ac:dyDescent="0.25">
      <c r="A268">
        <v>61</v>
      </c>
      <c r="B268" s="1">
        <f>DATE(2010,7,1) + TIME(0,0,0)</f>
        <v>40360</v>
      </c>
      <c r="C268">
        <v>2400</v>
      </c>
      <c r="D268">
        <v>0</v>
      </c>
      <c r="E268">
        <v>0</v>
      </c>
      <c r="F268">
        <v>2400</v>
      </c>
      <c r="G268">
        <v>1389.1134033000001</v>
      </c>
      <c r="H268">
        <v>1375.3094481999999</v>
      </c>
      <c r="I268">
        <v>1251.1824951000001</v>
      </c>
      <c r="J268">
        <v>1211.7084961</v>
      </c>
      <c r="K268">
        <v>80</v>
      </c>
      <c r="L268">
        <v>79.880691528</v>
      </c>
      <c r="M268">
        <v>50</v>
      </c>
      <c r="N268">
        <v>14.998061180000001</v>
      </c>
    </row>
    <row r="269" spans="1:14" x14ac:dyDescent="0.25">
      <c r="A269">
        <v>61.739300999999998</v>
      </c>
      <c r="B269" s="1">
        <f>DATE(2010,7,1) + TIME(17,44,35)</f>
        <v>40360.739293981482</v>
      </c>
      <c r="C269">
        <v>2400</v>
      </c>
      <c r="D269">
        <v>0</v>
      </c>
      <c r="E269">
        <v>0</v>
      </c>
      <c r="F269">
        <v>2400</v>
      </c>
      <c r="G269">
        <v>1389.0594481999999</v>
      </c>
      <c r="H269">
        <v>1375.2589111</v>
      </c>
      <c r="I269">
        <v>1251.1912841999999</v>
      </c>
      <c r="J269">
        <v>1211.7169189000001</v>
      </c>
      <c r="K269">
        <v>80</v>
      </c>
      <c r="L269">
        <v>79.880844116000006</v>
      </c>
      <c r="M269">
        <v>50</v>
      </c>
      <c r="N269">
        <v>14.998076439</v>
      </c>
    </row>
    <row r="270" spans="1:14" x14ac:dyDescent="0.25">
      <c r="A270">
        <v>62.498358000000003</v>
      </c>
      <c r="B270" s="1">
        <f>DATE(2010,7,2) + TIME(11,57,38)</f>
        <v>40361.498356481483</v>
      </c>
      <c r="C270">
        <v>2400</v>
      </c>
      <c r="D270">
        <v>0</v>
      </c>
      <c r="E270">
        <v>0</v>
      </c>
      <c r="F270">
        <v>2400</v>
      </c>
      <c r="G270">
        <v>1388.9792480000001</v>
      </c>
      <c r="H270">
        <v>1375.1839600000001</v>
      </c>
      <c r="I270">
        <v>1251.2041016000001</v>
      </c>
      <c r="J270">
        <v>1211.7290039</v>
      </c>
      <c r="K270">
        <v>80</v>
      </c>
      <c r="L270">
        <v>79.881004333000007</v>
      </c>
      <c r="M270">
        <v>50</v>
      </c>
      <c r="N270">
        <v>14.998091698</v>
      </c>
    </row>
    <row r="271" spans="1:14" x14ac:dyDescent="0.25">
      <c r="A271">
        <v>62.879249000000002</v>
      </c>
      <c r="B271" s="1">
        <f>DATE(2010,7,2) + TIME(21,6,7)</f>
        <v>40361.879247685189</v>
      </c>
      <c r="C271">
        <v>2400</v>
      </c>
      <c r="D271">
        <v>0</v>
      </c>
      <c r="E271">
        <v>0</v>
      </c>
      <c r="F271">
        <v>2400</v>
      </c>
      <c r="G271">
        <v>1388.8972168</v>
      </c>
      <c r="H271">
        <v>1375.1071777</v>
      </c>
      <c r="I271">
        <v>1251.2167969</v>
      </c>
      <c r="J271">
        <v>1211.7409668</v>
      </c>
      <c r="K271">
        <v>80</v>
      </c>
      <c r="L271">
        <v>79.881072997999993</v>
      </c>
      <c r="M271">
        <v>50</v>
      </c>
      <c r="N271">
        <v>14.998102188000001</v>
      </c>
    </row>
    <row r="272" spans="1:14" x14ac:dyDescent="0.25">
      <c r="A272">
        <v>63.259970000000003</v>
      </c>
      <c r="B272" s="1">
        <f>DATE(2010,7,3) + TIME(6,14,21)</f>
        <v>40362.259965277779</v>
      </c>
      <c r="C272">
        <v>2400</v>
      </c>
      <c r="D272">
        <v>0</v>
      </c>
      <c r="E272">
        <v>0</v>
      </c>
      <c r="F272">
        <v>2400</v>
      </c>
      <c r="G272">
        <v>1388.855957</v>
      </c>
      <c r="H272">
        <v>1375.0684814000001</v>
      </c>
      <c r="I272">
        <v>1251.2235106999999</v>
      </c>
      <c r="J272">
        <v>1211.7474365</v>
      </c>
      <c r="K272">
        <v>80</v>
      </c>
      <c r="L272">
        <v>79.881149292000003</v>
      </c>
      <c r="M272">
        <v>50</v>
      </c>
      <c r="N272">
        <v>14.998111724999999</v>
      </c>
    </row>
    <row r="273" spans="1:14" x14ac:dyDescent="0.25">
      <c r="A273">
        <v>63.640690999999997</v>
      </c>
      <c r="B273" s="1">
        <f>DATE(2010,7,3) + TIME(15,22,35)</f>
        <v>40362.640682870369</v>
      </c>
      <c r="C273">
        <v>2400</v>
      </c>
      <c r="D273">
        <v>0</v>
      </c>
      <c r="E273">
        <v>0</v>
      </c>
      <c r="F273">
        <v>2400</v>
      </c>
      <c r="G273">
        <v>1388.8154297000001</v>
      </c>
      <c r="H273">
        <v>1375.0306396000001</v>
      </c>
      <c r="I273">
        <v>1251.2302245999999</v>
      </c>
      <c r="J273">
        <v>1211.7536620999999</v>
      </c>
      <c r="K273">
        <v>80</v>
      </c>
      <c r="L273">
        <v>79.881225585999999</v>
      </c>
      <c r="M273">
        <v>50</v>
      </c>
      <c r="N273">
        <v>14.998120308000001</v>
      </c>
    </row>
    <row r="274" spans="1:14" x14ac:dyDescent="0.25">
      <c r="A274">
        <v>64.021412999999995</v>
      </c>
      <c r="B274" s="1">
        <f>DATE(2010,7,4) + TIME(0,30,50)</f>
        <v>40363.021412037036</v>
      </c>
      <c r="C274">
        <v>2400</v>
      </c>
      <c r="D274">
        <v>0</v>
      </c>
      <c r="E274">
        <v>0</v>
      </c>
      <c r="F274">
        <v>2400</v>
      </c>
      <c r="G274">
        <v>1388.7752685999999</v>
      </c>
      <c r="H274">
        <v>1374.9930420000001</v>
      </c>
      <c r="I274">
        <v>1251.2369385</v>
      </c>
      <c r="J274">
        <v>1211.7600098</v>
      </c>
      <c r="K274">
        <v>80</v>
      </c>
      <c r="L274">
        <v>79.881301879999995</v>
      </c>
      <c r="M274">
        <v>50</v>
      </c>
      <c r="N274">
        <v>14.998128891</v>
      </c>
    </row>
    <row r="275" spans="1:14" x14ac:dyDescent="0.25">
      <c r="A275">
        <v>64.402134000000004</v>
      </c>
      <c r="B275" s="1">
        <f>DATE(2010,7,4) + TIME(9,39,4)</f>
        <v>40363.402129629627</v>
      </c>
      <c r="C275">
        <v>2400</v>
      </c>
      <c r="D275">
        <v>0</v>
      </c>
      <c r="E275">
        <v>0</v>
      </c>
      <c r="F275">
        <v>2400</v>
      </c>
      <c r="G275">
        <v>1388.7353516000001</v>
      </c>
      <c r="H275">
        <v>1374.9556885</v>
      </c>
      <c r="I275">
        <v>1251.2436522999999</v>
      </c>
      <c r="J275">
        <v>1211.7664795000001</v>
      </c>
      <c r="K275">
        <v>80</v>
      </c>
      <c r="L275">
        <v>79.881378174000005</v>
      </c>
      <c r="M275">
        <v>50</v>
      </c>
      <c r="N275">
        <v>14.998137474</v>
      </c>
    </row>
    <row r="276" spans="1:14" x14ac:dyDescent="0.25">
      <c r="A276">
        <v>64.782854999999998</v>
      </c>
      <c r="B276" s="1">
        <f>DATE(2010,7,4) + TIME(18,47,18)</f>
        <v>40363.782847222225</v>
      </c>
      <c r="C276">
        <v>2400</v>
      </c>
      <c r="D276">
        <v>0</v>
      </c>
      <c r="E276">
        <v>0</v>
      </c>
      <c r="F276">
        <v>2400</v>
      </c>
      <c r="G276">
        <v>1388.6956786999999</v>
      </c>
      <c r="H276">
        <v>1374.9185791</v>
      </c>
      <c r="I276">
        <v>1251.2503661999999</v>
      </c>
      <c r="J276">
        <v>1211.7728271000001</v>
      </c>
      <c r="K276">
        <v>80</v>
      </c>
      <c r="L276">
        <v>79.881454468000001</v>
      </c>
      <c r="M276">
        <v>50</v>
      </c>
      <c r="N276">
        <v>14.998145103000001</v>
      </c>
    </row>
    <row r="277" spans="1:14" x14ac:dyDescent="0.25">
      <c r="A277">
        <v>65.544297</v>
      </c>
      <c r="B277" s="1">
        <f>DATE(2010,7,5) + TIME(13,3,47)</f>
        <v>40364.544293981482</v>
      </c>
      <c r="C277">
        <v>2400</v>
      </c>
      <c r="D277">
        <v>0</v>
      </c>
      <c r="E277">
        <v>0</v>
      </c>
      <c r="F277">
        <v>2400</v>
      </c>
      <c r="G277">
        <v>1388.6568603999999</v>
      </c>
      <c r="H277">
        <v>1374.8823242000001</v>
      </c>
      <c r="I277">
        <v>1251.2575684000001</v>
      </c>
      <c r="J277">
        <v>1211.7796631000001</v>
      </c>
      <c r="K277">
        <v>80</v>
      </c>
      <c r="L277">
        <v>79.881622313999998</v>
      </c>
      <c r="M277">
        <v>50</v>
      </c>
      <c r="N277">
        <v>14.998157501</v>
      </c>
    </row>
    <row r="278" spans="1:14" x14ac:dyDescent="0.25">
      <c r="A278">
        <v>66.306003000000004</v>
      </c>
      <c r="B278" s="1">
        <f>DATE(2010,7,6) + TIME(7,20,38)</f>
        <v>40365.305995370371</v>
      </c>
      <c r="C278">
        <v>2400</v>
      </c>
      <c r="D278">
        <v>0</v>
      </c>
      <c r="E278">
        <v>0</v>
      </c>
      <c r="F278">
        <v>2400</v>
      </c>
      <c r="G278">
        <v>1388.5789795000001</v>
      </c>
      <c r="H278">
        <v>1374.8095702999999</v>
      </c>
      <c r="I278">
        <v>1251.2709961</v>
      </c>
      <c r="J278">
        <v>1211.7923584</v>
      </c>
      <c r="K278">
        <v>80</v>
      </c>
      <c r="L278">
        <v>79.881782532000003</v>
      </c>
      <c r="M278">
        <v>50</v>
      </c>
      <c r="N278">
        <v>14.998170853</v>
      </c>
    </row>
    <row r="279" spans="1:14" x14ac:dyDescent="0.25">
      <c r="A279">
        <v>67.072199999999995</v>
      </c>
      <c r="B279" s="1">
        <f>DATE(2010,7,7) + TIME(1,43,58)</f>
        <v>40366.072199074071</v>
      </c>
      <c r="C279">
        <v>2400</v>
      </c>
      <c r="D279">
        <v>0</v>
      </c>
      <c r="E279">
        <v>0</v>
      </c>
      <c r="F279">
        <v>2400</v>
      </c>
      <c r="G279">
        <v>1388.5014647999999</v>
      </c>
      <c r="H279">
        <v>1374.7371826000001</v>
      </c>
      <c r="I279">
        <v>1251.284668</v>
      </c>
      <c r="J279">
        <v>1211.8052978999999</v>
      </c>
      <c r="K279">
        <v>80</v>
      </c>
      <c r="L279">
        <v>79.881942749000004</v>
      </c>
      <c r="M279">
        <v>50</v>
      </c>
      <c r="N279">
        <v>14.998185158</v>
      </c>
    </row>
    <row r="280" spans="1:14" x14ac:dyDescent="0.25">
      <c r="A280">
        <v>67.844072999999995</v>
      </c>
      <c r="B280" s="1">
        <f>DATE(2010,7,7) + TIME(20,15,27)</f>
        <v>40366.8440625</v>
      </c>
      <c r="C280">
        <v>2400</v>
      </c>
      <c r="D280">
        <v>0</v>
      </c>
      <c r="E280">
        <v>0</v>
      </c>
      <c r="F280">
        <v>2400</v>
      </c>
      <c r="G280">
        <v>1388.4244385</v>
      </c>
      <c r="H280">
        <v>1374.6651611</v>
      </c>
      <c r="I280">
        <v>1251.2984618999999</v>
      </c>
      <c r="J280">
        <v>1211.8183594</v>
      </c>
      <c r="K280">
        <v>80</v>
      </c>
      <c r="L280">
        <v>79.882102966000005</v>
      </c>
      <c r="M280">
        <v>50</v>
      </c>
      <c r="N280">
        <v>14.998199463000001</v>
      </c>
    </row>
    <row r="281" spans="1:14" x14ac:dyDescent="0.25">
      <c r="A281">
        <v>68.622822999999997</v>
      </c>
      <c r="B281" s="1">
        <f>DATE(2010,7,8) + TIME(14,56,51)</f>
        <v>40367.622812499998</v>
      </c>
      <c r="C281">
        <v>2400</v>
      </c>
      <c r="D281">
        <v>0</v>
      </c>
      <c r="E281">
        <v>0</v>
      </c>
      <c r="F281">
        <v>2400</v>
      </c>
      <c r="G281">
        <v>1388.3476562000001</v>
      </c>
      <c r="H281">
        <v>1374.5933838000001</v>
      </c>
      <c r="I281">
        <v>1251.3125</v>
      </c>
      <c r="J281">
        <v>1211.831543</v>
      </c>
      <c r="K281">
        <v>80</v>
      </c>
      <c r="L281">
        <v>79.882263183999996</v>
      </c>
      <c r="M281">
        <v>50</v>
      </c>
      <c r="N281">
        <v>14.998214722</v>
      </c>
    </row>
    <row r="282" spans="1:14" x14ac:dyDescent="0.25">
      <c r="A282">
        <v>69.409707999999995</v>
      </c>
      <c r="B282" s="1">
        <f>DATE(2010,7,9) + TIME(9,49,58)</f>
        <v>40368.409699074073</v>
      </c>
      <c r="C282">
        <v>2400</v>
      </c>
      <c r="D282">
        <v>0</v>
      </c>
      <c r="E282">
        <v>0</v>
      </c>
      <c r="F282">
        <v>2400</v>
      </c>
      <c r="G282">
        <v>1388.2709961</v>
      </c>
      <c r="H282">
        <v>1374.5217285000001</v>
      </c>
      <c r="I282">
        <v>1251.3267822</v>
      </c>
      <c r="J282">
        <v>1211.8449707</v>
      </c>
      <c r="K282">
        <v>80</v>
      </c>
      <c r="L282">
        <v>79.882423400999997</v>
      </c>
      <c r="M282">
        <v>50</v>
      </c>
      <c r="N282">
        <v>14.998229027000001</v>
      </c>
    </row>
    <row r="283" spans="1:14" x14ac:dyDescent="0.25">
      <c r="A283">
        <v>70.206136999999998</v>
      </c>
      <c r="B283" s="1">
        <f>DATE(2010,7,10) + TIME(4,56,50)</f>
        <v>40369.206134259257</v>
      </c>
      <c r="C283">
        <v>2400</v>
      </c>
      <c r="D283">
        <v>0</v>
      </c>
      <c r="E283">
        <v>0</v>
      </c>
      <c r="F283">
        <v>2400</v>
      </c>
      <c r="G283">
        <v>1388.1943358999999</v>
      </c>
      <c r="H283">
        <v>1374.4500731999999</v>
      </c>
      <c r="I283">
        <v>1251.3411865</v>
      </c>
      <c r="J283">
        <v>1211.8586425999999</v>
      </c>
      <c r="K283">
        <v>80</v>
      </c>
      <c r="L283">
        <v>79.882583617999998</v>
      </c>
      <c r="M283">
        <v>50</v>
      </c>
      <c r="N283">
        <v>14.998244286</v>
      </c>
    </row>
    <row r="284" spans="1:14" x14ac:dyDescent="0.25">
      <c r="A284">
        <v>71.013626000000002</v>
      </c>
      <c r="B284" s="1">
        <f>DATE(2010,7,11) + TIME(0,19,37)</f>
        <v>40370.013622685183</v>
      </c>
      <c r="C284">
        <v>2400</v>
      </c>
      <c r="D284">
        <v>0</v>
      </c>
      <c r="E284">
        <v>0</v>
      </c>
      <c r="F284">
        <v>2400</v>
      </c>
      <c r="G284">
        <v>1388.1176757999999</v>
      </c>
      <c r="H284">
        <v>1374.378418</v>
      </c>
      <c r="I284">
        <v>1251.355957</v>
      </c>
      <c r="J284">
        <v>1211.8725586</v>
      </c>
      <c r="K284">
        <v>80</v>
      </c>
      <c r="L284">
        <v>79.882751464999998</v>
      </c>
      <c r="M284">
        <v>50</v>
      </c>
      <c r="N284">
        <v>14.998259544</v>
      </c>
    </row>
    <row r="285" spans="1:14" x14ac:dyDescent="0.25">
      <c r="A285">
        <v>71.833389999999994</v>
      </c>
      <c r="B285" s="1">
        <f>DATE(2010,7,11) + TIME(20,0,4)</f>
        <v>40370.833379629628</v>
      </c>
      <c r="C285">
        <v>2400</v>
      </c>
      <c r="D285">
        <v>0</v>
      </c>
      <c r="E285">
        <v>0</v>
      </c>
      <c r="F285">
        <v>2400</v>
      </c>
      <c r="G285">
        <v>1388.0406493999999</v>
      </c>
      <c r="H285">
        <v>1374.3065185999999</v>
      </c>
      <c r="I285">
        <v>1251.3709716999999</v>
      </c>
      <c r="J285">
        <v>1211.8867187999999</v>
      </c>
      <c r="K285">
        <v>80</v>
      </c>
      <c r="L285">
        <v>79.882919311999999</v>
      </c>
      <c r="M285">
        <v>50</v>
      </c>
      <c r="N285">
        <v>14.998274802999999</v>
      </c>
    </row>
    <row r="286" spans="1:14" x14ac:dyDescent="0.25">
      <c r="A286">
        <v>72.663075000000006</v>
      </c>
      <c r="B286" s="1">
        <f>DATE(2010,7,12) + TIME(15,54,49)</f>
        <v>40371.66306712963</v>
      </c>
      <c r="C286">
        <v>2400</v>
      </c>
      <c r="D286">
        <v>0</v>
      </c>
      <c r="E286">
        <v>0</v>
      </c>
      <c r="F286">
        <v>2400</v>
      </c>
      <c r="G286">
        <v>1387.9633789</v>
      </c>
      <c r="H286">
        <v>1374.2342529</v>
      </c>
      <c r="I286">
        <v>1251.3863524999999</v>
      </c>
      <c r="J286">
        <v>1211.9012451000001</v>
      </c>
      <c r="K286">
        <v>80</v>
      </c>
      <c r="L286">
        <v>79.883087157999995</v>
      </c>
      <c r="M286">
        <v>50</v>
      </c>
      <c r="N286">
        <v>14.998290062000001</v>
      </c>
    </row>
    <row r="287" spans="1:14" x14ac:dyDescent="0.25">
      <c r="A287">
        <v>73.500474999999994</v>
      </c>
      <c r="B287" s="1">
        <f>DATE(2010,7,13) + TIME(12,0,41)</f>
        <v>40372.500474537039</v>
      </c>
      <c r="C287">
        <v>2400</v>
      </c>
      <c r="D287">
        <v>0</v>
      </c>
      <c r="E287">
        <v>0</v>
      </c>
      <c r="F287">
        <v>2400</v>
      </c>
      <c r="G287">
        <v>1387.8859863</v>
      </c>
      <c r="H287">
        <v>1374.1619873</v>
      </c>
      <c r="I287">
        <v>1251.4019774999999</v>
      </c>
      <c r="J287">
        <v>1211.9160156</v>
      </c>
      <c r="K287">
        <v>80</v>
      </c>
      <c r="L287">
        <v>79.883255004999995</v>
      </c>
      <c r="M287">
        <v>50</v>
      </c>
      <c r="N287">
        <v>14.998305321</v>
      </c>
    </row>
    <row r="288" spans="1:14" x14ac:dyDescent="0.25">
      <c r="A288">
        <v>74.342785000000006</v>
      </c>
      <c r="B288" s="1">
        <f>DATE(2010,7,14) + TIME(8,13,36)</f>
        <v>40373.342777777776</v>
      </c>
      <c r="C288">
        <v>2400</v>
      </c>
      <c r="D288">
        <v>0</v>
      </c>
      <c r="E288">
        <v>0</v>
      </c>
      <c r="F288">
        <v>2400</v>
      </c>
      <c r="G288">
        <v>1387.8087158000001</v>
      </c>
      <c r="H288">
        <v>1374.0897216999999</v>
      </c>
      <c r="I288">
        <v>1251.4179687999999</v>
      </c>
      <c r="J288">
        <v>1211.9309082</v>
      </c>
      <c r="K288">
        <v>80</v>
      </c>
      <c r="L288">
        <v>79.883430481000005</v>
      </c>
      <c r="M288">
        <v>50</v>
      </c>
      <c r="N288">
        <v>14.99832058</v>
      </c>
    </row>
    <row r="289" spans="1:14" x14ac:dyDescent="0.25">
      <c r="A289">
        <v>75.186598000000004</v>
      </c>
      <c r="B289" s="1">
        <f>DATE(2010,7,15) + TIME(4,28,42)</f>
        <v>40374.186597222222</v>
      </c>
      <c r="C289">
        <v>2400</v>
      </c>
      <c r="D289">
        <v>0</v>
      </c>
      <c r="E289">
        <v>0</v>
      </c>
      <c r="F289">
        <v>2400</v>
      </c>
      <c r="G289">
        <v>1387.7318115</v>
      </c>
      <c r="H289">
        <v>1374.0179443</v>
      </c>
      <c r="I289">
        <v>1251.434082</v>
      </c>
      <c r="J289">
        <v>1211.9461670000001</v>
      </c>
      <c r="K289">
        <v>80</v>
      </c>
      <c r="L289">
        <v>79.883598328000005</v>
      </c>
      <c r="M289">
        <v>50</v>
      </c>
      <c r="N289">
        <v>14.998335837999999</v>
      </c>
    </row>
    <row r="290" spans="1:14" x14ac:dyDescent="0.25">
      <c r="A290">
        <v>76.031473000000005</v>
      </c>
      <c r="B290" s="1">
        <f>DATE(2010,7,16) + TIME(0,45,19)</f>
        <v>40375.031469907408</v>
      </c>
      <c r="C290">
        <v>2400</v>
      </c>
      <c r="D290">
        <v>0</v>
      </c>
      <c r="E290">
        <v>0</v>
      </c>
      <c r="F290">
        <v>2400</v>
      </c>
      <c r="G290">
        <v>1387.6555175999999</v>
      </c>
      <c r="H290">
        <v>1373.9466553</v>
      </c>
      <c r="I290">
        <v>1251.4504394999999</v>
      </c>
      <c r="J290">
        <v>1211.9615478999999</v>
      </c>
      <c r="K290">
        <v>80</v>
      </c>
      <c r="L290">
        <v>79.883773804</v>
      </c>
      <c r="M290">
        <v>50</v>
      </c>
      <c r="N290">
        <v>14.998351097</v>
      </c>
    </row>
    <row r="291" spans="1:14" x14ac:dyDescent="0.25">
      <c r="A291">
        <v>76.878820000000005</v>
      </c>
      <c r="B291" s="1">
        <f>DATE(2010,7,16) + TIME(21,5,30)</f>
        <v>40375.878819444442</v>
      </c>
      <c r="C291">
        <v>2400</v>
      </c>
      <c r="D291">
        <v>0</v>
      </c>
      <c r="E291">
        <v>0</v>
      </c>
      <c r="F291">
        <v>2400</v>
      </c>
      <c r="G291">
        <v>1387.5799560999999</v>
      </c>
      <c r="H291">
        <v>1373.8760986</v>
      </c>
      <c r="I291">
        <v>1251.4667969</v>
      </c>
      <c r="J291">
        <v>1211.9769286999999</v>
      </c>
      <c r="K291">
        <v>80</v>
      </c>
      <c r="L291">
        <v>79.883941649999997</v>
      </c>
      <c r="M291">
        <v>50</v>
      </c>
      <c r="N291">
        <v>14.998366356</v>
      </c>
    </row>
    <row r="292" spans="1:14" x14ac:dyDescent="0.25">
      <c r="A292">
        <v>77.730034000000003</v>
      </c>
      <c r="B292" s="1">
        <f>DATE(2010,7,17) + TIME(17,31,14)</f>
        <v>40376.730023148149</v>
      </c>
      <c r="C292">
        <v>2400</v>
      </c>
      <c r="D292">
        <v>0</v>
      </c>
      <c r="E292">
        <v>0</v>
      </c>
      <c r="F292">
        <v>2400</v>
      </c>
      <c r="G292">
        <v>1387.5048827999999</v>
      </c>
      <c r="H292">
        <v>1373.8060303</v>
      </c>
      <c r="I292">
        <v>1251.4835204999999</v>
      </c>
      <c r="J292">
        <v>1211.9925536999999</v>
      </c>
      <c r="K292">
        <v>80</v>
      </c>
      <c r="L292">
        <v>79.884109496999997</v>
      </c>
      <c r="M292">
        <v>50</v>
      </c>
      <c r="N292">
        <v>14.998380661000001</v>
      </c>
    </row>
    <row r="293" spans="1:14" x14ac:dyDescent="0.25">
      <c r="A293">
        <v>78.586470000000006</v>
      </c>
      <c r="B293" s="1">
        <f>DATE(2010,7,18) + TIME(14,4,31)</f>
        <v>40377.586469907408</v>
      </c>
      <c r="C293">
        <v>2400</v>
      </c>
      <c r="D293">
        <v>0</v>
      </c>
      <c r="E293">
        <v>0</v>
      </c>
      <c r="F293">
        <v>2400</v>
      </c>
      <c r="G293">
        <v>1387.4302978999999</v>
      </c>
      <c r="H293">
        <v>1373.7363281</v>
      </c>
      <c r="I293">
        <v>1251.5002440999999</v>
      </c>
      <c r="J293">
        <v>1212.0084228999999</v>
      </c>
      <c r="K293">
        <v>80</v>
      </c>
      <c r="L293">
        <v>79.884284973000007</v>
      </c>
      <c r="M293">
        <v>50</v>
      </c>
      <c r="N293">
        <v>14.99839592</v>
      </c>
    </row>
    <row r="294" spans="1:14" x14ac:dyDescent="0.25">
      <c r="A294">
        <v>79.449100999999999</v>
      </c>
      <c r="B294" s="1">
        <f>DATE(2010,7,19) + TIME(10,46,42)</f>
        <v>40378.449097222219</v>
      </c>
      <c r="C294">
        <v>2400</v>
      </c>
      <c r="D294">
        <v>0</v>
      </c>
      <c r="E294">
        <v>0</v>
      </c>
      <c r="F294">
        <v>2400</v>
      </c>
      <c r="G294">
        <v>1387.3560791</v>
      </c>
      <c r="H294">
        <v>1373.6669922000001</v>
      </c>
      <c r="I294">
        <v>1251.5173339999999</v>
      </c>
      <c r="J294">
        <v>1212.0244141000001</v>
      </c>
      <c r="K294">
        <v>80</v>
      </c>
      <c r="L294">
        <v>79.884460449000002</v>
      </c>
      <c r="M294">
        <v>50</v>
      </c>
      <c r="N294">
        <v>14.998411179</v>
      </c>
    </row>
    <row r="295" spans="1:14" x14ac:dyDescent="0.25">
      <c r="A295">
        <v>80.319337000000004</v>
      </c>
      <c r="B295" s="1">
        <f>DATE(2010,7,20) + TIME(7,39,50)</f>
        <v>40379.319328703707</v>
      </c>
      <c r="C295">
        <v>2400</v>
      </c>
      <c r="D295">
        <v>0</v>
      </c>
      <c r="E295">
        <v>0</v>
      </c>
      <c r="F295">
        <v>2400</v>
      </c>
      <c r="G295">
        <v>1387.2819824000001</v>
      </c>
      <c r="H295">
        <v>1373.5977783000001</v>
      </c>
      <c r="I295">
        <v>1251.534668</v>
      </c>
      <c r="J295">
        <v>1212.0406493999999</v>
      </c>
      <c r="K295">
        <v>80</v>
      </c>
      <c r="L295">
        <v>79.884635924999998</v>
      </c>
      <c r="M295">
        <v>50</v>
      </c>
      <c r="N295">
        <v>14.998425484</v>
      </c>
    </row>
    <row r="296" spans="1:14" x14ac:dyDescent="0.25">
      <c r="A296">
        <v>81.198156999999995</v>
      </c>
      <c r="B296" s="1">
        <f>DATE(2010,7,21) + TIME(4,45,20)</f>
        <v>40380.198148148149</v>
      </c>
      <c r="C296">
        <v>2400</v>
      </c>
      <c r="D296">
        <v>0</v>
      </c>
      <c r="E296">
        <v>0</v>
      </c>
      <c r="F296">
        <v>2400</v>
      </c>
      <c r="G296">
        <v>1387.2080077999999</v>
      </c>
      <c r="H296">
        <v>1373.5286865</v>
      </c>
      <c r="I296">
        <v>1251.5522461</v>
      </c>
      <c r="J296">
        <v>1212.0571289</v>
      </c>
      <c r="K296">
        <v>80</v>
      </c>
      <c r="L296">
        <v>79.884811400999993</v>
      </c>
      <c r="M296">
        <v>50</v>
      </c>
      <c r="N296">
        <v>14.998440742</v>
      </c>
    </row>
    <row r="297" spans="1:14" x14ac:dyDescent="0.25">
      <c r="A297">
        <v>82.084733999999997</v>
      </c>
      <c r="B297" s="1">
        <f>DATE(2010,7,22) + TIME(2,2,0)</f>
        <v>40381.084722222222</v>
      </c>
      <c r="C297">
        <v>2400</v>
      </c>
      <c r="D297">
        <v>0</v>
      </c>
      <c r="E297">
        <v>0</v>
      </c>
      <c r="F297">
        <v>2400</v>
      </c>
      <c r="G297">
        <v>1387.1341553</v>
      </c>
      <c r="H297">
        <v>1373.4595947</v>
      </c>
      <c r="I297">
        <v>1251.5701904</v>
      </c>
      <c r="J297">
        <v>1212.0739745999999</v>
      </c>
      <c r="K297">
        <v>80</v>
      </c>
      <c r="L297">
        <v>79.884986877000003</v>
      </c>
      <c r="M297">
        <v>50</v>
      </c>
      <c r="N297">
        <v>14.998456000999999</v>
      </c>
    </row>
    <row r="298" spans="1:14" x14ac:dyDescent="0.25">
      <c r="A298">
        <v>82.977215000000001</v>
      </c>
      <c r="B298" s="1">
        <f>DATE(2010,7,22) + TIME(23,27,11)</f>
        <v>40381.977210648147</v>
      </c>
      <c r="C298">
        <v>2400</v>
      </c>
      <c r="D298">
        <v>0</v>
      </c>
      <c r="E298">
        <v>0</v>
      </c>
      <c r="F298">
        <v>2400</v>
      </c>
      <c r="G298">
        <v>1387.0603027</v>
      </c>
      <c r="H298">
        <v>1373.390625</v>
      </c>
      <c r="I298">
        <v>1251.5883789</v>
      </c>
      <c r="J298">
        <v>1212.0910644999999</v>
      </c>
      <c r="K298">
        <v>80</v>
      </c>
      <c r="L298">
        <v>79.885162354000002</v>
      </c>
      <c r="M298">
        <v>50</v>
      </c>
      <c r="N298">
        <v>14.998471260000001</v>
      </c>
    </row>
    <row r="299" spans="1:14" x14ac:dyDescent="0.25">
      <c r="A299">
        <v>83.871992000000006</v>
      </c>
      <c r="B299" s="1">
        <f>DATE(2010,7,23) + TIME(20,55,40)</f>
        <v>40382.871990740743</v>
      </c>
      <c r="C299">
        <v>2400</v>
      </c>
      <c r="D299">
        <v>0</v>
      </c>
      <c r="E299">
        <v>0</v>
      </c>
      <c r="F299">
        <v>2400</v>
      </c>
      <c r="G299">
        <v>1386.9865723</v>
      </c>
      <c r="H299">
        <v>1373.3217772999999</v>
      </c>
      <c r="I299">
        <v>1251.6069336</v>
      </c>
      <c r="J299">
        <v>1212.1083983999999</v>
      </c>
      <c r="K299">
        <v>80</v>
      </c>
      <c r="L299">
        <v>79.885345459000007</v>
      </c>
      <c r="M299">
        <v>50</v>
      </c>
      <c r="N299">
        <v>14.998486519</v>
      </c>
    </row>
    <row r="300" spans="1:14" x14ac:dyDescent="0.25">
      <c r="A300">
        <v>84.770589999999999</v>
      </c>
      <c r="B300" s="1">
        <f>DATE(2010,7,24) + TIME(18,29,38)</f>
        <v>40383.770578703705</v>
      </c>
      <c r="C300">
        <v>2400</v>
      </c>
      <c r="D300">
        <v>0</v>
      </c>
      <c r="E300">
        <v>0</v>
      </c>
      <c r="F300">
        <v>2400</v>
      </c>
      <c r="G300">
        <v>1386.9135742000001</v>
      </c>
      <c r="H300">
        <v>1373.2535399999999</v>
      </c>
      <c r="I300">
        <v>1251.6256103999999</v>
      </c>
      <c r="J300">
        <v>1212.1258545000001</v>
      </c>
      <c r="K300">
        <v>80</v>
      </c>
      <c r="L300">
        <v>79.885520935000002</v>
      </c>
      <c r="M300">
        <v>50</v>
      </c>
      <c r="N300">
        <v>14.998500824000001</v>
      </c>
    </row>
    <row r="301" spans="1:14" x14ac:dyDescent="0.25">
      <c r="A301">
        <v>85.674508000000003</v>
      </c>
      <c r="B301" s="1">
        <f>DATE(2010,7,25) + TIME(16,11,17)</f>
        <v>40384.674502314818</v>
      </c>
      <c r="C301">
        <v>2400</v>
      </c>
      <c r="D301">
        <v>0</v>
      </c>
      <c r="E301">
        <v>0</v>
      </c>
      <c r="F301">
        <v>2400</v>
      </c>
      <c r="G301">
        <v>1386.8408202999999</v>
      </c>
      <c r="H301">
        <v>1373.1856689000001</v>
      </c>
      <c r="I301">
        <v>1251.6446533000001</v>
      </c>
      <c r="J301">
        <v>1212.1436768000001</v>
      </c>
      <c r="K301">
        <v>80</v>
      </c>
      <c r="L301">
        <v>79.885704040999997</v>
      </c>
      <c r="M301">
        <v>50</v>
      </c>
      <c r="N301">
        <v>14.998516083</v>
      </c>
    </row>
    <row r="302" spans="1:14" x14ac:dyDescent="0.25">
      <c r="A302">
        <v>86.585272000000003</v>
      </c>
      <c r="B302" s="1">
        <f>DATE(2010,7,26) + TIME(14,2,47)</f>
        <v>40385.585266203707</v>
      </c>
      <c r="C302">
        <v>2400</v>
      </c>
      <c r="D302">
        <v>0</v>
      </c>
      <c r="E302">
        <v>0</v>
      </c>
      <c r="F302">
        <v>2400</v>
      </c>
      <c r="G302">
        <v>1386.7684326000001</v>
      </c>
      <c r="H302">
        <v>1373.1180420000001</v>
      </c>
      <c r="I302">
        <v>1251.6638184000001</v>
      </c>
      <c r="J302">
        <v>1212.1616211</v>
      </c>
      <c r="K302">
        <v>80</v>
      </c>
      <c r="L302">
        <v>79.885879517000006</v>
      </c>
      <c r="M302">
        <v>50</v>
      </c>
      <c r="N302">
        <v>14.998531342</v>
      </c>
    </row>
    <row r="303" spans="1:14" x14ac:dyDescent="0.25">
      <c r="A303">
        <v>87.504540000000006</v>
      </c>
      <c r="B303" s="1">
        <f>DATE(2010,7,27) + TIME(12,6,32)</f>
        <v>40386.504537037035</v>
      </c>
      <c r="C303">
        <v>2400</v>
      </c>
      <c r="D303">
        <v>0</v>
      </c>
      <c r="E303">
        <v>0</v>
      </c>
      <c r="F303">
        <v>2400</v>
      </c>
      <c r="G303">
        <v>1386.6961670000001</v>
      </c>
      <c r="H303">
        <v>1373.0505370999999</v>
      </c>
      <c r="I303">
        <v>1251.6833495999999</v>
      </c>
      <c r="J303">
        <v>1212.1799315999999</v>
      </c>
      <c r="K303">
        <v>80</v>
      </c>
      <c r="L303">
        <v>79.886062621999997</v>
      </c>
      <c r="M303">
        <v>50</v>
      </c>
      <c r="N303">
        <v>14.998546599999999</v>
      </c>
    </row>
    <row r="304" spans="1:14" x14ac:dyDescent="0.25">
      <c r="A304">
        <v>88.431976000000006</v>
      </c>
      <c r="B304" s="1">
        <f>DATE(2010,7,28) + TIME(10,22,2)</f>
        <v>40387.431967592594</v>
      </c>
      <c r="C304">
        <v>2400</v>
      </c>
      <c r="D304">
        <v>0</v>
      </c>
      <c r="E304">
        <v>0</v>
      </c>
      <c r="F304">
        <v>2400</v>
      </c>
      <c r="G304">
        <v>1386.6240233999999</v>
      </c>
      <c r="H304">
        <v>1372.9830322</v>
      </c>
      <c r="I304">
        <v>1251.7033690999999</v>
      </c>
      <c r="J304">
        <v>1212.1984863</v>
      </c>
      <c r="K304">
        <v>80</v>
      </c>
      <c r="L304">
        <v>79.886245728000006</v>
      </c>
      <c r="M304">
        <v>50</v>
      </c>
      <c r="N304">
        <v>14.998562812999999</v>
      </c>
    </row>
    <row r="305" spans="1:14" x14ac:dyDescent="0.25">
      <c r="A305">
        <v>89.363016000000002</v>
      </c>
      <c r="B305" s="1">
        <f>DATE(2010,7,29) + TIME(8,42,44)</f>
        <v>40388.363009259258</v>
      </c>
      <c r="C305">
        <v>2400</v>
      </c>
      <c r="D305">
        <v>0</v>
      </c>
      <c r="E305">
        <v>0</v>
      </c>
      <c r="F305">
        <v>2400</v>
      </c>
      <c r="G305">
        <v>1386.5518798999999</v>
      </c>
      <c r="H305">
        <v>1372.9156493999999</v>
      </c>
      <c r="I305">
        <v>1251.7236327999999</v>
      </c>
      <c r="J305">
        <v>1212.2174072</v>
      </c>
      <c r="K305">
        <v>80</v>
      </c>
      <c r="L305">
        <v>79.886428832999997</v>
      </c>
      <c r="M305">
        <v>50</v>
      </c>
      <c r="N305">
        <v>14.998578072000001</v>
      </c>
    </row>
    <row r="306" spans="1:14" x14ac:dyDescent="0.25">
      <c r="A306">
        <v>90.299210000000002</v>
      </c>
      <c r="B306" s="1">
        <f>DATE(2010,7,30) + TIME(7,10,51)</f>
        <v>40389.299201388887</v>
      </c>
      <c r="C306">
        <v>2400</v>
      </c>
      <c r="D306">
        <v>0</v>
      </c>
      <c r="E306">
        <v>0</v>
      </c>
      <c r="F306">
        <v>2400</v>
      </c>
      <c r="G306">
        <v>1386.4801024999999</v>
      </c>
      <c r="H306">
        <v>1372.8486327999999</v>
      </c>
      <c r="I306">
        <v>1251.7441406</v>
      </c>
      <c r="J306">
        <v>1212.2365723</v>
      </c>
      <c r="K306">
        <v>80</v>
      </c>
      <c r="L306">
        <v>79.886611938000001</v>
      </c>
      <c r="M306">
        <v>50</v>
      </c>
      <c r="N306">
        <v>14.998594283999999</v>
      </c>
    </row>
    <row r="307" spans="1:14" x14ac:dyDescent="0.25">
      <c r="A307">
        <v>91.240837999999997</v>
      </c>
      <c r="B307" s="1">
        <f>DATE(2010,7,31) + TIME(5,46,48)</f>
        <v>40390.240833333337</v>
      </c>
      <c r="C307">
        <v>2400</v>
      </c>
      <c r="D307">
        <v>0</v>
      </c>
      <c r="E307">
        <v>0</v>
      </c>
      <c r="F307">
        <v>2400</v>
      </c>
      <c r="G307">
        <v>1386.4085693</v>
      </c>
      <c r="H307">
        <v>1372.7817382999999</v>
      </c>
      <c r="I307">
        <v>1251.7650146000001</v>
      </c>
      <c r="J307">
        <v>1212.2561035000001</v>
      </c>
      <c r="K307">
        <v>80</v>
      </c>
      <c r="L307">
        <v>79.886795043999996</v>
      </c>
      <c r="M307">
        <v>50</v>
      </c>
      <c r="N307">
        <v>14.998609543000001</v>
      </c>
    </row>
    <row r="308" spans="1:14" x14ac:dyDescent="0.25">
      <c r="A308">
        <v>92</v>
      </c>
      <c r="B308" s="1">
        <f>DATE(2010,8,1) + TIME(0,0,0)</f>
        <v>40391</v>
      </c>
      <c r="C308">
        <v>2400</v>
      </c>
      <c r="D308">
        <v>0</v>
      </c>
      <c r="E308">
        <v>0</v>
      </c>
      <c r="F308">
        <v>2400</v>
      </c>
      <c r="G308">
        <v>1386.3371582</v>
      </c>
      <c r="H308">
        <v>1372.7150879000001</v>
      </c>
      <c r="I308">
        <v>1251.7860106999999</v>
      </c>
      <c r="J308">
        <v>1212.2756348</v>
      </c>
      <c r="K308">
        <v>80</v>
      </c>
      <c r="L308">
        <v>79.886940002000003</v>
      </c>
      <c r="M308">
        <v>50</v>
      </c>
      <c r="N308">
        <v>14.998624802</v>
      </c>
    </row>
    <row r="309" spans="1:14" x14ac:dyDescent="0.25">
      <c r="A309">
        <v>92.472087000000002</v>
      </c>
      <c r="B309" s="1">
        <f>DATE(2010,8,1) + TIME(11,19,48)</f>
        <v>40391.472083333334</v>
      </c>
      <c r="C309">
        <v>2400</v>
      </c>
      <c r="D309">
        <v>0</v>
      </c>
      <c r="E309">
        <v>0</v>
      </c>
      <c r="F309">
        <v>2400</v>
      </c>
      <c r="G309">
        <v>1386.2799072</v>
      </c>
      <c r="H309">
        <v>1372.6613769999999</v>
      </c>
      <c r="I309">
        <v>1251.8031006000001</v>
      </c>
      <c r="J309">
        <v>1212.2915039</v>
      </c>
      <c r="K309">
        <v>80</v>
      </c>
      <c r="L309">
        <v>79.887023925999998</v>
      </c>
      <c r="M309">
        <v>50</v>
      </c>
      <c r="N309">
        <v>14.998636246</v>
      </c>
    </row>
    <row r="310" spans="1:14" x14ac:dyDescent="0.25">
      <c r="A310">
        <v>92.944175000000001</v>
      </c>
      <c r="B310" s="1">
        <f>DATE(2010,8,1) + TIME(22,39,36)</f>
        <v>40391.944166666668</v>
      </c>
      <c r="C310">
        <v>2400</v>
      </c>
      <c r="D310">
        <v>0</v>
      </c>
      <c r="E310">
        <v>0</v>
      </c>
      <c r="F310">
        <v>2400</v>
      </c>
      <c r="G310">
        <v>1386.2442627</v>
      </c>
      <c r="H310">
        <v>1372.6280518000001</v>
      </c>
      <c r="I310">
        <v>1251.8139647999999</v>
      </c>
      <c r="J310">
        <v>1212.3016356999999</v>
      </c>
      <c r="K310">
        <v>80</v>
      </c>
      <c r="L310">
        <v>79.887115479000002</v>
      </c>
      <c r="M310">
        <v>50</v>
      </c>
      <c r="N310">
        <v>14.998645782000001</v>
      </c>
    </row>
    <row r="311" spans="1:14" x14ac:dyDescent="0.25">
      <c r="A311">
        <v>93.416262000000003</v>
      </c>
      <c r="B311" s="1">
        <f>DATE(2010,8,2) + TIME(9,59,25)</f>
        <v>40392.416261574072</v>
      </c>
      <c r="C311">
        <v>2400</v>
      </c>
      <c r="D311">
        <v>0</v>
      </c>
      <c r="E311">
        <v>0</v>
      </c>
      <c r="F311">
        <v>2400</v>
      </c>
      <c r="G311">
        <v>1386.2091064000001</v>
      </c>
      <c r="H311">
        <v>1372.5952147999999</v>
      </c>
      <c r="I311">
        <v>1251.8248291</v>
      </c>
      <c r="J311">
        <v>1212.3117675999999</v>
      </c>
      <c r="K311">
        <v>80</v>
      </c>
      <c r="L311">
        <v>79.887207031000003</v>
      </c>
      <c r="M311">
        <v>50</v>
      </c>
      <c r="N311">
        <v>14.998655318999999</v>
      </c>
    </row>
    <row r="312" spans="1:14" x14ac:dyDescent="0.25">
      <c r="A312">
        <v>93.888349000000005</v>
      </c>
      <c r="B312" s="1">
        <f>DATE(2010,8,2) + TIME(21,19,13)</f>
        <v>40392.888344907406</v>
      </c>
      <c r="C312">
        <v>2400</v>
      </c>
      <c r="D312">
        <v>0</v>
      </c>
      <c r="E312">
        <v>0</v>
      </c>
      <c r="F312">
        <v>2400</v>
      </c>
      <c r="G312">
        <v>1386.1741943</v>
      </c>
      <c r="H312">
        <v>1372.5626221</v>
      </c>
      <c r="I312">
        <v>1251.8358154</v>
      </c>
      <c r="J312">
        <v>1212.3218993999999</v>
      </c>
      <c r="K312">
        <v>80</v>
      </c>
      <c r="L312">
        <v>79.887298584000007</v>
      </c>
      <c r="M312">
        <v>50</v>
      </c>
      <c r="N312">
        <v>14.998664856</v>
      </c>
    </row>
    <row r="313" spans="1:14" x14ac:dyDescent="0.25">
      <c r="A313">
        <v>94.360437000000005</v>
      </c>
      <c r="B313" s="1">
        <f>DATE(2010,8,3) + TIME(8,39,1)</f>
        <v>40393.36042824074</v>
      </c>
      <c r="C313">
        <v>2400</v>
      </c>
      <c r="D313">
        <v>0</v>
      </c>
      <c r="E313">
        <v>0</v>
      </c>
      <c r="F313">
        <v>2400</v>
      </c>
      <c r="G313">
        <v>1386.1395264</v>
      </c>
      <c r="H313">
        <v>1372.5300293</v>
      </c>
      <c r="I313">
        <v>1251.8468018000001</v>
      </c>
      <c r="J313">
        <v>1212.3321533000001</v>
      </c>
      <c r="K313">
        <v>80</v>
      </c>
      <c r="L313">
        <v>79.887390136999997</v>
      </c>
      <c r="M313">
        <v>50</v>
      </c>
      <c r="N313">
        <v>14.998674393</v>
      </c>
    </row>
    <row r="314" spans="1:14" x14ac:dyDescent="0.25">
      <c r="A314">
        <v>94.832524000000006</v>
      </c>
      <c r="B314" s="1">
        <f>DATE(2010,8,3) + TIME(19,58,50)</f>
        <v>40393.83252314815</v>
      </c>
      <c r="C314">
        <v>2400</v>
      </c>
      <c r="D314">
        <v>0</v>
      </c>
      <c r="E314">
        <v>0</v>
      </c>
      <c r="F314">
        <v>2400</v>
      </c>
      <c r="G314">
        <v>1386.1048584</v>
      </c>
      <c r="H314">
        <v>1372.4976807</v>
      </c>
      <c r="I314">
        <v>1251.8577881000001</v>
      </c>
      <c r="J314">
        <v>1212.3424072</v>
      </c>
      <c r="K314">
        <v>80</v>
      </c>
      <c r="L314">
        <v>79.887481688999998</v>
      </c>
      <c r="M314">
        <v>50</v>
      </c>
      <c r="N314">
        <v>14.998682976</v>
      </c>
    </row>
    <row r="315" spans="1:14" x14ac:dyDescent="0.25">
      <c r="A315">
        <v>95.776697999999996</v>
      </c>
      <c r="B315" s="1">
        <f>DATE(2010,8,4) + TIME(18,38,26)</f>
        <v>40394.776689814818</v>
      </c>
      <c r="C315">
        <v>2400</v>
      </c>
      <c r="D315">
        <v>0</v>
      </c>
      <c r="E315">
        <v>0</v>
      </c>
      <c r="F315">
        <v>2400</v>
      </c>
      <c r="G315">
        <v>1386.0709228999999</v>
      </c>
      <c r="H315">
        <v>1372.4660644999999</v>
      </c>
      <c r="I315">
        <v>1251.8692627</v>
      </c>
      <c r="J315">
        <v>1212.3531493999999</v>
      </c>
      <c r="K315">
        <v>80</v>
      </c>
      <c r="L315">
        <v>79.887672424000002</v>
      </c>
      <c r="M315">
        <v>50</v>
      </c>
      <c r="N315">
        <v>14.998696326999999</v>
      </c>
    </row>
    <row r="316" spans="1:14" x14ac:dyDescent="0.25">
      <c r="A316">
        <v>96.721830999999995</v>
      </c>
      <c r="B316" s="1">
        <f>DATE(2010,8,5) + TIME(17,19,26)</f>
        <v>40395.721828703703</v>
      </c>
      <c r="C316">
        <v>2400</v>
      </c>
      <c r="D316">
        <v>0</v>
      </c>
      <c r="E316">
        <v>0</v>
      </c>
      <c r="F316">
        <v>2400</v>
      </c>
      <c r="G316">
        <v>1386.0029297000001</v>
      </c>
      <c r="H316">
        <v>1372.4024658000001</v>
      </c>
      <c r="I316">
        <v>1251.8914795000001</v>
      </c>
      <c r="J316">
        <v>1212.3736572</v>
      </c>
      <c r="K316">
        <v>80</v>
      </c>
      <c r="L316">
        <v>79.887863159000005</v>
      </c>
      <c r="M316">
        <v>50</v>
      </c>
      <c r="N316">
        <v>14.99871254</v>
      </c>
    </row>
    <row r="317" spans="1:14" x14ac:dyDescent="0.25">
      <c r="A317">
        <v>97.674493999999996</v>
      </c>
      <c r="B317" s="1">
        <f>DATE(2010,8,6) + TIME(16,11,16)</f>
        <v>40396.674490740741</v>
      </c>
      <c r="C317">
        <v>2400</v>
      </c>
      <c r="D317">
        <v>0</v>
      </c>
      <c r="E317">
        <v>0</v>
      </c>
      <c r="F317">
        <v>2400</v>
      </c>
      <c r="G317">
        <v>1385.9350586</v>
      </c>
      <c r="H317">
        <v>1372.3389893000001</v>
      </c>
      <c r="I317">
        <v>1251.9139404</v>
      </c>
      <c r="J317">
        <v>1212.3946533000001</v>
      </c>
      <c r="K317">
        <v>80</v>
      </c>
      <c r="L317">
        <v>79.888046265</v>
      </c>
      <c r="M317">
        <v>50</v>
      </c>
      <c r="N317">
        <v>14.998730659</v>
      </c>
    </row>
    <row r="318" spans="1:14" x14ac:dyDescent="0.25">
      <c r="A318">
        <v>98.636308999999997</v>
      </c>
      <c r="B318" s="1">
        <f>DATE(2010,8,7) + TIME(15,16,17)</f>
        <v>40397.636307870373</v>
      </c>
      <c r="C318">
        <v>2400</v>
      </c>
      <c r="D318">
        <v>0</v>
      </c>
      <c r="E318">
        <v>0</v>
      </c>
      <c r="F318">
        <v>2400</v>
      </c>
      <c r="G318">
        <v>1385.8673096</v>
      </c>
      <c r="H318">
        <v>1372.2756348</v>
      </c>
      <c r="I318">
        <v>1251.9368896000001</v>
      </c>
      <c r="J318">
        <v>1212.4158935999999</v>
      </c>
      <c r="K318">
        <v>80</v>
      </c>
      <c r="L318">
        <v>79.888229370000005</v>
      </c>
      <c r="M318">
        <v>50</v>
      </c>
      <c r="N318">
        <v>14.998749733</v>
      </c>
    </row>
    <row r="319" spans="1:14" x14ac:dyDescent="0.25">
      <c r="A319">
        <v>99.608858999999995</v>
      </c>
      <c r="B319" s="1">
        <f>DATE(2010,8,8) + TIME(14,36,45)</f>
        <v>40398.608854166669</v>
      </c>
      <c r="C319">
        <v>2400</v>
      </c>
      <c r="D319">
        <v>0</v>
      </c>
      <c r="E319">
        <v>0</v>
      </c>
      <c r="F319">
        <v>2400</v>
      </c>
      <c r="G319">
        <v>1385.7994385</v>
      </c>
      <c r="H319">
        <v>1372.2121582</v>
      </c>
      <c r="I319">
        <v>1251.9603271000001</v>
      </c>
      <c r="J319">
        <v>1212.4375</v>
      </c>
      <c r="K319">
        <v>80</v>
      </c>
      <c r="L319">
        <v>79.888420104999994</v>
      </c>
      <c r="M319">
        <v>50</v>
      </c>
      <c r="N319">
        <v>14.998770714000001</v>
      </c>
    </row>
    <row r="320" spans="1:14" x14ac:dyDescent="0.25">
      <c r="A320">
        <v>100.593785</v>
      </c>
      <c r="B320" s="1">
        <f>DATE(2010,8,9) + TIME(14,15,3)</f>
        <v>40399.593784722223</v>
      </c>
      <c r="C320">
        <v>2400</v>
      </c>
      <c r="D320">
        <v>0</v>
      </c>
      <c r="E320">
        <v>0</v>
      </c>
      <c r="F320">
        <v>2400</v>
      </c>
      <c r="G320">
        <v>1385.7314452999999</v>
      </c>
      <c r="H320">
        <v>1372.1485596</v>
      </c>
      <c r="I320">
        <v>1251.9842529</v>
      </c>
      <c r="J320">
        <v>1212.4597168</v>
      </c>
      <c r="K320">
        <v>80</v>
      </c>
      <c r="L320">
        <v>79.888610839999998</v>
      </c>
      <c r="M320">
        <v>50</v>
      </c>
      <c r="N320">
        <v>14.998793601999999</v>
      </c>
    </row>
    <row r="321" spans="1:14" x14ac:dyDescent="0.25">
      <c r="A321">
        <v>101.09311599999999</v>
      </c>
      <c r="B321" s="1">
        <f>DATE(2010,8,10) + TIME(2,14,5)</f>
        <v>40400.093113425923</v>
      </c>
      <c r="C321">
        <v>2400</v>
      </c>
      <c r="D321">
        <v>0</v>
      </c>
      <c r="E321">
        <v>0</v>
      </c>
      <c r="F321">
        <v>2400</v>
      </c>
      <c r="G321">
        <v>1385.6629639</v>
      </c>
      <c r="H321">
        <v>1372.0844727000001</v>
      </c>
      <c r="I321">
        <v>1252.0083007999999</v>
      </c>
      <c r="J321">
        <v>1212.4819336</v>
      </c>
      <c r="K321">
        <v>80</v>
      </c>
      <c r="L321">
        <v>79.888694763000004</v>
      </c>
      <c r="M321">
        <v>50</v>
      </c>
      <c r="N321">
        <v>14.998810768</v>
      </c>
    </row>
    <row r="322" spans="1:14" x14ac:dyDescent="0.25">
      <c r="A322">
        <v>101.592446</v>
      </c>
      <c r="B322" s="1">
        <f>DATE(2010,8,10) + TIME(14,13,7)</f>
        <v>40400.592442129629</v>
      </c>
      <c r="C322">
        <v>2400</v>
      </c>
      <c r="D322">
        <v>0</v>
      </c>
      <c r="E322">
        <v>0</v>
      </c>
      <c r="F322">
        <v>2400</v>
      </c>
      <c r="G322">
        <v>1385.6279297000001</v>
      </c>
      <c r="H322">
        <v>1372.0516356999999</v>
      </c>
      <c r="I322">
        <v>1252.0209961</v>
      </c>
      <c r="J322">
        <v>1212.4937743999999</v>
      </c>
      <c r="K322">
        <v>80</v>
      </c>
      <c r="L322">
        <v>79.888786315999994</v>
      </c>
      <c r="M322">
        <v>50</v>
      </c>
      <c r="N322">
        <v>14.998826981000001</v>
      </c>
    </row>
    <row r="323" spans="1:14" x14ac:dyDescent="0.25">
      <c r="A323">
        <v>102.091776</v>
      </c>
      <c r="B323" s="1">
        <f>DATE(2010,8,11) + TIME(2,12,9)</f>
        <v>40401.091770833336</v>
      </c>
      <c r="C323">
        <v>2400</v>
      </c>
      <c r="D323">
        <v>0</v>
      </c>
      <c r="E323">
        <v>0</v>
      </c>
      <c r="F323">
        <v>2400</v>
      </c>
      <c r="G323">
        <v>1385.5936279</v>
      </c>
      <c r="H323">
        <v>1372.0195312000001</v>
      </c>
      <c r="I323">
        <v>1252.0336914</v>
      </c>
      <c r="J323">
        <v>1212.5053711</v>
      </c>
      <c r="K323">
        <v>80</v>
      </c>
      <c r="L323">
        <v>79.888877868999998</v>
      </c>
      <c r="M323">
        <v>50</v>
      </c>
      <c r="N323">
        <v>14.998843193000001</v>
      </c>
    </row>
    <row r="324" spans="1:14" x14ac:dyDescent="0.25">
      <c r="A324">
        <v>102.591106</v>
      </c>
      <c r="B324" s="1">
        <f>DATE(2010,8,11) + TIME(14,11,11)</f>
        <v>40401.591099537036</v>
      </c>
      <c r="C324">
        <v>2400</v>
      </c>
      <c r="D324">
        <v>0</v>
      </c>
      <c r="E324">
        <v>0</v>
      </c>
      <c r="F324">
        <v>2400</v>
      </c>
      <c r="G324">
        <v>1385.5594481999999</v>
      </c>
      <c r="H324">
        <v>1371.9875488</v>
      </c>
      <c r="I324">
        <v>1252.0463867000001</v>
      </c>
      <c r="J324">
        <v>1212.5172118999999</v>
      </c>
      <c r="K324">
        <v>80</v>
      </c>
      <c r="L324">
        <v>79.888977050999998</v>
      </c>
      <c r="M324">
        <v>50</v>
      </c>
      <c r="N324">
        <v>14.998858452</v>
      </c>
    </row>
    <row r="325" spans="1:14" x14ac:dyDescent="0.25">
      <c r="A325">
        <v>103.090436</v>
      </c>
      <c r="B325" s="1">
        <f>DATE(2010,8,12) + TIME(2,10,13)</f>
        <v>40402.090428240743</v>
      </c>
      <c r="C325">
        <v>2400</v>
      </c>
      <c r="D325">
        <v>0</v>
      </c>
      <c r="E325">
        <v>0</v>
      </c>
      <c r="F325">
        <v>2400</v>
      </c>
      <c r="G325">
        <v>1385.5255127</v>
      </c>
      <c r="H325">
        <v>1371.9558105000001</v>
      </c>
      <c r="I325">
        <v>1252.0592041</v>
      </c>
      <c r="J325">
        <v>1212.5289307</v>
      </c>
      <c r="K325">
        <v>80</v>
      </c>
      <c r="L325">
        <v>79.889068604000002</v>
      </c>
      <c r="M325">
        <v>50</v>
      </c>
      <c r="N325">
        <v>14.998874664000001</v>
      </c>
    </row>
    <row r="326" spans="1:14" x14ac:dyDescent="0.25">
      <c r="A326">
        <v>103.589766</v>
      </c>
      <c r="B326" s="1">
        <f>DATE(2010,8,12) + TIME(14,9,15)</f>
        <v>40402.589756944442</v>
      </c>
      <c r="C326">
        <v>2400</v>
      </c>
      <c r="D326">
        <v>0</v>
      </c>
      <c r="E326">
        <v>0</v>
      </c>
      <c r="F326">
        <v>2400</v>
      </c>
      <c r="G326">
        <v>1385.4916992000001</v>
      </c>
      <c r="H326">
        <v>1371.9240723</v>
      </c>
      <c r="I326">
        <v>1252.0720214999999</v>
      </c>
      <c r="J326">
        <v>1212.5408935999999</v>
      </c>
      <c r="K326">
        <v>80</v>
      </c>
      <c r="L326">
        <v>79.889160156000003</v>
      </c>
      <c r="M326">
        <v>50</v>
      </c>
      <c r="N326">
        <v>14.998890876999999</v>
      </c>
    </row>
    <row r="327" spans="1:14" x14ac:dyDescent="0.25">
      <c r="A327">
        <v>104.089096</v>
      </c>
      <c r="B327" s="1">
        <f>DATE(2010,8,13) + TIME(2,8,17)</f>
        <v>40403.089085648149</v>
      </c>
      <c r="C327">
        <v>2400</v>
      </c>
      <c r="D327">
        <v>0</v>
      </c>
      <c r="E327">
        <v>0</v>
      </c>
      <c r="F327">
        <v>2400</v>
      </c>
      <c r="G327">
        <v>1385.4580077999999</v>
      </c>
      <c r="H327">
        <v>1371.8925781</v>
      </c>
      <c r="I327">
        <v>1252.0849608999999</v>
      </c>
      <c r="J327">
        <v>1212.5528564000001</v>
      </c>
      <c r="K327">
        <v>80</v>
      </c>
      <c r="L327">
        <v>79.889259338000002</v>
      </c>
      <c r="M327">
        <v>50</v>
      </c>
      <c r="N327">
        <v>14.998908043</v>
      </c>
    </row>
    <row r="328" spans="1:14" x14ac:dyDescent="0.25">
      <c r="A328">
        <v>104.588426</v>
      </c>
      <c r="B328" s="1">
        <f>DATE(2010,8,13) + TIME(14,7,20)</f>
        <v>40403.588425925926</v>
      </c>
      <c r="C328">
        <v>2400</v>
      </c>
      <c r="D328">
        <v>0</v>
      </c>
      <c r="E328">
        <v>0</v>
      </c>
      <c r="F328">
        <v>2400</v>
      </c>
      <c r="G328">
        <v>1385.4244385</v>
      </c>
      <c r="H328">
        <v>1371.8610839999999</v>
      </c>
      <c r="I328">
        <v>1252.0980225000001</v>
      </c>
      <c r="J328">
        <v>1212.5648193</v>
      </c>
      <c r="K328">
        <v>80</v>
      </c>
      <c r="L328">
        <v>79.889350891000007</v>
      </c>
      <c r="M328">
        <v>50</v>
      </c>
      <c r="N328">
        <v>14.998926163</v>
      </c>
    </row>
    <row r="329" spans="1:14" x14ac:dyDescent="0.25">
      <c r="A329">
        <v>105.087756</v>
      </c>
      <c r="B329" s="1">
        <f>DATE(2010,8,14) + TIME(2,6,22)</f>
        <v>40404.087754629632</v>
      </c>
      <c r="C329">
        <v>2400</v>
      </c>
      <c r="D329">
        <v>0</v>
      </c>
      <c r="E329">
        <v>0</v>
      </c>
      <c r="F329">
        <v>2400</v>
      </c>
      <c r="G329">
        <v>1385.3909911999999</v>
      </c>
      <c r="H329">
        <v>1371.8298339999999</v>
      </c>
      <c r="I329">
        <v>1252.1110839999999</v>
      </c>
      <c r="J329">
        <v>1212.5769043</v>
      </c>
      <c r="K329">
        <v>80</v>
      </c>
      <c r="L329">
        <v>79.889450073000006</v>
      </c>
      <c r="M329">
        <v>50</v>
      </c>
      <c r="N329">
        <v>14.998944283</v>
      </c>
    </row>
    <row r="330" spans="1:14" x14ac:dyDescent="0.25">
      <c r="A330">
        <v>105.587086</v>
      </c>
      <c r="B330" s="1">
        <f>DATE(2010,8,14) + TIME(14,5,24)</f>
        <v>40404.587083333332</v>
      </c>
      <c r="C330">
        <v>2400</v>
      </c>
      <c r="D330">
        <v>0</v>
      </c>
      <c r="E330">
        <v>0</v>
      </c>
      <c r="F330">
        <v>2400</v>
      </c>
      <c r="G330">
        <v>1385.3576660000001</v>
      </c>
      <c r="H330">
        <v>1371.7985839999999</v>
      </c>
      <c r="I330">
        <v>1252.1242675999999</v>
      </c>
      <c r="J330">
        <v>1212.5891113</v>
      </c>
      <c r="K330">
        <v>80</v>
      </c>
      <c r="L330">
        <v>79.889541625999996</v>
      </c>
      <c r="M330">
        <v>50</v>
      </c>
      <c r="N330">
        <v>14.99896431</v>
      </c>
    </row>
    <row r="331" spans="1:14" x14ac:dyDescent="0.25">
      <c r="A331">
        <v>106.086417</v>
      </c>
      <c r="B331" s="1">
        <f>DATE(2010,8,15) + TIME(2,4,26)</f>
        <v>40405.086412037039</v>
      </c>
      <c r="C331">
        <v>2400</v>
      </c>
      <c r="D331">
        <v>0</v>
      </c>
      <c r="E331">
        <v>0</v>
      </c>
      <c r="F331">
        <v>2400</v>
      </c>
      <c r="G331">
        <v>1385.3245850000001</v>
      </c>
      <c r="H331">
        <v>1371.7675781</v>
      </c>
      <c r="I331">
        <v>1252.1375731999999</v>
      </c>
      <c r="J331">
        <v>1212.6013184000001</v>
      </c>
      <c r="K331">
        <v>80</v>
      </c>
      <c r="L331">
        <v>79.889633179</v>
      </c>
      <c r="M331">
        <v>50</v>
      </c>
      <c r="N331">
        <v>14.998985291</v>
      </c>
    </row>
    <row r="332" spans="1:14" x14ac:dyDescent="0.25">
      <c r="A332">
        <v>106.585747</v>
      </c>
      <c r="B332" s="1">
        <f>DATE(2010,8,15) + TIME(14,3,28)</f>
        <v>40405.585740740738</v>
      </c>
      <c r="C332">
        <v>2400</v>
      </c>
      <c r="D332">
        <v>0</v>
      </c>
      <c r="E332">
        <v>0</v>
      </c>
      <c r="F332">
        <v>2400</v>
      </c>
      <c r="G332">
        <v>1385.2915039</v>
      </c>
      <c r="H332">
        <v>1371.7366943</v>
      </c>
      <c r="I332">
        <v>1252.1508789</v>
      </c>
      <c r="J332">
        <v>1212.6135254000001</v>
      </c>
      <c r="K332">
        <v>80</v>
      </c>
      <c r="L332">
        <v>79.889732361</v>
      </c>
      <c r="M332">
        <v>50</v>
      </c>
      <c r="N332">
        <v>14.999007225</v>
      </c>
    </row>
    <row r="333" spans="1:14" x14ac:dyDescent="0.25">
      <c r="A333">
        <v>107.085077</v>
      </c>
      <c r="B333" s="1">
        <f>DATE(2010,8,16) + TIME(2,2,30)</f>
        <v>40406.085069444445</v>
      </c>
      <c r="C333">
        <v>2400</v>
      </c>
      <c r="D333">
        <v>0</v>
      </c>
      <c r="E333">
        <v>0</v>
      </c>
      <c r="F333">
        <v>2400</v>
      </c>
      <c r="G333">
        <v>1385.2586670000001</v>
      </c>
      <c r="H333">
        <v>1371.7058105000001</v>
      </c>
      <c r="I333">
        <v>1252.1643065999999</v>
      </c>
      <c r="J333">
        <v>1212.6259766000001</v>
      </c>
      <c r="K333">
        <v>80</v>
      </c>
      <c r="L333">
        <v>79.889823914000004</v>
      </c>
      <c r="M333">
        <v>50</v>
      </c>
      <c r="N333">
        <v>14.999030113</v>
      </c>
    </row>
    <row r="334" spans="1:14" x14ac:dyDescent="0.25">
      <c r="A334">
        <v>107.584407</v>
      </c>
      <c r="B334" s="1">
        <f>DATE(2010,8,16) + TIME(14,1,32)</f>
        <v>40406.584398148145</v>
      </c>
      <c r="C334">
        <v>2400</v>
      </c>
      <c r="D334">
        <v>0</v>
      </c>
      <c r="E334">
        <v>0</v>
      </c>
      <c r="F334">
        <v>2400</v>
      </c>
      <c r="G334">
        <v>1385.2258300999999</v>
      </c>
      <c r="H334">
        <v>1371.6751709</v>
      </c>
      <c r="I334">
        <v>1252.1777344</v>
      </c>
      <c r="J334">
        <v>1212.6383057</v>
      </c>
      <c r="K334">
        <v>80</v>
      </c>
      <c r="L334">
        <v>79.889915466000005</v>
      </c>
      <c r="M334">
        <v>50</v>
      </c>
      <c r="N334">
        <v>14.999054909</v>
      </c>
    </row>
    <row r="335" spans="1:14" x14ac:dyDescent="0.25">
      <c r="A335">
        <v>108.083737</v>
      </c>
      <c r="B335" s="1">
        <f>DATE(2010,8,17) + TIME(2,0,34)</f>
        <v>40407.083726851852</v>
      </c>
      <c r="C335">
        <v>2400</v>
      </c>
      <c r="D335">
        <v>0</v>
      </c>
      <c r="E335">
        <v>0</v>
      </c>
      <c r="F335">
        <v>2400</v>
      </c>
      <c r="G335">
        <v>1385.1932373</v>
      </c>
      <c r="H335">
        <v>1371.6446533000001</v>
      </c>
      <c r="I335">
        <v>1252.1912841999999</v>
      </c>
      <c r="J335">
        <v>1212.6508789</v>
      </c>
      <c r="K335">
        <v>80</v>
      </c>
      <c r="L335">
        <v>79.890014648000005</v>
      </c>
      <c r="M335">
        <v>50</v>
      </c>
      <c r="N335">
        <v>14.999080658</v>
      </c>
    </row>
    <row r="336" spans="1:14" x14ac:dyDescent="0.25">
      <c r="A336">
        <v>108.583067</v>
      </c>
      <c r="B336" s="1">
        <f>DATE(2010,8,17) + TIME(13,59,36)</f>
        <v>40407.583055555559</v>
      </c>
      <c r="C336">
        <v>2400</v>
      </c>
      <c r="D336">
        <v>0</v>
      </c>
      <c r="E336">
        <v>0</v>
      </c>
      <c r="F336">
        <v>2400</v>
      </c>
      <c r="G336">
        <v>1385.1607666</v>
      </c>
      <c r="H336">
        <v>1371.6141356999999</v>
      </c>
      <c r="I336">
        <v>1252.2049560999999</v>
      </c>
      <c r="J336">
        <v>1212.6634521000001</v>
      </c>
      <c r="K336">
        <v>80</v>
      </c>
      <c r="L336">
        <v>79.890106200999995</v>
      </c>
      <c r="M336">
        <v>50</v>
      </c>
      <c r="N336">
        <v>14.999108315000001</v>
      </c>
    </row>
    <row r="337" spans="1:14" x14ac:dyDescent="0.25">
      <c r="A337">
        <v>109.082397</v>
      </c>
      <c r="B337" s="1">
        <f>DATE(2010,8,18) + TIME(1,58,39)</f>
        <v>40408.082395833335</v>
      </c>
      <c r="C337">
        <v>2400</v>
      </c>
      <c r="D337">
        <v>0</v>
      </c>
      <c r="E337">
        <v>0</v>
      </c>
      <c r="F337">
        <v>2400</v>
      </c>
      <c r="G337">
        <v>1385.128418</v>
      </c>
      <c r="H337">
        <v>1371.5838623</v>
      </c>
      <c r="I337">
        <v>1252.21875</v>
      </c>
      <c r="J337">
        <v>1212.6760254000001</v>
      </c>
      <c r="K337">
        <v>80</v>
      </c>
      <c r="L337">
        <v>79.890197753999999</v>
      </c>
      <c r="M337">
        <v>50</v>
      </c>
      <c r="N337">
        <v>14.999137878000001</v>
      </c>
    </row>
    <row r="338" spans="1:14" x14ac:dyDescent="0.25">
      <c r="A338">
        <v>110.081057</v>
      </c>
      <c r="B338" s="1">
        <f>DATE(2010,8,19) + TIME(1,56,43)</f>
        <v>40409.081053240741</v>
      </c>
      <c r="C338">
        <v>2400</v>
      </c>
      <c r="D338">
        <v>0</v>
      </c>
      <c r="E338">
        <v>0</v>
      </c>
      <c r="F338">
        <v>2400</v>
      </c>
      <c r="G338">
        <v>1385.0966797000001</v>
      </c>
      <c r="H338">
        <v>1371.5540771000001</v>
      </c>
      <c r="I338">
        <v>1252.2329102000001</v>
      </c>
      <c r="J338">
        <v>1212.6892089999999</v>
      </c>
      <c r="K338">
        <v>80</v>
      </c>
      <c r="L338">
        <v>79.890396117999998</v>
      </c>
      <c r="M338">
        <v>50</v>
      </c>
      <c r="N338">
        <v>14.999182701000001</v>
      </c>
    </row>
    <row r="339" spans="1:14" x14ac:dyDescent="0.25">
      <c r="A339">
        <v>111.082973</v>
      </c>
      <c r="B339" s="1">
        <f>DATE(2010,8,20) + TIME(1,59,28)</f>
        <v>40410.082962962966</v>
      </c>
      <c r="C339">
        <v>2400</v>
      </c>
      <c r="D339">
        <v>0</v>
      </c>
      <c r="E339">
        <v>0</v>
      </c>
      <c r="F339">
        <v>2400</v>
      </c>
      <c r="G339">
        <v>1385.0329589999999</v>
      </c>
      <c r="H339">
        <v>1371.4945068</v>
      </c>
      <c r="I339">
        <v>1252.2606201000001</v>
      </c>
      <c r="J339">
        <v>1212.7145995999999</v>
      </c>
      <c r="K339">
        <v>80</v>
      </c>
      <c r="L339">
        <v>79.890586853000002</v>
      </c>
      <c r="M339">
        <v>50</v>
      </c>
      <c r="N339">
        <v>14.999243736</v>
      </c>
    </row>
    <row r="340" spans="1:14" x14ac:dyDescent="0.25">
      <c r="A340">
        <v>112.09908799999999</v>
      </c>
      <c r="B340" s="1">
        <f>DATE(2010,8,21) + TIME(2,22,41)</f>
        <v>40411.099085648151</v>
      </c>
      <c r="C340">
        <v>2400</v>
      </c>
      <c r="D340">
        <v>0</v>
      </c>
      <c r="E340">
        <v>0</v>
      </c>
      <c r="F340">
        <v>2400</v>
      </c>
      <c r="G340">
        <v>1384.9692382999999</v>
      </c>
      <c r="H340">
        <v>1371.4348144999999</v>
      </c>
      <c r="I340">
        <v>1252.2889404</v>
      </c>
      <c r="J340">
        <v>1212.7406006000001</v>
      </c>
      <c r="K340">
        <v>80</v>
      </c>
      <c r="L340">
        <v>79.890777588000006</v>
      </c>
      <c r="M340">
        <v>50</v>
      </c>
      <c r="N340">
        <v>14.999317168999999</v>
      </c>
    </row>
    <row r="341" spans="1:14" x14ac:dyDescent="0.25">
      <c r="A341">
        <v>113.131012</v>
      </c>
      <c r="B341" s="1">
        <f>DATE(2010,8,22) + TIME(3,8,39)</f>
        <v>40412.131006944444</v>
      </c>
      <c r="C341">
        <v>2400</v>
      </c>
      <c r="D341">
        <v>0</v>
      </c>
      <c r="E341">
        <v>0</v>
      </c>
      <c r="F341">
        <v>2400</v>
      </c>
      <c r="G341">
        <v>1384.9050293</v>
      </c>
      <c r="H341">
        <v>1371.3746338000001</v>
      </c>
      <c r="I341">
        <v>1252.3179932</v>
      </c>
      <c r="J341">
        <v>1212.7672118999999</v>
      </c>
      <c r="K341">
        <v>80</v>
      </c>
      <c r="L341">
        <v>79.890968322999996</v>
      </c>
      <c r="M341">
        <v>50</v>
      </c>
      <c r="N341">
        <v>14.999403954</v>
      </c>
    </row>
    <row r="342" spans="1:14" x14ac:dyDescent="0.25">
      <c r="A342">
        <v>113.65604999999999</v>
      </c>
      <c r="B342" s="1">
        <f>DATE(2010,8,22) + TIME(15,44,42)</f>
        <v>40412.656041666669</v>
      </c>
      <c r="C342">
        <v>2400</v>
      </c>
      <c r="D342">
        <v>0</v>
      </c>
      <c r="E342">
        <v>0</v>
      </c>
      <c r="F342">
        <v>2400</v>
      </c>
      <c r="G342">
        <v>1384.8402100000001</v>
      </c>
      <c r="H342">
        <v>1371.3139647999999</v>
      </c>
      <c r="I342">
        <v>1252.3474120999999</v>
      </c>
      <c r="J342">
        <v>1212.7940673999999</v>
      </c>
      <c r="K342">
        <v>80</v>
      </c>
      <c r="L342">
        <v>79.891059874999996</v>
      </c>
      <c r="M342">
        <v>50</v>
      </c>
      <c r="N342">
        <v>14.999474525</v>
      </c>
    </row>
    <row r="343" spans="1:14" x14ac:dyDescent="0.25">
      <c r="A343">
        <v>114.181088</v>
      </c>
      <c r="B343" s="1">
        <f>DATE(2010,8,23) + TIME(4,20,45)</f>
        <v>40413.181076388886</v>
      </c>
      <c r="C343">
        <v>2400</v>
      </c>
      <c r="D343">
        <v>0</v>
      </c>
      <c r="E343">
        <v>0</v>
      </c>
      <c r="F343">
        <v>2400</v>
      </c>
      <c r="G343">
        <v>1384.8068848</v>
      </c>
      <c r="H343">
        <v>1371.2825928</v>
      </c>
      <c r="I343">
        <v>1252.3630370999999</v>
      </c>
      <c r="J343">
        <v>1212.8084716999999</v>
      </c>
      <c r="K343">
        <v>80</v>
      </c>
      <c r="L343">
        <v>79.891151428000001</v>
      </c>
      <c r="M343">
        <v>50</v>
      </c>
      <c r="N343">
        <v>14.999542236</v>
      </c>
    </row>
    <row r="344" spans="1:14" x14ac:dyDescent="0.25">
      <c r="A344">
        <v>114.706126</v>
      </c>
      <c r="B344" s="1">
        <f>DATE(2010,8,23) + TIME(16,56,49)</f>
        <v>40413.706122685187</v>
      </c>
      <c r="C344">
        <v>2400</v>
      </c>
      <c r="D344">
        <v>0</v>
      </c>
      <c r="E344">
        <v>0</v>
      </c>
      <c r="F344">
        <v>2400</v>
      </c>
      <c r="G344">
        <v>1384.7742920000001</v>
      </c>
      <c r="H344">
        <v>1371.2520752</v>
      </c>
      <c r="I344">
        <v>1252.3785399999999</v>
      </c>
      <c r="J344">
        <v>1212.8226318</v>
      </c>
      <c r="K344">
        <v>80</v>
      </c>
      <c r="L344">
        <v>79.891242981000005</v>
      </c>
      <c r="M344">
        <v>50</v>
      </c>
      <c r="N344">
        <v>14.999611854999999</v>
      </c>
    </row>
    <row r="345" spans="1:14" x14ac:dyDescent="0.25">
      <c r="A345">
        <v>115.23116400000001</v>
      </c>
      <c r="B345" s="1">
        <f>DATE(2010,8,24) + TIME(5,32,52)</f>
        <v>40414.231157407405</v>
      </c>
      <c r="C345">
        <v>2400</v>
      </c>
      <c r="D345">
        <v>0</v>
      </c>
      <c r="E345">
        <v>0</v>
      </c>
      <c r="F345">
        <v>2400</v>
      </c>
      <c r="G345">
        <v>1384.7416992000001</v>
      </c>
      <c r="H345">
        <v>1371.2215576000001</v>
      </c>
      <c r="I345">
        <v>1252.3942870999999</v>
      </c>
      <c r="J345">
        <v>1212.8370361</v>
      </c>
      <c r="K345">
        <v>80</v>
      </c>
      <c r="L345">
        <v>79.891342163000004</v>
      </c>
      <c r="M345">
        <v>50</v>
      </c>
      <c r="N345">
        <v>14.99968338</v>
      </c>
    </row>
    <row r="346" spans="1:14" x14ac:dyDescent="0.25">
      <c r="A346">
        <v>115.756202</v>
      </c>
      <c r="B346" s="1">
        <f>DATE(2010,8,24) + TIME(18,8,55)</f>
        <v>40414.756192129629</v>
      </c>
      <c r="C346">
        <v>2400</v>
      </c>
      <c r="D346">
        <v>0</v>
      </c>
      <c r="E346">
        <v>0</v>
      </c>
      <c r="F346">
        <v>2400</v>
      </c>
      <c r="G346">
        <v>1384.7093506000001</v>
      </c>
      <c r="H346">
        <v>1371.1911620999999</v>
      </c>
      <c r="I346">
        <v>1252.4100341999999</v>
      </c>
      <c r="J346">
        <v>1212.8514404</v>
      </c>
      <c r="K346">
        <v>80</v>
      </c>
      <c r="L346">
        <v>79.891441345000004</v>
      </c>
      <c r="M346">
        <v>50</v>
      </c>
      <c r="N346">
        <v>14.999757767</v>
      </c>
    </row>
    <row r="347" spans="1:14" x14ac:dyDescent="0.25">
      <c r="A347">
        <v>116.28124</v>
      </c>
      <c r="B347" s="1">
        <f>DATE(2010,8,25) + TIME(6,44,59)</f>
        <v>40415.281238425923</v>
      </c>
      <c r="C347">
        <v>2400</v>
      </c>
      <c r="D347">
        <v>0</v>
      </c>
      <c r="E347">
        <v>0</v>
      </c>
      <c r="F347">
        <v>2400</v>
      </c>
      <c r="G347">
        <v>1384.677124</v>
      </c>
      <c r="H347">
        <v>1371.1608887</v>
      </c>
      <c r="I347">
        <v>1252.4259033000001</v>
      </c>
      <c r="J347">
        <v>1212.8659668</v>
      </c>
      <c r="K347">
        <v>80</v>
      </c>
      <c r="L347">
        <v>79.891532897999994</v>
      </c>
      <c r="M347">
        <v>50</v>
      </c>
      <c r="N347">
        <v>14.999837875000001</v>
      </c>
    </row>
    <row r="348" spans="1:14" x14ac:dyDescent="0.25">
      <c r="A348">
        <v>116.80627800000001</v>
      </c>
      <c r="B348" s="1">
        <f>DATE(2010,8,25) + TIME(19,21,2)</f>
        <v>40415.806273148148</v>
      </c>
      <c r="C348">
        <v>2400</v>
      </c>
      <c r="D348">
        <v>0</v>
      </c>
      <c r="E348">
        <v>0</v>
      </c>
      <c r="F348">
        <v>2400</v>
      </c>
      <c r="G348">
        <v>1384.6450195</v>
      </c>
      <c r="H348">
        <v>1371.1307373</v>
      </c>
      <c r="I348">
        <v>1252.4418945</v>
      </c>
      <c r="J348">
        <v>1212.8806152</v>
      </c>
      <c r="K348">
        <v>80</v>
      </c>
      <c r="L348">
        <v>79.891632079999994</v>
      </c>
      <c r="M348">
        <v>50</v>
      </c>
      <c r="N348">
        <v>14.999922752</v>
      </c>
    </row>
    <row r="349" spans="1:14" x14ac:dyDescent="0.25">
      <c r="A349">
        <v>117.331315</v>
      </c>
      <c r="B349" s="1">
        <f>DATE(2010,8,26) + TIME(7,57,5)</f>
        <v>40416.331307870372</v>
      </c>
      <c r="C349">
        <v>2400</v>
      </c>
      <c r="D349">
        <v>0</v>
      </c>
      <c r="E349">
        <v>0</v>
      </c>
      <c r="F349">
        <v>2400</v>
      </c>
      <c r="G349">
        <v>1384.6130370999999</v>
      </c>
      <c r="H349">
        <v>1371.1007079999999</v>
      </c>
      <c r="I349">
        <v>1252.4580077999999</v>
      </c>
      <c r="J349">
        <v>1212.8953856999999</v>
      </c>
      <c r="K349">
        <v>80</v>
      </c>
      <c r="L349">
        <v>79.891723632999998</v>
      </c>
      <c r="M349">
        <v>50</v>
      </c>
      <c r="N349">
        <v>15.000013351</v>
      </c>
    </row>
    <row r="350" spans="1:14" x14ac:dyDescent="0.25">
      <c r="A350">
        <v>117.856353</v>
      </c>
      <c r="B350" s="1">
        <f>DATE(2010,8,26) + TIME(20,33,8)</f>
        <v>40416.856342592589</v>
      </c>
      <c r="C350">
        <v>2400</v>
      </c>
      <c r="D350">
        <v>0</v>
      </c>
      <c r="E350">
        <v>0</v>
      </c>
      <c r="F350">
        <v>2400</v>
      </c>
      <c r="G350">
        <v>1384.5810547000001</v>
      </c>
      <c r="H350">
        <v>1371.0708007999999</v>
      </c>
      <c r="I350">
        <v>1252.4743652</v>
      </c>
      <c r="J350">
        <v>1212.9102783000001</v>
      </c>
      <c r="K350">
        <v>80</v>
      </c>
      <c r="L350">
        <v>79.891822814999998</v>
      </c>
      <c r="M350">
        <v>50</v>
      </c>
      <c r="N350">
        <v>15.000110626</v>
      </c>
    </row>
    <row r="351" spans="1:14" x14ac:dyDescent="0.25">
      <c r="A351">
        <v>118.38139099999999</v>
      </c>
      <c r="B351" s="1">
        <f>DATE(2010,8,27) + TIME(9,9,12)</f>
        <v>40417.381388888891</v>
      </c>
      <c r="C351">
        <v>2400</v>
      </c>
      <c r="D351">
        <v>0</v>
      </c>
      <c r="E351">
        <v>0</v>
      </c>
      <c r="F351">
        <v>2400</v>
      </c>
      <c r="G351">
        <v>1384.5493164</v>
      </c>
      <c r="H351">
        <v>1371.0410156</v>
      </c>
      <c r="I351">
        <v>1252.4907227000001</v>
      </c>
      <c r="J351">
        <v>1212.9251709</v>
      </c>
      <c r="K351">
        <v>80</v>
      </c>
      <c r="L351">
        <v>79.891921996999997</v>
      </c>
      <c r="M351">
        <v>50</v>
      </c>
      <c r="N351">
        <v>15.000214576999999</v>
      </c>
    </row>
    <row r="352" spans="1:14" x14ac:dyDescent="0.25">
      <c r="A352">
        <v>118.906429</v>
      </c>
      <c r="B352" s="1">
        <f>DATE(2010,8,27) + TIME(21,45,15)</f>
        <v>40417.906423611108</v>
      </c>
      <c r="C352">
        <v>2400</v>
      </c>
      <c r="D352">
        <v>0</v>
      </c>
      <c r="E352">
        <v>0</v>
      </c>
      <c r="F352">
        <v>2400</v>
      </c>
      <c r="G352">
        <v>1384.5175781</v>
      </c>
      <c r="H352">
        <v>1371.0112305</v>
      </c>
      <c r="I352">
        <v>1252.5072021000001</v>
      </c>
      <c r="J352">
        <v>1212.9401855000001</v>
      </c>
      <c r="K352">
        <v>80</v>
      </c>
      <c r="L352">
        <v>79.892013550000001</v>
      </c>
      <c r="M352">
        <v>50</v>
      </c>
      <c r="N352">
        <v>15.000326157</v>
      </c>
    </row>
    <row r="353" spans="1:14" x14ac:dyDescent="0.25">
      <c r="A353">
        <v>119.431467</v>
      </c>
      <c r="B353" s="1">
        <f>DATE(2010,8,28) + TIME(10,21,18)</f>
        <v>40418.431458333333</v>
      </c>
      <c r="C353">
        <v>2400</v>
      </c>
      <c r="D353">
        <v>0</v>
      </c>
      <c r="E353">
        <v>0</v>
      </c>
      <c r="F353">
        <v>2400</v>
      </c>
      <c r="G353">
        <v>1384.4860839999999</v>
      </c>
      <c r="H353">
        <v>1370.9816894999999</v>
      </c>
      <c r="I353">
        <v>1252.5238036999999</v>
      </c>
      <c r="J353">
        <v>1212.9554443</v>
      </c>
      <c r="K353">
        <v>80</v>
      </c>
      <c r="L353">
        <v>79.892112732000001</v>
      </c>
      <c r="M353">
        <v>50</v>
      </c>
      <c r="N353">
        <v>15.00044632</v>
      </c>
    </row>
    <row r="354" spans="1:14" x14ac:dyDescent="0.25">
      <c r="A354">
        <v>119.95650500000001</v>
      </c>
      <c r="B354" s="1">
        <f>DATE(2010,8,28) + TIME(22,57,22)</f>
        <v>40418.956504629627</v>
      </c>
      <c r="C354">
        <v>2400</v>
      </c>
      <c r="D354">
        <v>0</v>
      </c>
      <c r="E354">
        <v>0</v>
      </c>
      <c r="F354">
        <v>2400</v>
      </c>
      <c r="G354">
        <v>1384.4545897999999</v>
      </c>
      <c r="H354">
        <v>1370.9521483999999</v>
      </c>
      <c r="I354">
        <v>1252.5405272999999</v>
      </c>
      <c r="J354">
        <v>1212.9707031</v>
      </c>
      <c r="K354">
        <v>80</v>
      </c>
      <c r="L354">
        <v>79.892204285000005</v>
      </c>
      <c r="M354">
        <v>50</v>
      </c>
      <c r="N354">
        <v>15.000574112000001</v>
      </c>
    </row>
    <row r="355" spans="1:14" x14ac:dyDescent="0.25">
      <c r="A355">
        <v>120.481543</v>
      </c>
      <c r="B355" s="1">
        <f>DATE(2010,8,29) + TIME(11,33,25)</f>
        <v>40419.481539351851</v>
      </c>
      <c r="C355">
        <v>2400</v>
      </c>
      <c r="D355">
        <v>0</v>
      </c>
      <c r="E355">
        <v>0</v>
      </c>
      <c r="F355">
        <v>2400</v>
      </c>
      <c r="G355">
        <v>1384.4233397999999</v>
      </c>
      <c r="H355">
        <v>1370.9227295000001</v>
      </c>
      <c r="I355">
        <v>1252.5574951000001</v>
      </c>
      <c r="J355">
        <v>1212.9860839999999</v>
      </c>
      <c r="K355">
        <v>80</v>
      </c>
      <c r="L355">
        <v>79.892303467000005</v>
      </c>
      <c r="M355">
        <v>50</v>
      </c>
      <c r="N355">
        <v>15.000712395000001</v>
      </c>
    </row>
    <row r="356" spans="1:14" x14ac:dyDescent="0.25">
      <c r="A356">
        <v>121.006581</v>
      </c>
      <c r="B356" s="1">
        <f>DATE(2010,8,30) + TIME(0,9,28)</f>
        <v>40420.006574074076</v>
      </c>
      <c r="C356">
        <v>2400</v>
      </c>
      <c r="D356">
        <v>0</v>
      </c>
      <c r="E356">
        <v>0</v>
      </c>
      <c r="F356">
        <v>2400</v>
      </c>
      <c r="G356">
        <v>1384.3920897999999</v>
      </c>
      <c r="H356">
        <v>1370.8934326000001</v>
      </c>
      <c r="I356">
        <v>1252.5744629000001</v>
      </c>
      <c r="J356">
        <v>1213.0015868999999</v>
      </c>
      <c r="K356">
        <v>80</v>
      </c>
      <c r="L356">
        <v>79.892395019999995</v>
      </c>
      <c r="M356">
        <v>50</v>
      </c>
      <c r="N356">
        <v>15.000860213999999</v>
      </c>
    </row>
    <row r="357" spans="1:14" x14ac:dyDescent="0.25">
      <c r="A357">
        <v>121.53161900000001</v>
      </c>
      <c r="B357" s="1">
        <f>DATE(2010,8,30) + TIME(12,45,31)</f>
        <v>40420.531608796293</v>
      </c>
      <c r="C357">
        <v>2400</v>
      </c>
      <c r="D357">
        <v>0</v>
      </c>
      <c r="E357">
        <v>0</v>
      </c>
      <c r="F357">
        <v>2400</v>
      </c>
      <c r="G357">
        <v>1384.3609618999999</v>
      </c>
      <c r="H357">
        <v>1370.8642577999999</v>
      </c>
      <c r="I357">
        <v>1252.5916748</v>
      </c>
      <c r="J357">
        <v>1213.0173339999999</v>
      </c>
      <c r="K357">
        <v>80</v>
      </c>
      <c r="L357">
        <v>79.892494201999995</v>
      </c>
      <c r="M357">
        <v>50</v>
      </c>
      <c r="N357">
        <v>15.001019478</v>
      </c>
    </row>
    <row r="358" spans="1:14" x14ac:dyDescent="0.25">
      <c r="A358">
        <v>122.581695</v>
      </c>
      <c r="B358" s="1">
        <f>DATE(2010,8,31) + TIME(13,57,38)</f>
        <v>40421.581689814811</v>
      </c>
      <c r="C358">
        <v>2400</v>
      </c>
      <c r="D358">
        <v>0</v>
      </c>
      <c r="E358">
        <v>0</v>
      </c>
      <c r="F358">
        <v>2400</v>
      </c>
      <c r="G358">
        <v>1384.3303223</v>
      </c>
      <c r="H358">
        <v>1370.8355713000001</v>
      </c>
      <c r="I358">
        <v>1252.6092529</v>
      </c>
      <c r="J358">
        <v>1213.0334473</v>
      </c>
      <c r="K358">
        <v>80</v>
      </c>
      <c r="L358">
        <v>79.892692565999994</v>
      </c>
      <c r="M358">
        <v>50</v>
      </c>
      <c r="N358">
        <v>15.001266479</v>
      </c>
    </row>
    <row r="359" spans="1:14" x14ac:dyDescent="0.25">
      <c r="A359">
        <v>123</v>
      </c>
      <c r="B359" s="1">
        <f>DATE(2010,9,1) + TIME(0,0,0)</f>
        <v>40422</v>
      </c>
      <c r="C359">
        <v>2400</v>
      </c>
      <c r="D359">
        <v>0</v>
      </c>
      <c r="E359">
        <v>0</v>
      </c>
      <c r="F359">
        <v>2400</v>
      </c>
      <c r="G359">
        <v>1384.2691649999999</v>
      </c>
      <c r="H359">
        <v>1370.7780762</v>
      </c>
      <c r="I359">
        <v>1252.6433105000001</v>
      </c>
      <c r="J359">
        <v>1213.0643310999999</v>
      </c>
      <c r="K359">
        <v>80</v>
      </c>
      <c r="L359">
        <v>79.892761230000005</v>
      </c>
      <c r="M359">
        <v>50</v>
      </c>
      <c r="N359">
        <v>15.001465797</v>
      </c>
    </row>
    <row r="360" spans="1:14" x14ac:dyDescent="0.25">
      <c r="A360">
        <v>124.05331099999999</v>
      </c>
      <c r="B360" s="1">
        <f>DATE(2010,9,2) + TIME(1,16,46)</f>
        <v>40423.053310185183</v>
      </c>
      <c r="C360">
        <v>2400</v>
      </c>
      <c r="D360">
        <v>0</v>
      </c>
      <c r="E360">
        <v>0</v>
      </c>
      <c r="F360">
        <v>2400</v>
      </c>
      <c r="G360">
        <v>1384.2442627</v>
      </c>
      <c r="H360">
        <v>1370.7546387</v>
      </c>
      <c r="I360">
        <v>1252.6582031</v>
      </c>
      <c r="J360">
        <v>1213.078125</v>
      </c>
      <c r="K360">
        <v>80</v>
      </c>
      <c r="L360">
        <v>79.892959594999994</v>
      </c>
      <c r="M360">
        <v>50</v>
      </c>
      <c r="N360">
        <v>15.001792908000001</v>
      </c>
    </row>
    <row r="361" spans="1:14" x14ac:dyDescent="0.25">
      <c r="A361">
        <v>125.13128399999999</v>
      </c>
      <c r="B361" s="1">
        <f>DATE(2010,9,3) + TIME(3,9,2)</f>
        <v>40424.131273148145</v>
      </c>
      <c r="C361">
        <v>2400</v>
      </c>
      <c r="D361">
        <v>0</v>
      </c>
      <c r="E361">
        <v>0</v>
      </c>
      <c r="F361">
        <v>2400</v>
      </c>
      <c r="G361">
        <v>1384.1833495999999</v>
      </c>
      <c r="H361">
        <v>1370.6975098</v>
      </c>
      <c r="I361">
        <v>1252.6938477000001</v>
      </c>
      <c r="J361">
        <v>1213.1104736</v>
      </c>
      <c r="K361">
        <v>80</v>
      </c>
      <c r="L361">
        <v>79.893150329999997</v>
      </c>
      <c r="M361">
        <v>50</v>
      </c>
      <c r="N361">
        <v>15.002214432000001</v>
      </c>
    </row>
    <row r="362" spans="1:14" x14ac:dyDescent="0.25">
      <c r="A362">
        <v>125.673604</v>
      </c>
      <c r="B362" s="1">
        <f>DATE(2010,9,3) + TIME(16,9,59)</f>
        <v>40424.67359953704</v>
      </c>
      <c r="C362">
        <v>2400</v>
      </c>
      <c r="D362">
        <v>0</v>
      </c>
      <c r="E362">
        <v>0</v>
      </c>
      <c r="F362">
        <v>2400</v>
      </c>
      <c r="G362">
        <v>1384.1209716999999</v>
      </c>
      <c r="H362">
        <v>1370.6389160000001</v>
      </c>
      <c r="I362">
        <v>1252.7307129000001</v>
      </c>
      <c r="J362">
        <v>1213.1437988</v>
      </c>
      <c r="K362">
        <v>80</v>
      </c>
      <c r="L362">
        <v>79.893241881999998</v>
      </c>
      <c r="M362">
        <v>50</v>
      </c>
      <c r="N362">
        <v>15.002565384</v>
      </c>
    </row>
    <row r="363" spans="1:14" x14ac:dyDescent="0.25">
      <c r="A363">
        <v>126.215923</v>
      </c>
      <c r="B363" s="1">
        <f>DATE(2010,9,4) + TIME(5,10,55)</f>
        <v>40425.215914351851</v>
      </c>
      <c r="C363">
        <v>2400</v>
      </c>
      <c r="D363">
        <v>0</v>
      </c>
      <c r="E363">
        <v>0</v>
      </c>
      <c r="F363">
        <v>2400</v>
      </c>
      <c r="G363">
        <v>1384.0892334</v>
      </c>
      <c r="H363">
        <v>1370.6090088000001</v>
      </c>
      <c r="I363">
        <v>1252.75</v>
      </c>
      <c r="J363">
        <v>1213.161499</v>
      </c>
      <c r="K363">
        <v>80</v>
      </c>
      <c r="L363">
        <v>79.893333435000002</v>
      </c>
      <c r="M363">
        <v>50</v>
      </c>
      <c r="N363">
        <v>15.00290966</v>
      </c>
    </row>
    <row r="364" spans="1:14" x14ac:dyDescent="0.25">
      <c r="A364">
        <v>126.75824299999999</v>
      </c>
      <c r="B364" s="1">
        <f>DATE(2010,9,4) + TIME(18,11,52)</f>
        <v>40425.758240740739</v>
      </c>
      <c r="C364">
        <v>2400</v>
      </c>
      <c r="D364">
        <v>0</v>
      </c>
      <c r="E364">
        <v>0</v>
      </c>
      <c r="F364">
        <v>2400</v>
      </c>
      <c r="G364">
        <v>1384.0581055</v>
      </c>
      <c r="H364">
        <v>1370.5798339999999</v>
      </c>
      <c r="I364">
        <v>1252.7691649999999</v>
      </c>
      <c r="J364">
        <v>1213.1789550999999</v>
      </c>
      <c r="K364">
        <v>80</v>
      </c>
      <c r="L364">
        <v>79.893432617000002</v>
      </c>
      <c r="M364">
        <v>50</v>
      </c>
      <c r="N364">
        <v>15.003256798000001</v>
      </c>
    </row>
    <row r="365" spans="1:14" x14ac:dyDescent="0.25">
      <c r="A365">
        <v>127.300562</v>
      </c>
      <c r="B365" s="1">
        <f>DATE(2010,9,5) + TIME(7,12,48)</f>
        <v>40426.300555555557</v>
      </c>
      <c r="C365">
        <v>2400</v>
      </c>
      <c r="D365">
        <v>0</v>
      </c>
      <c r="E365">
        <v>0</v>
      </c>
      <c r="F365">
        <v>2400</v>
      </c>
      <c r="G365">
        <v>1384.0270995999999</v>
      </c>
      <c r="H365">
        <v>1370.5506591999999</v>
      </c>
      <c r="I365">
        <v>1252.7886963000001</v>
      </c>
      <c r="J365">
        <v>1213.1966553</v>
      </c>
      <c r="K365">
        <v>80</v>
      </c>
      <c r="L365">
        <v>79.893524170000006</v>
      </c>
      <c r="M365">
        <v>50</v>
      </c>
      <c r="N365">
        <v>15.003617287000001</v>
      </c>
    </row>
    <row r="366" spans="1:14" x14ac:dyDescent="0.25">
      <c r="A366">
        <v>127.841964</v>
      </c>
      <c r="B366" s="1">
        <f>DATE(2010,9,5) + TIME(20,12,25)</f>
        <v>40426.841956018521</v>
      </c>
      <c r="C366">
        <v>2400</v>
      </c>
      <c r="D366">
        <v>0</v>
      </c>
      <c r="E366">
        <v>0</v>
      </c>
      <c r="F366">
        <v>2400</v>
      </c>
      <c r="G366">
        <v>1383.9962158000001</v>
      </c>
      <c r="H366">
        <v>1370.5216064000001</v>
      </c>
      <c r="I366">
        <v>1252.8082274999999</v>
      </c>
      <c r="J366">
        <v>1213.2145995999999</v>
      </c>
      <c r="K366">
        <v>80</v>
      </c>
      <c r="L366">
        <v>79.893623352000006</v>
      </c>
      <c r="M366">
        <v>50</v>
      </c>
      <c r="N366">
        <v>15.003995894999999</v>
      </c>
    </row>
    <row r="367" spans="1:14" x14ac:dyDescent="0.25">
      <c r="A367">
        <v>128.38259400000001</v>
      </c>
      <c r="B367" s="1">
        <f>DATE(2010,9,6) + TIME(9,10,56)</f>
        <v>40427.382592592592</v>
      </c>
      <c r="C367">
        <v>2400</v>
      </c>
      <c r="D367">
        <v>0</v>
      </c>
      <c r="E367">
        <v>0</v>
      </c>
      <c r="F367">
        <v>2400</v>
      </c>
      <c r="G367">
        <v>1383.9654541</v>
      </c>
      <c r="H367">
        <v>1370.4926757999999</v>
      </c>
      <c r="I367">
        <v>1252.8280029</v>
      </c>
      <c r="J367">
        <v>1213.2325439000001</v>
      </c>
      <c r="K367">
        <v>80</v>
      </c>
      <c r="L367">
        <v>79.893714904999996</v>
      </c>
      <c r="M367">
        <v>50</v>
      </c>
      <c r="N367">
        <v>15.004395485</v>
      </c>
    </row>
    <row r="368" spans="1:14" x14ac:dyDescent="0.25">
      <c r="A368">
        <v>128.92251899999999</v>
      </c>
      <c r="B368" s="1">
        <f>DATE(2010,9,6) + TIME(22,8,25)</f>
        <v>40427.922511574077</v>
      </c>
      <c r="C368">
        <v>2400</v>
      </c>
      <c r="D368">
        <v>0</v>
      </c>
      <c r="E368">
        <v>0</v>
      </c>
      <c r="F368">
        <v>2400</v>
      </c>
      <c r="G368">
        <v>1383.9348144999999</v>
      </c>
      <c r="H368">
        <v>1370.4639893000001</v>
      </c>
      <c r="I368">
        <v>1252.8479004000001</v>
      </c>
      <c r="J368">
        <v>1213.2507324000001</v>
      </c>
      <c r="K368">
        <v>80</v>
      </c>
      <c r="L368">
        <v>79.893814086999996</v>
      </c>
      <c r="M368">
        <v>50</v>
      </c>
      <c r="N368">
        <v>15.004820823999999</v>
      </c>
    </row>
    <row r="369" spans="1:14" x14ac:dyDescent="0.25">
      <c r="A369">
        <v>129.46138999999999</v>
      </c>
      <c r="B369" s="1">
        <f>DATE(2010,9,7) + TIME(11,4,24)</f>
        <v>40428.461388888885</v>
      </c>
      <c r="C369">
        <v>2400</v>
      </c>
      <c r="D369">
        <v>0</v>
      </c>
      <c r="E369">
        <v>0</v>
      </c>
      <c r="F369">
        <v>2400</v>
      </c>
      <c r="G369">
        <v>1383.9042969</v>
      </c>
      <c r="H369">
        <v>1370.4353027</v>
      </c>
      <c r="I369">
        <v>1252.8680420000001</v>
      </c>
      <c r="J369">
        <v>1213.2689209</v>
      </c>
      <c r="K369">
        <v>80</v>
      </c>
      <c r="L369">
        <v>79.89390564</v>
      </c>
      <c r="M369">
        <v>50</v>
      </c>
      <c r="N369">
        <v>15.005271912</v>
      </c>
    </row>
    <row r="370" spans="1:14" x14ac:dyDescent="0.25">
      <c r="A370">
        <v>129.999314</v>
      </c>
      <c r="B370" s="1">
        <f>DATE(2010,9,7) + TIME(23,59,0)</f>
        <v>40428.999305555553</v>
      </c>
      <c r="C370">
        <v>2400</v>
      </c>
      <c r="D370">
        <v>0</v>
      </c>
      <c r="E370">
        <v>0</v>
      </c>
      <c r="F370">
        <v>2400</v>
      </c>
      <c r="G370">
        <v>1383.8740233999999</v>
      </c>
      <c r="H370">
        <v>1370.4067382999999</v>
      </c>
      <c r="I370">
        <v>1252.8883057</v>
      </c>
      <c r="J370">
        <v>1213.2873535000001</v>
      </c>
      <c r="K370">
        <v>80</v>
      </c>
      <c r="L370">
        <v>79.894004821999999</v>
      </c>
      <c r="M370">
        <v>50</v>
      </c>
      <c r="N370">
        <v>15.005753517</v>
      </c>
    </row>
    <row r="371" spans="1:14" x14ac:dyDescent="0.25">
      <c r="A371">
        <v>130.53638799999999</v>
      </c>
      <c r="B371" s="1">
        <f>DATE(2010,9,8) + TIME(12,52,23)</f>
        <v>40429.536377314813</v>
      </c>
      <c r="C371">
        <v>2400</v>
      </c>
      <c r="D371">
        <v>0</v>
      </c>
      <c r="E371">
        <v>0</v>
      </c>
      <c r="F371">
        <v>2400</v>
      </c>
      <c r="G371">
        <v>1383.8438721</v>
      </c>
      <c r="H371">
        <v>1370.378418</v>
      </c>
      <c r="I371">
        <v>1252.9086914</v>
      </c>
      <c r="J371">
        <v>1213.3060303</v>
      </c>
      <c r="K371">
        <v>80</v>
      </c>
      <c r="L371">
        <v>79.894096375000004</v>
      </c>
      <c r="M371">
        <v>50</v>
      </c>
      <c r="N371">
        <v>15.006266594</v>
      </c>
    </row>
    <row r="372" spans="1:14" x14ac:dyDescent="0.25">
      <c r="A372">
        <v>131.072721</v>
      </c>
      <c r="B372" s="1">
        <f>DATE(2010,9,9) + TIME(1,44,43)</f>
        <v>40430.07271990741</v>
      </c>
      <c r="C372">
        <v>2400</v>
      </c>
      <c r="D372">
        <v>0</v>
      </c>
      <c r="E372">
        <v>0</v>
      </c>
      <c r="F372">
        <v>2400</v>
      </c>
      <c r="G372">
        <v>1383.8138428</v>
      </c>
      <c r="H372">
        <v>1370.3500977000001</v>
      </c>
      <c r="I372">
        <v>1252.9291992000001</v>
      </c>
      <c r="J372">
        <v>1213.324707</v>
      </c>
      <c r="K372">
        <v>80</v>
      </c>
      <c r="L372">
        <v>79.894187927000004</v>
      </c>
      <c r="M372">
        <v>50</v>
      </c>
      <c r="N372">
        <v>15.006814003000001</v>
      </c>
    </row>
    <row r="373" spans="1:14" x14ac:dyDescent="0.25">
      <c r="A373">
        <v>132.14415399999999</v>
      </c>
      <c r="B373" s="1">
        <f>DATE(2010,9,10) + TIME(3,27,34)</f>
        <v>40431.144143518519</v>
      </c>
      <c r="C373">
        <v>2400</v>
      </c>
      <c r="D373">
        <v>0</v>
      </c>
      <c r="E373">
        <v>0</v>
      </c>
      <c r="F373">
        <v>2400</v>
      </c>
      <c r="G373">
        <v>1383.7843018000001</v>
      </c>
      <c r="H373">
        <v>1370.3223877</v>
      </c>
      <c r="I373">
        <v>1252.9501952999999</v>
      </c>
      <c r="J373">
        <v>1213.3441161999999</v>
      </c>
      <c r="K373">
        <v>80</v>
      </c>
      <c r="L373">
        <v>79.894386291999993</v>
      </c>
      <c r="M373">
        <v>50</v>
      </c>
      <c r="N373">
        <v>15.007659911999999</v>
      </c>
    </row>
    <row r="374" spans="1:14" x14ac:dyDescent="0.25">
      <c r="A374">
        <v>133.21795599999999</v>
      </c>
      <c r="B374" s="1">
        <f>DATE(2010,9,11) + TIME(5,13,51)</f>
        <v>40432.217951388891</v>
      </c>
      <c r="C374">
        <v>2400</v>
      </c>
      <c r="D374">
        <v>0</v>
      </c>
      <c r="E374">
        <v>0</v>
      </c>
      <c r="F374">
        <v>2400</v>
      </c>
      <c r="G374">
        <v>1383.7252197</v>
      </c>
      <c r="H374">
        <v>1370.2668457</v>
      </c>
      <c r="I374">
        <v>1252.9919434000001</v>
      </c>
      <c r="J374">
        <v>1213.3820800999999</v>
      </c>
      <c r="K374">
        <v>80</v>
      </c>
      <c r="L374">
        <v>79.894577025999993</v>
      </c>
      <c r="M374">
        <v>50</v>
      </c>
      <c r="N374">
        <v>15.008795738</v>
      </c>
    </row>
    <row r="375" spans="1:14" x14ac:dyDescent="0.25">
      <c r="A375">
        <v>134.306027</v>
      </c>
      <c r="B375" s="1">
        <f>DATE(2010,9,12) + TIME(7,20,40)</f>
        <v>40433.306018518517</v>
      </c>
      <c r="C375">
        <v>2400</v>
      </c>
      <c r="D375">
        <v>0</v>
      </c>
      <c r="E375">
        <v>0</v>
      </c>
      <c r="F375">
        <v>2400</v>
      </c>
      <c r="G375">
        <v>1383.6660156</v>
      </c>
      <c r="H375">
        <v>1370.2111815999999</v>
      </c>
      <c r="I375">
        <v>1253.034668</v>
      </c>
      <c r="J375">
        <v>1213.4210204999999</v>
      </c>
      <c r="K375">
        <v>80</v>
      </c>
      <c r="L375">
        <v>79.894767760999997</v>
      </c>
      <c r="M375">
        <v>50</v>
      </c>
      <c r="N375">
        <v>15.010172844</v>
      </c>
    </row>
    <row r="376" spans="1:14" x14ac:dyDescent="0.25">
      <c r="A376">
        <v>134.855054</v>
      </c>
      <c r="B376" s="1">
        <f>DATE(2010,9,12) + TIME(20,31,16)</f>
        <v>40433.855046296296</v>
      </c>
      <c r="C376">
        <v>2400</v>
      </c>
      <c r="D376">
        <v>0</v>
      </c>
      <c r="E376">
        <v>0</v>
      </c>
      <c r="F376">
        <v>2400</v>
      </c>
      <c r="G376">
        <v>1383.6063231999999</v>
      </c>
      <c r="H376">
        <v>1370.1549072</v>
      </c>
      <c r="I376">
        <v>1253.0787353999999</v>
      </c>
      <c r="J376">
        <v>1213.4608154</v>
      </c>
      <c r="K376">
        <v>80</v>
      </c>
      <c r="L376">
        <v>79.894859314000001</v>
      </c>
      <c r="M376">
        <v>50</v>
      </c>
      <c r="N376">
        <v>15.011288643</v>
      </c>
    </row>
    <row r="377" spans="1:14" x14ac:dyDescent="0.25">
      <c r="A377">
        <v>135.40407999999999</v>
      </c>
      <c r="B377" s="1">
        <f>DATE(2010,9,13) + TIME(9,41,52)</f>
        <v>40434.404074074075</v>
      </c>
      <c r="C377">
        <v>2400</v>
      </c>
      <c r="D377">
        <v>0</v>
      </c>
      <c r="E377">
        <v>0</v>
      </c>
      <c r="F377">
        <v>2400</v>
      </c>
      <c r="G377">
        <v>1383.5756836</v>
      </c>
      <c r="H377">
        <v>1370.1260986</v>
      </c>
      <c r="I377">
        <v>1253.1016846</v>
      </c>
      <c r="J377">
        <v>1213.4819336</v>
      </c>
      <c r="K377">
        <v>80</v>
      </c>
      <c r="L377">
        <v>79.894950867000006</v>
      </c>
      <c r="M377">
        <v>50</v>
      </c>
      <c r="N377">
        <v>15.012368201999999</v>
      </c>
    </row>
    <row r="378" spans="1:14" x14ac:dyDescent="0.25">
      <c r="A378">
        <v>135.95310699999999</v>
      </c>
      <c r="B378" s="1">
        <f>DATE(2010,9,13) + TIME(22,52,28)</f>
        <v>40434.953101851854</v>
      </c>
      <c r="C378">
        <v>2400</v>
      </c>
      <c r="D378">
        <v>0</v>
      </c>
      <c r="E378">
        <v>0</v>
      </c>
      <c r="F378">
        <v>2400</v>
      </c>
      <c r="G378">
        <v>1383.5457764</v>
      </c>
      <c r="H378">
        <v>1370.0979004000001</v>
      </c>
      <c r="I378">
        <v>1253.1247559000001</v>
      </c>
      <c r="J378">
        <v>1213.5031738</v>
      </c>
      <c r="K378">
        <v>80</v>
      </c>
      <c r="L378">
        <v>79.895042419000006</v>
      </c>
      <c r="M378">
        <v>50</v>
      </c>
      <c r="N378">
        <v>15.013451576</v>
      </c>
    </row>
    <row r="379" spans="1:14" x14ac:dyDescent="0.25">
      <c r="A379">
        <v>136.50213400000001</v>
      </c>
      <c r="B379" s="1">
        <f>DATE(2010,9,14) + TIME(12,3,4)</f>
        <v>40435.502129629633</v>
      </c>
      <c r="C379">
        <v>2400</v>
      </c>
      <c r="D379">
        <v>0</v>
      </c>
      <c r="E379">
        <v>0</v>
      </c>
      <c r="F379">
        <v>2400</v>
      </c>
      <c r="G379">
        <v>1383.5159911999999</v>
      </c>
      <c r="H379">
        <v>1370.0698242000001</v>
      </c>
      <c r="I379">
        <v>1253.1480713000001</v>
      </c>
      <c r="J379">
        <v>1213.5245361</v>
      </c>
      <c r="K379">
        <v>80</v>
      </c>
      <c r="L379">
        <v>79.895133971999996</v>
      </c>
      <c r="M379">
        <v>50</v>
      </c>
      <c r="N379">
        <v>15.014564514</v>
      </c>
    </row>
    <row r="380" spans="1:14" x14ac:dyDescent="0.25">
      <c r="A380">
        <v>137.05031399999999</v>
      </c>
      <c r="B380" s="1">
        <f>DATE(2010,9,15) + TIME(1,12,27)</f>
        <v>40436.050312500003</v>
      </c>
      <c r="C380">
        <v>2400</v>
      </c>
      <c r="D380">
        <v>0</v>
      </c>
      <c r="E380">
        <v>0</v>
      </c>
      <c r="F380">
        <v>2400</v>
      </c>
      <c r="G380">
        <v>1383.4862060999999</v>
      </c>
      <c r="H380">
        <v>1370.0418701000001</v>
      </c>
      <c r="I380">
        <v>1253.1716309000001</v>
      </c>
      <c r="J380">
        <v>1213.5461425999999</v>
      </c>
      <c r="K380">
        <v>80</v>
      </c>
      <c r="L380">
        <v>79.895233153999996</v>
      </c>
      <c r="M380">
        <v>50</v>
      </c>
      <c r="N380">
        <v>15.015725136</v>
      </c>
    </row>
    <row r="381" spans="1:14" x14ac:dyDescent="0.25">
      <c r="A381">
        <v>137.59724700000001</v>
      </c>
      <c r="B381" s="1">
        <f>DATE(2010,9,15) + TIME(14,20,2)</f>
        <v>40436.597245370373</v>
      </c>
      <c r="C381">
        <v>2400</v>
      </c>
      <c r="D381">
        <v>0</v>
      </c>
      <c r="E381">
        <v>0</v>
      </c>
      <c r="F381">
        <v>2400</v>
      </c>
      <c r="G381">
        <v>1383.456543</v>
      </c>
      <c r="H381">
        <v>1370.0139160000001</v>
      </c>
      <c r="I381">
        <v>1253.1954346</v>
      </c>
      <c r="J381">
        <v>1213.5681152</v>
      </c>
      <c r="K381">
        <v>80</v>
      </c>
      <c r="L381">
        <v>79.895324707</v>
      </c>
      <c r="M381">
        <v>50</v>
      </c>
      <c r="N381">
        <v>15.016942977999999</v>
      </c>
    </row>
    <row r="382" spans="1:14" x14ac:dyDescent="0.25">
      <c r="A382">
        <v>138.14298400000001</v>
      </c>
      <c r="B382" s="1">
        <f>DATE(2010,9,16) + TIME(3,25,53)</f>
        <v>40437.142974537041</v>
      </c>
      <c r="C382">
        <v>2400</v>
      </c>
      <c r="D382">
        <v>0</v>
      </c>
      <c r="E382">
        <v>0</v>
      </c>
      <c r="F382">
        <v>2400</v>
      </c>
      <c r="G382">
        <v>1383.427124</v>
      </c>
      <c r="H382">
        <v>1369.9860839999999</v>
      </c>
      <c r="I382">
        <v>1253.2194824000001</v>
      </c>
      <c r="J382">
        <v>1213.5902100000001</v>
      </c>
      <c r="K382">
        <v>80</v>
      </c>
      <c r="L382">
        <v>79.895416260000005</v>
      </c>
      <c r="M382">
        <v>50</v>
      </c>
      <c r="N382">
        <v>15.018228531</v>
      </c>
    </row>
    <row r="383" spans="1:14" x14ac:dyDescent="0.25">
      <c r="A383">
        <v>138.687577</v>
      </c>
      <c r="B383" s="1">
        <f>DATE(2010,9,16) + TIME(16,30,6)</f>
        <v>40437.687569444446</v>
      </c>
      <c r="C383">
        <v>2400</v>
      </c>
      <c r="D383">
        <v>0</v>
      </c>
      <c r="E383">
        <v>0</v>
      </c>
      <c r="F383">
        <v>2400</v>
      </c>
      <c r="G383">
        <v>1383.3977050999999</v>
      </c>
      <c r="H383">
        <v>1369.9584961</v>
      </c>
      <c r="I383">
        <v>1253.2437743999999</v>
      </c>
      <c r="J383">
        <v>1213.6125488</v>
      </c>
      <c r="K383">
        <v>80</v>
      </c>
      <c r="L383">
        <v>79.895507812000005</v>
      </c>
      <c r="M383">
        <v>50</v>
      </c>
      <c r="N383">
        <v>15.01958847</v>
      </c>
    </row>
    <row r="384" spans="1:14" x14ac:dyDescent="0.25">
      <c r="A384">
        <v>139.23109600000001</v>
      </c>
      <c r="B384" s="1">
        <f>DATE(2010,9,17) + TIME(5,32,46)</f>
        <v>40438.231087962966</v>
      </c>
      <c r="C384">
        <v>2400</v>
      </c>
      <c r="D384">
        <v>0</v>
      </c>
      <c r="E384">
        <v>0</v>
      </c>
      <c r="F384">
        <v>2400</v>
      </c>
      <c r="G384">
        <v>1383.3685303</v>
      </c>
      <c r="H384">
        <v>1369.9309082</v>
      </c>
      <c r="I384">
        <v>1253.2683105000001</v>
      </c>
      <c r="J384">
        <v>1213.6351318</v>
      </c>
      <c r="K384">
        <v>80</v>
      </c>
      <c r="L384">
        <v>79.895606994999994</v>
      </c>
      <c r="M384">
        <v>50</v>
      </c>
      <c r="N384">
        <v>15.021028519</v>
      </c>
    </row>
    <row r="385" spans="1:14" x14ac:dyDescent="0.25">
      <c r="A385">
        <v>139.77365399999999</v>
      </c>
      <c r="B385" s="1">
        <f>DATE(2010,9,17) + TIME(18,34,3)</f>
        <v>40438.773645833331</v>
      </c>
      <c r="C385">
        <v>2400</v>
      </c>
      <c r="D385">
        <v>0</v>
      </c>
      <c r="E385">
        <v>0</v>
      </c>
      <c r="F385">
        <v>2400</v>
      </c>
      <c r="G385">
        <v>1383.3394774999999</v>
      </c>
      <c r="H385">
        <v>1369.9035644999999</v>
      </c>
      <c r="I385">
        <v>1253.2930908000001</v>
      </c>
      <c r="J385">
        <v>1213.6579589999999</v>
      </c>
      <c r="K385">
        <v>80</v>
      </c>
      <c r="L385">
        <v>79.895698546999995</v>
      </c>
      <c r="M385">
        <v>50</v>
      </c>
      <c r="N385">
        <v>15.022555350999999</v>
      </c>
    </row>
    <row r="386" spans="1:14" x14ac:dyDescent="0.25">
      <c r="A386">
        <v>140.31538399999999</v>
      </c>
      <c r="B386" s="1">
        <f>DATE(2010,9,18) + TIME(7,34,9)</f>
        <v>40439.315381944441</v>
      </c>
      <c r="C386">
        <v>2400</v>
      </c>
      <c r="D386">
        <v>0</v>
      </c>
      <c r="E386">
        <v>0</v>
      </c>
      <c r="F386">
        <v>2400</v>
      </c>
      <c r="G386">
        <v>1383.3105469</v>
      </c>
      <c r="H386">
        <v>1369.8762207</v>
      </c>
      <c r="I386">
        <v>1253.3179932</v>
      </c>
      <c r="J386">
        <v>1213.6810303</v>
      </c>
      <c r="K386">
        <v>80</v>
      </c>
      <c r="L386">
        <v>79.895790099999999</v>
      </c>
      <c r="M386">
        <v>50</v>
      </c>
      <c r="N386">
        <v>15.024172782999999</v>
      </c>
    </row>
    <row r="387" spans="1:14" x14ac:dyDescent="0.25">
      <c r="A387">
        <v>140.856425</v>
      </c>
      <c r="B387" s="1">
        <f>DATE(2010,9,18) + TIME(20,33,15)</f>
        <v>40439.856423611112</v>
      </c>
      <c r="C387">
        <v>2400</v>
      </c>
      <c r="D387">
        <v>0</v>
      </c>
      <c r="E387">
        <v>0</v>
      </c>
      <c r="F387">
        <v>2400</v>
      </c>
      <c r="G387">
        <v>1383.2817382999999</v>
      </c>
      <c r="H387">
        <v>1369.848999</v>
      </c>
      <c r="I387">
        <v>1253.3432617000001</v>
      </c>
      <c r="J387">
        <v>1213.7044678</v>
      </c>
      <c r="K387">
        <v>80</v>
      </c>
      <c r="L387">
        <v>79.895881653000004</v>
      </c>
      <c r="M387">
        <v>50</v>
      </c>
      <c r="N387">
        <v>15.025888442999999</v>
      </c>
    </row>
    <row r="388" spans="1:14" x14ac:dyDescent="0.25">
      <c r="A388">
        <v>141.937422</v>
      </c>
      <c r="B388" s="1">
        <f>DATE(2010,9,19) + TIME(22,29,53)</f>
        <v>40440.937418981484</v>
      </c>
      <c r="C388">
        <v>2400</v>
      </c>
      <c r="D388">
        <v>0</v>
      </c>
      <c r="E388">
        <v>0</v>
      </c>
      <c r="F388">
        <v>2400</v>
      </c>
      <c r="G388">
        <v>1383.2532959</v>
      </c>
      <c r="H388">
        <v>1369.8222656</v>
      </c>
      <c r="I388">
        <v>1253.3688964999999</v>
      </c>
      <c r="J388">
        <v>1213.7288818</v>
      </c>
      <c r="K388">
        <v>80</v>
      </c>
      <c r="L388">
        <v>79.896072387999993</v>
      </c>
      <c r="M388">
        <v>50</v>
      </c>
      <c r="N388">
        <v>15.028523444999999</v>
      </c>
    </row>
    <row r="389" spans="1:14" x14ac:dyDescent="0.25">
      <c r="A389">
        <v>143.02292399999999</v>
      </c>
      <c r="B389" s="1">
        <f>DATE(2010,9,21) + TIME(0,33,0)</f>
        <v>40442.022916666669</v>
      </c>
      <c r="C389">
        <v>2400</v>
      </c>
      <c r="D389">
        <v>0</v>
      </c>
      <c r="E389">
        <v>0</v>
      </c>
      <c r="F389">
        <v>2400</v>
      </c>
      <c r="G389">
        <v>1383.1965332</v>
      </c>
      <c r="H389">
        <v>1369.7687988</v>
      </c>
      <c r="I389">
        <v>1253.4204102000001</v>
      </c>
      <c r="J389">
        <v>1213.7764893000001</v>
      </c>
      <c r="K389">
        <v>80</v>
      </c>
      <c r="L389">
        <v>79.896263122999997</v>
      </c>
      <c r="M389">
        <v>50</v>
      </c>
      <c r="N389">
        <v>15.032036781</v>
      </c>
    </row>
    <row r="390" spans="1:14" x14ac:dyDescent="0.25">
      <c r="A390">
        <v>144.12505300000001</v>
      </c>
      <c r="B390" s="1">
        <f>DATE(2010,9,22) + TIME(3,0,4)</f>
        <v>40443.1250462963</v>
      </c>
      <c r="C390">
        <v>2400</v>
      </c>
      <c r="D390">
        <v>0</v>
      </c>
      <c r="E390">
        <v>0</v>
      </c>
      <c r="F390">
        <v>2400</v>
      </c>
      <c r="G390">
        <v>1383.1394043</v>
      </c>
      <c r="H390">
        <v>1369.7149658000001</v>
      </c>
      <c r="I390">
        <v>1253.4735106999999</v>
      </c>
      <c r="J390">
        <v>1213.8259277</v>
      </c>
      <c r="K390">
        <v>80</v>
      </c>
      <c r="L390">
        <v>79.896446228000002</v>
      </c>
      <c r="M390">
        <v>50</v>
      </c>
      <c r="N390">
        <v>15.036260605000001</v>
      </c>
    </row>
    <row r="391" spans="1:14" x14ac:dyDescent="0.25">
      <c r="A391">
        <v>144.68193600000001</v>
      </c>
      <c r="B391" s="1">
        <f>DATE(2010,9,22) + TIME(16,21,59)</f>
        <v>40443.681932870371</v>
      </c>
      <c r="C391">
        <v>2400</v>
      </c>
      <c r="D391">
        <v>0</v>
      </c>
      <c r="E391">
        <v>0</v>
      </c>
      <c r="F391">
        <v>2400</v>
      </c>
      <c r="G391">
        <v>1383.0817870999999</v>
      </c>
      <c r="H391">
        <v>1369.6605225000001</v>
      </c>
      <c r="I391">
        <v>1253.5290527</v>
      </c>
      <c r="J391">
        <v>1213.8764647999999</v>
      </c>
      <c r="K391">
        <v>80</v>
      </c>
      <c r="L391">
        <v>79.896537781000006</v>
      </c>
      <c r="M391">
        <v>50</v>
      </c>
      <c r="N391">
        <v>15.039662361</v>
      </c>
    </row>
    <row r="392" spans="1:14" x14ac:dyDescent="0.25">
      <c r="A392">
        <v>145.77077199999999</v>
      </c>
      <c r="B392" s="1">
        <f>DATE(2010,9,23) + TIME(18,29,54)</f>
        <v>40444.77076388889</v>
      </c>
      <c r="C392">
        <v>2400</v>
      </c>
      <c r="D392">
        <v>0</v>
      </c>
      <c r="E392">
        <v>0</v>
      </c>
      <c r="F392">
        <v>2400</v>
      </c>
      <c r="G392">
        <v>1383.0523682</v>
      </c>
      <c r="H392">
        <v>1369.6326904</v>
      </c>
      <c r="I392">
        <v>1253.5574951000001</v>
      </c>
      <c r="J392">
        <v>1213.9050293</v>
      </c>
      <c r="K392">
        <v>80</v>
      </c>
      <c r="L392">
        <v>79.896720885999997</v>
      </c>
      <c r="M392">
        <v>50</v>
      </c>
      <c r="N392">
        <v>15.044322967999999</v>
      </c>
    </row>
    <row r="393" spans="1:14" x14ac:dyDescent="0.25">
      <c r="A393">
        <v>146.32284899999999</v>
      </c>
      <c r="B393" s="1">
        <f>DATE(2010,9,24) + TIME(7,44,54)</f>
        <v>40445.322847222225</v>
      </c>
      <c r="C393">
        <v>2400</v>
      </c>
      <c r="D393">
        <v>0</v>
      </c>
      <c r="E393">
        <v>0</v>
      </c>
      <c r="F393">
        <v>2400</v>
      </c>
      <c r="G393">
        <v>1382.9959716999999</v>
      </c>
      <c r="H393">
        <v>1369.5795897999999</v>
      </c>
      <c r="I393">
        <v>1253.6145019999999</v>
      </c>
      <c r="J393">
        <v>1213.9570312000001</v>
      </c>
      <c r="K393">
        <v>80</v>
      </c>
      <c r="L393">
        <v>79.896804810000006</v>
      </c>
      <c r="M393">
        <v>50</v>
      </c>
      <c r="N393">
        <v>15.048222542</v>
      </c>
    </row>
    <row r="394" spans="1:14" x14ac:dyDescent="0.25">
      <c r="A394">
        <v>147.39606900000001</v>
      </c>
      <c r="B394" s="1">
        <f>DATE(2010,9,25) + TIME(9,30,20)</f>
        <v>40446.396064814813</v>
      </c>
      <c r="C394">
        <v>2400</v>
      </c>
      <c r="D394">
        <v>0</v>
      </c>
      <c r="E394">
        <v>0</v>
      </c>
      <c r="F394">
        <v>2400</v>
      </c>
      <c r="G394">
        <v>1382.9670410000001</v>
      </c>
      <c r="H394">
        <v>1369.5522461</v>
      </c>
      <c r="I394">
        <v>1253.6439209</v>
      </c>
      <c r="J394">
        <v>1213.9866943</v>
      </c>
      <c r="K394">
        <v>80</v>
      </c>
      <c r="L394">
        <v>79.896995544000006</v>
      </c>
      <c r="M394">
        <v>50</v>
      </c>
      <c r="N394">
        <v>15.053606987</v>
      </c>
    </row>
    <row r="395" spans="1:14" x14ac:dyDescent="0.25">
      <c r="A395">
        <v>148.49645899999999</v>
      </c>
      <c r="B395" s="1">
        <f>DATE(2010,9,26) + TIME(11,54,54)</f>
        <v>40447.496458333335</v>
      </c>
      <c r="C395">
        <v>2400</v>
      </c>
      <c r="D395">
        <v>0</v>
      </c>
      <c r="E395">
        <v>0</v>
      </c>
      <c r="F395">
        <v>2400</v>
      </c>
      <c r="G395">
        <v>1382.9118652</v>
      </c>
      <c r="H395">
        <v>1369.5001221</v>
      </c>
      <c r="I395">
        <v>1253.7021483999999</v>
      </c>
      <c r="J395">
        <v>1214.0419922000001</v>
      </c>
      <c r="K395">
        <v>80</v>
      </c>
      <c r="L395">
        <v>79.897178650000001</v>
      </c>
      <c r="M395">
        <v>50</v>
      </c>
      <c r="N395">
        <v>15.060168266</v>
      </c>
    </row>
    <row r="396" spans="1:14" x14ac:dyDescent="0.25">
      <c r="A396">
        <v>149.600506</v>
      </c>
      <c r="B396" s="1">
        <f>DATE(2010,9,27) + TIME(14,24,43)</f>
        <v>40448.600497685184</v>
      </c>
      <c r="C396">
        <v>2400</v>
      </c>
      <c r="D396">
        <v>0</v>
      </c>
      <c r="E396">
        <v>0</v>
      </c>
      <c r="F396">
        <v>2400</v>
      </c>
      <c r="G396">
        <v>1382.8552245999999</v>
      </c>
      <c r="H396">
        <v>1369.4466553</v>
      </c>
      <c r="I396">
        <v>1253.7635498</v>
      </c>
      <c r="J396">
        <v>1214.1007079999999</v>
      </c>
      <c r="K396">
        <v>80</v>
      </c>
      <c r="L396">
        <v>79.897361755000006</v>
      </c>
      <c r="M396">
        <v>50</v>
      </c>
      <c r="N396">
        <v>15.067786217</v>
      </c>
    </row>
    <row r="397" spans="1:14" x14ac:dyDescent="0.25">
      <c r="A397">
        <v>150.705411</v>
      </c>
      <c r="B397" s="1">
        <f>DATE(2010,9,28) + TIME(16,55,47)</f>
        <v>40449.705405092594</v>
      </c>
      <c r="C397">
        <v>2400</v>
      </c>
      <c r="D397">
        <v>0</v>
      </c>
      <c r="E397">
        <v>0</v>
      </c>
      <c r="F397">
        <v>2400</v>
      </c>
      <c r="G397">
        <v>1382.7987060999999</v>
      </c>
      <c r="H397">
        <v>1369.3930664</v>
      </c>
      <c r="I397">
        <v>1253.8269043</v>
      </c>
      <c r="J397">
        <v>1214.1616211</v>
      </c>
      <c r="K397">
        <v>80</v>
      </c>
      <c r="L397">
        <v>79.897544861</v>
      </c>
      <c r="M397">
        <v>50</v>
      </c>
      <c r="N397">
        <v>15.076423645</v>
      </c>
    </row>
    <row r="398" spans="1:14" x14ac:dyDescent="0.25">
      <c r="A398">
        <v>151.259322</v>
      </c>
      <c r="B398" s="1">
        <f>DATE(2010,9,29) + TIME(6,13,25)</f>
        <v>40450.259317129632</v>
      </c>
      <c r="C398">
        <v>2400</v>
      </c>
      <c r="D398">
        <v>0</v>
      </c>
      <c r="E398">
        <v>0</v>
      </c>
      <c r="F398">
        <v>2400</v>
      </c>
      <c r="G398">
        <v>1382.7421875</v>
      </c>
      <c r="H398">
        <v>1369.3397216999999</v>
      </c>
      <c r="I398">
        <v>1253.8929443</v>
      </c>
      <c r="J398">
        <v>1214.2231445</v>
      </c>
      <c r="K398">
        <v>80</v>
      </c>
      <c r="L398">
        <v>79.897628784000005</v>
      </c>
      <c r="M398">
        <v>50</v>
      </c>
      <c r="N398">
        <v>15.083156585999999</v>
      </c>
    </row>
    <row r="399" spans="1:14" x14ac:dyDescent="0.25">
      <c r="A399">
        <v>151.813233</v>
      </c>
      <c r="B399" s="1">
        <f>DATE(2010,9,29) + TIME(19,31,3)</f>
        <v>40450.81322916667</v>
      </c>
      <c r="C399">
        <v>2400</v>
      </c>
      <c r="D399">
        <v>0</v>
      </c>
      <c r="E399">
        <v>0</v>
      </c>
      <c r="F399">
        <v>2400</v>
      </c>
      <c r="G399">
        <v>1382.7133789</v>
      </c>
      <c r="H399">
        <v>1369.3123779</v>
      </c>
      <c r="I399">
        <v>1253.9265137</v>
      </c>
      <c r="J399">
        <v>1214.2568358999999</v>
      </c>
      <c r="K399">
        <v>80</v>
      </c>
      <c r="L399">
        <v>79.897720336999996</v>
      </c>
      <c r="M399">
        <v>50</v>
      </c>
      <c r="N399">
        <v>15.089556694000001</v>
      </c>
    </row>
    <row r="400" spans="1:14" x14ac:dyDescent="0.25">
      <c r="A400">
        <v>152.367144</v>
      </c>
      <c r="B400" s="1">
        <f>DATE(2010,9,30) + TIME(8,48,41)</f>
        <v>40451.3671412037</v>
      </c>
      <c r="C400">
        <v>2400</v>
      </c>
      <c r="D400">
        <v>0</v>
      </c>
      <c r="E400">
        <v>0</v>
      </c>
      <c r="F400">
        <v>2400</v>
      </c>
      <c r="G400">
        <v>1382.6850586</v>
      </c>
      <c r="H400">
        <v>1369.2856445</v>
      </c>
      <c r="I400">
        <v>1253.9605713000001</v>
      </c>
      <c r="J400">
        <v>1214.2908935999999</v>
      </c>
      <c r="K400">
        <v>80</v>
      </c>
      <c r="L400">
        <v>79.897804260000001</v>
      </c>
      <c r="M400">
        <v>50</v>
      </c>
      <c r="N400">
        <v>15.095882416</v>
      </c>
    </row>
    <row r="401" spans="1:14" x14ac:dyDescent="0.25">
      <c r="A401">
        <v>153</v>
      </c>
      <c r="B401" s="1">
        <f>DATE(2010,10,1) + TIME(0,0,0)</f>
        <v>40452</v>
      </c>
      <c r="C401">
        <v>2400</v>
      </c>
      <c r="D401">
        <v>0</v>
      </c>
      <c r="E401">
        <v>0</v>
      </c>
      <c r="F401">
        <v>2400</v>
      </c>
      <c r="G401">
        <v>1382.6569824000001</v>
      </c>
      <c r="H401">
        <v>1369.2590332</v>
      </c>
      <c r="I401">
        <v>1253.994751</v>
      </c>
      <c r="J401">
        <v>1214.3255615</v>
      </c>
      <c r="K401">
        <v>80</v>
      </c>
      <c r="L401">
        <v>79.897911071999999</v>
      </c>
      <c r="M401">
        <v>50</v>
      </c>
      <c r="N401">
        <v>15.102827072</v>
      </c>
    </row>
    <row r="402" spans="1:14" x14ac:dyDescent="0.25">
      <c r="A402">
        <v>153.553911</v>
      </c>
      <c r="B402" s="1">
        <f>DATE(2010,10,1) + TIME(13,17,37)</f>
        <v>40452.553900462961</v>
      </c>
      <c r="C402">
        <v>2400</v>
      </c>
      <c r="D402">
        <v>0</v>
      </c>
      <c r="E402">
        <v>0</v>
      </c>
      <c r="F402">
        <v>2400</v>
      </c>
      <c r="G402">
        <v>1382.6248779</v>
      </c>
      <c r="H402">
        <v>1369.2286377</v>
      </c>
      <c r="I402">
        <v>1254.0355225000001</v>
      </c>
      <c r="J402">
        <v>1214.3653564000001</v>
      </c>
      <c r="K402">
        <v>80</v>
      </c>
      <c r="L402">
        <v>79.898002625000004</v>
      </c>
      <c r="M402">
        <v>50</v>
      </c>
      <c r="N402">
        <v>15.109611511000001</v>
      </c>
    </row>
    <row r="403" spans="1:14" x14ac:dyDescent="0.25">
      <c r="A403">
        <v>154.10427300000001</v>
      </c>
      <c r="B403" s="1">
        <f>DATE(2010,10,2) + TIME(2,30,9)</f>
        <v>40453.104270833333</v>
      </c>
      <c r="C403">
        <v>2400</v>
      </c>
      <c r="D403">
        <v>0</v>
      </c>
      <c r="E403">
        <v>0</v>
      </c>
      <c r="F403">
        <v>2400</v>
      </c>
      <c r="G403">
        <v>1382.5966797000001</v>
      </c>
      <c r="H403">
        <v>1369.2020264</v>
      </c>
      <c r="I403">
        <v>1254.0712891000001</v>
      </c>
      <c r="J403">
        <v>1214.4013672000001</v>
      </c>
      <c r="K403">
        <v>80</v>
      </c>
      <c r="L403">
        <v>79.898086547999995</v>
      </c>
      <c r="M403">
        <v>50</v>
      </c>
      <c r="N403">
        <v>15.116587639</v>
      </c>
    </row>
    <row r="404" spans="1:14" x14ac:dyDescent="0.25">
      <c r="A404">
        <v>154.654268</v>
      </c>
      <c r="B404" s="1">
        <f>DATE(2010,10,2) + TIME(15,42,8)</f>
        <v>40453.65425925926</v>
      </c>
      <c r="C404">
        <v>2400</v>
      </c>
      <c r="D404">
        <v>0</v>
      </c>
      <c r="E404">
        <v>0</v>
      </c>
      <c r="F404">
        <v>2400</v>
      </c>
      <c r="G404">
        <v>1382.5688477000001</v>
      </c>
      <c r="H404">
        <v>1369.1755370999999</v>
      </c>
      <c r="I404">
        <v>1254.1075439000001</v>
      </c>
      <c r="J404">
        <v>1214.4377440999999</v>
      </c>
      <c r="K404">
        <v>80</v>
      </c>
      <c r="L404">
        <v>79.898178100999999</v>
      </c>
      <c r="M404">
        <v>50</v>
      </c>
      <c r="N404">
        <v>15.123839378</v>
      </c>
    </row>
    <row r="405" spans="1:14" x14ac:dyDescent="0.25">
      <c r="A405">
        <v>155.203699</v>
      </c>
      <c r="B405" s="1">
        <f>DATE(2010,10,3) + TIME(4,53,19)</f>
        <v>40454.203692129631</v>
      </c>
      <c r="C405">
        <v>2400</v>
      </c>
      <c r="D405">
        <v>0</v>
      </c>
      <c r="E405">
        <v>0</v>
      </c>
      <c r="F405">
        <v>2400</v>
      </c>
      <c r="G405">
        <v>1382.5410156</v>
      </c>
      <c r="H405">
        <v>1369.1492920000001</v>
      </c>
      <c r="I405">
        <v>1254.1441649999999</v>
      </c>
      <c r="J405">
        <v>1214.4748535000001</v>
      </c>
      <c r="K405">
        <v>80</v>
      </c>
      <c r="L405">
        <v>79.898269653</v>
      </c>
      <c r="M405">
        <v>50</v>
      </c>
      <c r="N405">
        <v>15.131417274</v>
      </c>
    </row>
    <row r="406" spans="1:14" x14ac:dyDescent="0.25">
      <c r="A406">
        <v>155.752621</v>
      </c>
      <c r="B406" s="1">
        <f>DATE(2010,10,3) + TIME(18,3,46)</f>
        <v>40454.752615740741</v>
      </c>
      <c r="C406">
        <v>2400</v>
      </c>
      <c r="D406">
        <v>0</v>
      </c>
      <c r="E406">
        <v>0</v>
      </c>
      <c r="F406">
        <v>2400</v>
      </c>
      <c r="G406">
        <v>1382.5133057</v>
      </c>
      <c r="H406">
        <v>1369.1229248</v>
      </c>
      <c r="I406">
        <v>1254.1815185999999</v>
      </c>
      <c r="J406">
        <v>1214.5126952999999</v>
      </c>
      <c r="K406">
        <v>80</v>
      </c>
      <c r="L406">
        <v>79.898361206000004</v>
      </c>
      <c r="M406">
        <v>50</v>
      </c>
      <c r="N406">
        <v>15.139358521</v>
      </c>
    </row>
    <row r="407" spans="1:14" x14ac:dyDescent="0.25">
      <c r="A407">
        <v>156.30108999999999</v>
      </c>
      <c r="B407" s="1">
        <f>DATE(2010,10,4) + TIME(7,13,34)</f>
        <v>40455.301087962966</v>
      </c>
      <c r="C407">
        <v>2400</v>
      </c>
      <c r="D407">
        <v>0</v>
      </c>
      <c r="E407">
        <v>0</v>
      </c>
      <c r="F407">
        <v>2400</v>
      </c>
      <c r="G407">
        <v>1382.4855957</v>
      </c>
      <c r="H407">
        <v>1369.0966797000001</v>
      </c>
      <c r="I407">
        <v>1254.2192382999999</v>
      </c>
      <c r="J407">
        <v>1214.5512695</v>
      </c>
      <c r="K407">
        <v>80</v>
      </c>
      <c r="L407">
        <v>79.898445128999995</v>
      </c>
      <c r="M407">
        <v>50</v>
      </c>
      <c r="N407">
        <v>15.147693633999999</v>
      </c>
    </row>
    <row r="408" spans="1:14" x14ac:dyDescent="0.25">
      <c r="A408">
        <v>156.84918099999999</v>
      </c>
      <c r="B408" s="1">
        <f>DATE(2010,10,4) + TIME(20,22,49)</f>
        <v>40455.849178240744</v>
      </c>
      <c r="C408">
        <v>2400</v>
      </c>
      <c r="D408">
        <v>0</v>
      </c>
      <c r="E408">
        <v>0</v>
      </c>
      <c r="F408">
        <v>2400</v>
      </c>
      <c r="G408">
        <v>1382.4580077999999</v>
      </c>
      <c r="H408">
        <v>1369.0705565999999</v>
      </c>
      <c r="I408">
        <v>1254.2576904</v>
      </c>
      <c r="J408">
        <v>1214.5906981999999</v>
      </c>
      <c r="K408">
        <v>80</v>
      </c>
      <c r="L408">
        <v>79.898536682</v>
      </c>
      <c r="M408">
        <v>50</v>
      </c>
      <c r="N408">
        <v>15.156450272000001</v>
      </c>
    </row>
    <row r="409" spans="1:14" x14ac:dyDescent="0.25">
      <c r="A409">
        <v>157.396987</v>
      </c>
      <c r="B409" s="1">
        <f>DATE(2010,10,5) + TIME(9,31,39)</f>
        <v>40456.396979166668</v>
      </c>
      <c r="C409">
        <v>2400</v>
      </c>
      <c r="D409">
        <v>0</v>
      </c>
      <c r="E409">
        <v>0</v>
      </c>
      <c r="F409">
        <v>2400</v>
      </c>
      <c r="G409">
        <v>1382.4305420000001</v>
      </c>
      <c r="H409">
        <v>1369.0444336</v>
      </c>
      <c r="I409">
        <v>1254.2966309000001</v>
      </c>
      <c r="J409">
        <v>1214.6308594</v>
      </c>
      <c r="K409">
        <v>80</v>
      </c>
      <c r="L409">
        <v>79.898628235000004</v>
      </c>
      <c r="M409">
        <v>50</v>
      </c>
      <c r="N409">
        <v>15.165653229</v>
      </c>
    </row>
    <row r="410" spans="1:14" x14ac:dyDescent="0.25">
      <c r="A410">
        <v>157.944615</v>
      </c>
      <c r="B410" s="1">
        <f>DATE(2010,10,5) + TIME(22,40,14)</f>
        <v>40456.944606481484</v>
      </c>
      <c r="C410">
        <v>2400</v>
      </c>
      <c r="D410">
        <v>0</v>
      </c>
      <c r="E410">
        <v>0</v>
      </c>
      <c r="F410">
        <v>2400</v>
      </c>
      <c r="G410">
        <v>1382.4029541</v>
      </c>
      <c r="H410">
        <v>1369.0183105000001</v>
      </c>
      <c r="I410">
        <v>1254.3361815999999</v>
      </c>
      <c r="J410">
        <v>1214.6719971</v>
      </c>
      <c r="K410">
        <v>80</v>
      </c>
      <c r="L410">
        <v>79.898712157999995</v>
      </c>
      <c r="M410">
        <v>50</v>
      </c>
      <c r="N410">
        <v>15.175326347</v>
      </c>
    </row>
    <row r="411" spans="1:14" x14ac:dyDescent="0.25">
      <c r="A411">
        <v>158.492188</v>
      </c>
      <c r="B411" s="1">
        <f>DATE(2010,10,6) + TIME(11,48,45)</f>
        <v>40457.4921875</v>
      </c>
      <c r="C411">
        <v>2400</v>
      </c>
      <c r="D411">
        <v>0</v>
      </c>
      <c r="E411">
        <v>0</v>
      </c>
      <c r="F411">
        <v>2400</v>
      </c>
      <c r="G411">
        <v>1382.3754882999999</v>
      </c>
      <c r="H411">
        <v>1368.9923096</v>
      </c>
      <c r="I411">
        <v>1254.3763428</v>
      </c>
      <c r="J411">
        <v>1214.7139893000001</v>
      </c>
      <c r="K411">
        <v>80</v>
      </c>
      <c r="L411">
        <v>79.898803710999999</v>
      </c>
      <c r="M411">
        <v>50</v>
      </c>
      <c r="N411">
        <v>15.185495377000001</v>
      </c>
    </row>
    <row r="412" spans="1:14" x14ac:dyDescent="0.25">
      <c r="A412">
        <v>159.03976</v>
      </c>
      <c r="B412" s="1">
        <f>DATE(2010,10,7) + TIME(0,57,15)</f>
        <v>40458.039756944447</v>
      </c>
      <c r="C412">
        <v>2400</v>
      </c>
      <c r="D412">
        <v>0</v>
      </c>
      <c r="E412">
        <v>0</v>
      </c>
      <c r="F412">
        <v>2400</v>
      </c>
      <c r="G412">
        <v>1382.3481445</v>
      </c>
      <c r="H412">
        <v>1368.9663086</v>
      </c>
      <c r="I412">
        <v>1254.4172363</v>
      </c>
      <c r="J412">
        <v>1214.7569579999999</v>
      </c>
      <c r="K412">
        <v>80</v>
      </c>
      <c r="L412">
        <v>79.898887634000005</v>
      </c>
      <c r="M412">
        <v>50</v>
      </c>
      <c r="N412">
        <v>15.196183205000001</v>
      </c>
    </row>
    <row r="413" spans="1:14" x14ac:dyDescent="0.25">
      <c r="A413">
        <v>159.587333</v>
      </c>
      <c r="B413" s="1">
        <f>DATE(2010,10,7) + TIME(14,5,45)</f>
        <v>40458.587326388886</v>
      </c>
      <c r="C413">
        <v>2400</v>
      </c>
      <c r="D413">
        <v>0</v>
      </c>
      <c r="E413">
        <v>0</v>
      </c>
      <c r="F413">
        <v>2400</v>
      </c>
      <c r="G413">
        <v>1382.3206786999999</v>
      </c>
      <c r="H413">
        <v>1368.9403076000001</v>
      </c>
      <c r="I413">
        <v>1254.4587402</v>
      </c>
      <c r="J413">
        <v>1214.8007812000001</v>
      </c>
      <c r="K413">
        <v>80</v>
      </c>
      <c r="L413">
        <v>79.898979186999995</v>
      </c>
      <c r="M413">
        <v>50</v>
      </c>
      <c r="N413">
        <v>15.207415580999999</v>
      </c>
    </row>
    <row r="414" spans="1:14" x14ac:dyDescent="0.25">
      <c r="A414">
        <v>160.682478</v>
      </c>
      <c r="B414" s="1">
        <f>DATE(2010,10,8) + TIME(16,22,46)</f>
        <v>40459.682476851849</v>
      </c>
      <c r="C414">
        <v>2400</v>
      </c>
      <c r="D414">
        <v>0</v>
      </c>
      <c r="E414">
        <v>0</v>
      </c>
      <c r="F414">
        <v>2400</v>
      </c>
      <c r="G414">
        <v>1382.2935791</v>
      </c>
      <c r="H414">
        <v>1368.9145507999999</v>
      </c>
      <c r="I414">
        <v>1254.4992675999999</v>
      </c>
      <c r="J414">
        <v>1214.8488769999999</v>
      </c>
      <c r="K414">
        <v>80</v>
      </c>
      <c r="L414">
        <v>79.899162292</v>
      </c>
      <c r="M414">
        <v>50</v>
      </c>
      <c r="N414">
        <v>15.224456786999999</v>
      </c>
    </row>
    <row r="415" spans="1:14" x14ac:dyDescent="0.25">
      <c r="A415">
        <v>161.778986</v>
      </c>
      <c r="B415" s="1">
        <f>DATE(2010,10,9) + TIME(18,41,44)</f>
        <v>40460.778981481482</v>
      </c>
      <c r="C415">
        <v>2400</v>
      </c>
      <c r="D415">
        <v>0</v>
      </c>
      <c r="E415">
        <v>0</v>
      </c>
      <c r="F415">
        <v>2400</v>
      </c>
      <c r="G415">
        <v>1382.2393798999999</v>
      </c>
      <c r="H415">
        <v>1368.8631591999999</v>
      </c>
      <c r="I415">
        <v>1254.5854492000001</v>
      </c>
      <c r="J415">
        <v>1214.9393310999999</v>
      </c>
      <c r="K415">
        <v>80</v>
      </c>
      <c r="L415">
        <v>79.899337768999999</v>
      </c>
      <c r="M415">
        <v>50</v>
      </c>
      <c r="N415">
        <v>15.246873856000001</v>
      </c>
    </row>
    <row r="416" spans="1:14" x14ac:dyDescent="0.25">
      <c r="A416">
        <v>162.89602600000001</v>
      </c>
      <c r="B416" s="1">
        <f>DATE(2010,10,10) + TIME(21,30,16)</f>
        <v>40461.896018518521</v>
      </c>
      <c r="C416">
        <v>2400</v>
      </c>
      <c r="D416">
        <v>0</v>
      </c>
      <c r="E416">
        <v>0</v>
      </c>
      <c r="F416">
        <v>2400</v>
      </c>
      <c r="G416">
        <v>1382.1848144999999</v>
      </c>
      <c r="H416">
        <v>1368.8114014</v>
      </c>
      <c r="I416">
        <v>1254.6741943</v>
      </c>
      <c r="J416">
        <v>1215.0351562000001</v>
      </c>
      <c r="K416">
        <v>80</v>
      </c>
      <c r="L416">
        <v>79.899513244999994</v>
      </c>
      <c r="M416">
        <v>50</v>
      </c>
      <c r="N416">
        <v>15.273377418999999</v>
      </c>
    </row>
    <row r="417" spans="1:14" x14ac:dyDescent="0.25">
      <c r="A417">
        <v>163.46117000000001</v>
      </c>
      <c r="B417" s="1">
        <f>DATE(2010,10,11) + TIME(11,4,5)</f>
        <v>40462.461168981485</v>
      </c>
      <c r="C417">
        <v>2400</v>
      </c>
      <c r="D417">
        <v>0</v>
      </c>
      <c r="E417">
        <v>0</v>
      </c>
      <c r="F417">
        <v>2400</v>
      </c>
      <c r="G417">
        <v>1382.1295166</v>
      </c>
      <c r="H417">
        <v>1368.7587891000001</v>
      </c>
      <c r="I417">
        <v>1254.7700195</v>
      </c>
      <c r="J417">
        <v>1215.1324463000001</v>
      </c>
      <c r="K417">
        <v>80</v>
      </c>
      <c r="L417">
        <v>79.899597168</v>
      </c>
      <c r="M417">
        <v>50</v>
      </c>
      <c r="N417">
        <v>15.29443264</v>
      </c>
    </row>
    <row r="418" spans="1:14" x14ac:dyDescent="0.25">
      <c r="A418">
        <v>164.02631400000001</v>
      </c>
      <c r="B418" s="1">
        <f>DATE(2010,10,12) + TIME(0,37,53)</f>
        <v>40463.026307870372</v>
      </c>
      <c r="C418">
        <v>2400</v>
      </c>
      <c r="D418">
        <v>0</v>
      </c>
      <c r="E418">
        <v>0</v>
      </c>
      <c r="F418">
        <v>2400</v>
      </c>
      <c r="G418">
        <v>1382.1008300999999</v>
      </c>
      <c r="H418">
        <v>1368.7314452999999</v>
      </c>
      <c r="I418">
        <v>1254.8181152</v>
      </c>
      <c r="J418">
        <v>1215.1892089999999</v>
      </c>
      <c r="K418">
        <v>80</v>
      </c>
      <c r="L418">
        <v>79.899688721000004</v>
      </c>
      <c r="M418">
        <v>50</v>
      </c>
      <c r="N418">
        <v>15.314381599000001</v>
      </c>
    </row>
    <row r="419" spans="1:14" x14ac:dyDescent="0.25">
      <c r="A419">
        <v>164.59145699999999</v>
      </c>
      <c r="B419" s="1">
        <f>DATE(2010,10,12) + TIME(14,11,41)</f>
        <v>40463.591446759259</v>
      </c>
      <c r="C419">
        <v>2400</v>
      </c>
      <c r="D419">
        <v>0</v>
      </c>
      <c r="E419">
        <v>0</v>
      </c>
      <c r="F419">
        <v>2400</v>
      </c>
      <c r="G419">
        <v>1382.0727539</v>
      </c>
      <c r="H419">
        <v>1368.7048339999999</v>
      </c>
      <c r="I419">
        <v>1254.8670654</v>
      </c>
      <c r="J419">
        <v>1215.2463379000001</v>
      </c>
      <c r="K419">
        <v>80</v>
      </c>
      <c r="L419">
        <v>79.899772643999995</v>
      </c>
      <c r="M419">
        <v>50</v>
      </c>
      <c r="N419">
        <v>15.334013939</v>
      </c>
    </row>
    <row r="420" spans="1:14" x14ac:dyDescent="0.25">
      <c r="A420">
        <v>165.15582499999999</v>
      </c>
      <c r="B420" s="1">
        <f>DATE(2010,10,13) + TIME(3,44,23)</f>
        <v>40464.155821759261</v>
      </c>
      <c r="C420">
        <v>2400</v>
      </c>
      <c r="D420">
        <v>0</v>
      </c>
      <c r="E420">
        <v>0</v>
      </c>
      <c r="F420">
        <v>2400</v>
      </c>
      <c r="G420">
        <v>1382.0447998</v>
      </c>
      <c r="H420">
        <v>1368.6781006000001</v>
      </c>
      <c r="I420">
        <v>1254.9171143000001</v>
      </c>
      <c r="J420">
        <v>1215.3045654</v>
      </c>
      <c r="K420">
        <v>80</v>
      </c>
      <c r="L420">
        <v>79.899864196999999</v>
      </c>
      <c r="M420">
        <v>50</v>
      </c>
      <c r="N420">
        <v>15.353801727</v>
      </c>
    </row>
    <row r="421" spans="1:14" x14ac:dyDescent="0.25">
      <c r="A421">
        <v>165.71812199999999</v>
      </c>
      <c r="B421" s="1">
        <f>DATE(2010,10,13) + TIME(17,14,5)</f>
        <v>40464.718113425923</v>
      </c>
      <c r="C421">
        <v>2400</v>
      </c>
      <c r="D421">
        <v>0</v>
      </c>
      <c r="E421">
        <v>0</v>
      </c>
      <c r="F421">
        <v>2400</v>
      </c>
      <c r="G421">
        <v>1382.0168457</v>
      </c>
      <c r="H421">
        <v>1368.6516113</v>
      </c>
      <c r="I421">
        <v>1254.9681396000001</v>
      </c>
      <c r="J421">
        <v>1215.3638916</v>
      </c>
      <c r="K421">
        <v>80</v>
      </c>
      <c r="L421">
        <v>79.899955750000004</v>
      </c>
      <c r="M421">
        <v>50</v>
      </c>
      <c r="N421">
        <v>15.374020575999999</v>
      </c>
    </row>
    <row r="422" spans="1:14" x14ac:dyDescent="0.25">
      <c r="A422">
        <v>166.27857499999999</v>
      </c>
      <c r="B422" s="1">
        <f>DATE(2010,10,14) + TIME(6,41,8)</f>
        <v>40465.278564814813</v>
      </c>
      <c r="C422">
        <v>2400</v>
      </c>
      <c r="D422">
        <v>0</v>
      </c>
      <c r="E422">
        <v>0</v>
      </c>
      <c r="F422">
        <v>2400</v>
      </c>
      <c r="G422">
        <v>1381.9890137</v>
      </c>
      <c r="H422">
        <v>1368.6251221</v>
      </c>
      <c r="I422">
        <v>1255.0197754000001</v>
      </c>
      <c r="J422">
        <v>1215.4244385</v>
      </c>
      <c r="K422">
        <v>80</v>
      </c>
      <c r="L422">
        <v>79.900039672999995</v>
      </c>
      <c r="M422">
        <v>50</v>
      </c>
      <c r="N422">
        <v>15.394864082</v>
      </c>
    </row>
    <row r="423" spans="1:14" x14ac:dyDescent="0.25">
      <c r="A423">
        <v>166.837436</v>
      </c>
      <c r="B423" s="1">
        <f>DATE(2010,10,14) + TIME(20,5,54)</f>
        <v>40465.837430555555</v>
      </c>
      <c r="C423">
        <v>2400</v>
      </c>
      <c r="D423">
        <v>0</v>
      </c>
      <c r="E423">
        <v>0</v>
      </c>
      <c r="F423">
        <v>2400</v>
      </c>
      <c r="G423">
        <v>1381.9611815999999</v>
      </c>
      <c r="H423">
        <v>1368.5986327999999</v>
      </c>
      <c r="I423">
        <v>1255.0722656</v>
      </c>
      <c r="J423">
        <v>1215.4863281</v>
      </c>
      <c r="K423">
        <v>80</v>
      </c>
      <c r="L423">
        <v>79.900131225999999</v>
      </c>
      <c r="M423">
        <v>50</v>
      </c>
      <c r="N423">
        <v>15.416461945</v>
      </c>
    </row>
    <row r="424" spans="1:14" x14ac:dyDescent="0.25">
      <c r="A424">
        <v>167.394969</v>
      </c>
      <c r="B424" s="1">
        <f>DATE(2010,10,15) + TIME(9,28,45)</f>
        <v>40466.394965277781</v>
      </c>
      <c r="C424">
        <v>2400</v>
      </c>
      <c r="D424">
        <v>0</v>
      </c>
      <c r="E424">
        <v>0</v>
      </c>
      <c r="F424">
        <v>2400</v>
      </c>
      <c r="G424">
        <v>1381.9335937999999</v>
      </c>
      <c r="H424">
        <v>1368.5723877</v>
      </c>
      <c r="I424">
        <v>1255.1254882999999</v>
      </c>
      <c r="J424">
        <v>1215.5495605000001</v>
      </c>
      <c r="K424">
        <v>80</v>
      </c>
      <c r="L424">
        <v>79.900215149000005</v>
      </c>
      <c r="M424">
        <v>50</v>
      </c>
      <c r="N424">
        <v>15.43890667</v>
      </c>
    </row>
    <row r="425" spans="1:14" x14ac:dyDescent="0.25">
      <c r="A425">
        <v>167.95145099999999</v>
      </c>
      <c r="B425" s="1">
        <f>DATE(2010,10,15) + TIME(22,50,5)</f>
        <v>40466.95144675926</v>
      </c>
      <c r="C425">
        <v>2400</v>
      </c>
      <c r="D425">
        <v>0</v>
      </c>
      <c r="E425">
        <v>0</v>
      </c>
      <c r="F425">
        <v>2400</v>
      </c>
      <c r="G425">
        <v>1381.9060059000001</v>
      </c>
      <c r="H425">
        <v>1368.5461425999999</v>
      </c>
      <c r="I425">
        <v>1255.1794434000001</v>
      </c>
      <c r="J425">
        <v>1215.6142577999999</v>
      </c>
      <c r="K425">
        <v>80</v>
      </c>
      <c r="L425">
        <v>79.900299071999996</v>
      </c>
      <c r="M425">
        <v>50</v>
      </c>
      <c r="N425">
        <v>15.462274551</v>
      </c>
    </row>
    <row r="426" spans="1:14" x14ac:dyDescent="0.25">
      <c r="A426">
        <v>168.50716399999999</v>
      </c>
      <c r="B426" s="1">
        <f>DATE(2010,10,16) + TIME(12,10,18)</f>
        <v>40467.507152777776</v>
      </c>
      <c r="C426">
        <v>2400</v>
      </c>
      <c r="D426">
        <v>0</v>
      </c>
      <c r="E426">
        <v>0</v>
      </c>
      <c r="F426">
        <v>2400</v>
      </c>
      <c r="G426">
        <v>1381.8785399999999</v>
      </c>
      <c r="H426">
        <v>1368.5198975000001</v>
      </c>
      <c r="I426">
        <v>1255.2342529</v>
      </c>
      <c r="J426">
        <v>1215.6804199000001</v>
      </c>
      <c r="K426">
        <v>80</v>
      </c>
      <c r="L426">
        <v>79.900390625</v>
      </c>
      <c r="M426">
        <v>50</v>
      </c>
      <c r="N426">
        <v>15.486626625</v>
      </c>
    </row>
    <row r="427" spans="1:14" x14ac:dyDescent="0.25">
      <c r="A427">
        <v>169.06239600000001</v>
      </c>
      <c r="B427" s="1">
        <f>DATE(2010,10,17) + TIME(1,29,51)</f>
        <v>40468.062395833331</v>
      </c>
      <c r="C427">
        <v>2400</v>
      </c>
      <c r="D427">
        <v>0</v>
      </c>
      <c r="E427">
        <v>0</v>
      </c>
      <c r="F427">
        <v>2400</v>
      </c>
      <c r="G427">
        <v>1381.8511963000001</v>
      </c>
      <c r="H427">
        <v>1368.4937743999999</v>
      </c>
      <c r="I427">
        <v>1255.2897949000001</v>
      </c>
      <c r="J427">
        <v>1215.7482910000001</v>
      </c>
      <c r="K427">
        <v>80</v>
      </c>
      <c r="L427">
        <v>79.900474548000005</v>
      </c>
      <c r="M427">
        <v>50</v>
      </c>
      <c r="N427">
        <v>15.512020111</v>
      </c>
    </row>
    <row r="428" spans="1:14" x14ac:dyDescent="0.25">
      <c r="A428">
        <v>169.61744200000001</v>
      </c>
      <c r="B428" s="1">
        <f>DATE(2010,10,17) + TIME(14,49,7)</f>
        <v>40468.617442129631</v>
      </c>
      <c r="C428">
        <v>2400</v>
      </c>
      <c r="D428">
        <v>0</v>
      </c>
      <c r="E428">
        <v>0</v>
      </c>
      <c r="F428">
        <v>2400</v>
      </c>
      <c r="G428">
        <v>1381.8237305</v>
      </c>
      <c r="H428">
        <v>1368.4676514</v>
      </c>
      <c r="I428">
        <v>1255.3463135</v>
      </c>
      <c r="J428">
        <v>1215.8178711</v>
      </c>
      <c r="K428">
        <v>80</v>
      </c>
      <c r="L428">
        <v>79.900566100999995</v>
      </c>
      <c r="M428">
        <v>50</v>
      </c>
      <c r="N428">
        <v>15.538509369</v>
      </c>
    </row>
    <row r="429" spans="1:14" x14ac:dyDescent="0.25">
      <c r="A429">
        <v>170.17248900000001</v>
      </c>
      <c r="B429" s="1">
        <f>DATE(2010,10,18) + TIME(4,8,23)</f>
        <v>40469.172488425924</v>
      </c>
      <c r="C429">
        <v>2400</v>
      </c>
      <c r="D429">
        <v>0</v>
      </c>
      <c r="E429">
        <v>0</v>
      </c>
      <c r="F429">
        <v>2400</v>
      </c>
      <c r="G429">
        <v>1381.7963867000001</v>
      </c>
      <c r="H429">
        <v>1368.4416504000001</v>
      </c>
      <c r="I429">
        <v>1255.4036865</v>
      </c>
      <c r="J429">
        <v>1215.8892822</v>
      </c>
      <c r="K429">
        <v>80</v>
      </c>
      <c r="L429">
        <v>79.900650024000001</v>
      </c>
      <c r="M429">
        <v>50</v>
      </c>
      <c r="N429">
        <v>15.566145897</v>
      </c>
    </row>
    <row r="430" spans="1:14" x14ac:dyDescent="0.25">
      <c r="A430">
        <v>170.72753499999999</v>
      </c>
      <c r="B430" s="1">
        <f>DATE(2010,10,18) + TIME(17,27,39)</f>
        <v>40469.727534722224</v>
      </c>
      <c r="C430">
        <v>2400</v>
      </c>
      <c r="D430">
        <v>0</v>
      </c>
      <c r="E430">
        <v>0</v>
      </c>
      <c r="F430">
        <v>2400</v>
      </c>
      <c r="G430">
        <v>1381.769043</v>
      </c>
      <c r="H430">
        <v>1368.4155272999999</v>
      </c>
      <c r="I430">
        <v>1255.4620361</v>
      </c>
      <c r="J430">
        <v>1215.9624022999999</v>
      </c>
      <c r="K430">
        <v>80</v>
      </c>
      <c r="L430">
        <v>79.900733947999996</v>
      </c>
      <c r="M430">
        <v>50</v>
      </c>
      <c r="N430">
        <v>15.594974518000001</v>
      </c>
    </row>
    <row r="431" spans="1:14" x14ac:dyDescent="0.25">
      <c r="A431">
        <v>171.28258099999999</v>
      </c>
      <c r="B431" s="1">
        <f>DATE(2010,10,19) + TIME(6,46,55)</f>
        <v>40470.282581018517</v>
      </c>
      <c r="C431">
        <v>2400</v>
      </c>
      <c r="D431">
        <v>0</v>
      </c>
      <c r="E431">
        <v>0</v>
      </c>
      <c r="F431">
        <v>2400</v>
      </c>
      <c r="G431">
        <v>1381.7416992000001</v>
      </c>
      <c r="H431">
        <v>1368.3894043</v>
      </c>
      <c r="I431">
        <v>1255.5212402</v>
      </c>
      <c r="J431">
        <v>1216.0375977000001</v>
      </c>
      <c r="K431">
        <v>80</v>
      </c>
      <c r="L431">
        <v>79.900817871000001</v>
      </c>
      <c r="M431">
        <v>50</v>
      </c>
      <c r="N431">
        <v>15.62503624</v>
      </c>
    </row>
    <row r="432" spans="1:14" x14ac:dyDescent="0.25">
      <c r="A432">
        <v>171.837628</v>
      </c>
      <c r="B432" s="1">
        <f>DATE(2010,10,19) + TIME(20,6,11)</f>
        <v>40470.837627314817</v>
      </c>
      <c r="C432">
        <v>2400</v>
      </c>
      <c r="D432">
        <v>0</v>
      </c>
      <c r="E432">
        <v>0</v>
      </c>
      <c r="F432">
        <v>2400</v>
      </c>
      <c r="G432">
        <v>1381.7143555</v>
      </c>
      <c r="H432">
        <v>1368.3634033000001</v>
      </c>
      <c r="I432">
        <v>1255.5814209</v>
      </c>
      <c r="J432">
        <v>1216.1147461</v>
      </c>
      <c r="K432">
        <v>80</v>
      </c>
      <c r="L432">
        <v>79.900909424000005</v>
      </c>
      <c r="M432">
        <v>50</v>
      </c>
      <c r="N432">
        <v>15.656371117000001</v>
      </c>
    </row>
    <row r="433" spans="1:14" x14ac:dyDescent="0.25">
      <c r="A433">
        <v>172.392674</v>
      </c>
      <c r="B433" s="1">
        <f>DATE(2010,10,20) + TIME(9,25,27)</f>
        <v>40471.39267361111</v>
      </c>
      <c r="C433">
        <v>2400</v>
      </c>
      <c r="D433">
        <v>0</v>
      </c>
      <c r="E433">
        <v>0</v>
      </c>
      <c r="F433">
        <v>2400</v>
      </c>
      <c r="G433">
        <v>1381.6870117000001</v>
      </c>
      <c r="H433">
        <v>1368.3372803</v>
      </c>
      <c r="I433">
        <v>1255.6424560999999</v>
      </c>
      <c r="J433">
        <v>1216.1938477000001</v>
      </c>
      <c r="K433">
        <v>80</v>
      </c>
      <c r="L433">
        <v>79.900993346999996</v>
      </c>
      <c r="M433">
        <v>50</v>
      </c>
      <c r="N433">
        <v>15.689019203000001</v>
      </c>
    </row>
    <row r="434" spans="1:14" x14ac:dyDescent="0.25">
      <c r="A434">
        <v>172.94772</v>
      </c>
      <c r="B434" s="1">
        <f>DATE(2010,10,20) + TIME(22,44,43)</f>
        <v>40471.94771990741</v>
      </c>
      <c r="C434">
        <v>2400</v>
      </c>
      <c r="D434">
        <v>0</v>
      </c>
      <c r="E434">
        <v>0</v>
      </c>
      <c r="F434">
        <v>2400</v>
      </c>
      <c r="G434">
        <v>1381.659668</v>
      </c>
      <c r="H434">
        <v>1368.3111572</v>
      </c>
      <c r="I434">
        <v>1255.7045897999999</v>
      </c>
      <c r="J434">
        <v>1216.2750243999999</v>
      </c>
      <c r="K434">
        <v>80</v>
      </c>
      <c r="L434">
        <v>79.901077271000005</v>
      </c>
      <c r="M434">
        <v>50</v>
      </c>
      <c r="N434">
        <v>15.723019600000001</v>
      </c>
    </row>
    <row r="435" spans="1:14" x14ac:dyDescent="0.25">
      <c r="A435">
        <v>173.50276600000001</v>
      </c>
      <c r="B435" s="1">
        <f>DATE(2010,10,21) + TIME(12,3,59)</f>
        <v>40472.502766203703</v>
      </c>
      <c r="C435">
        <v>2400</v>
      </c>
      <c r="D435">
        <v>0</v>
      </c>
      <c r="E435">
        <v>0</v>
      </c>
      <c r="F435">
        <v>2400</v>
      </c>
      <c r="G435">
        <v>1381.6324463000001</v>
      </c>
      <c r="H435">
        <v>1368.2851562000001</v>
      </c>
      <c r="I435">
        <v>1255.7677002</v>
      </c>
      <c r="J435">
        <v>1216.3582764</v>
      </c>
      <c r="K435">
        <v>80</v>
      </c>
      <c r="L435">
        <v>79.901161193999997</v>
      </c>
      <c r="M435">
        <v>50</v>
      </c>
      <c r="N435">
        <v>15.758409500000001</v>
      </c>
    </row>
    <row r="436" spans="1:14" x14ac:dyDescent="0.25">
      <c r="A436">
        <v>174.61285899999999</v>
      </c>
      <c r="B436" s="1">
        <f>DATE(2010,10,22) + TIME(14,42,31)</f>
        <v>40473.612858796296</v>
      </c>
      <c r="C436">
        <v>2400</v>
      </c>
      <c r="D436">
        <v>0</v>
      </c>
      <c r="E436">
        <v>0</v>
      </c>
      <c r="F436">
        <v>2400</v>
      </c>
      <c r="G436">
        <v>1381.6052245999999</v>
      </c>
      <c r="H436">
        <v>1368.2591553</v>
      </c>
      <c r="I436">
        <v>1255.8269043</v>
      </c>
      <c r="J436">
        <v>1216.4537353999999</v>
      </c>
      <c r="K436">
        <v>80</v>
      </c>
      <c r="L436">
        <v>79.901344299000002</v>
      </c>
      <c r="M436">
        <v>50</v>
      </c>
      <c r="N436">
        <v>15.811372757000001</v>
      </c>
    </row>
    <row r="437" spans="1:14" x14ac:dyDescent="0.25">
      <c r="A437">
        <v>175.16948199999999</v>
      </c>
      <c r="B437" s="1">
        <f>DATE(2010,10,23) + TIME(4,4,3)</f>
        <v>40474.169479166667</v>
      </c>
      <c r="C437">
        <v>2400</v>
      </c>
      <c r="D437">
        <v>0</v>
      </c>
      <c r="E437">
        <v>0</v>
      </c>
      <c r="F437">
        <v>2400</v>
      </c>
      <c r="G437">
        <v>1381.5512695</v>
      </c>
      <c r="H437">
        <v>1368.2077637</v>
      </c>
      <c r="I437">
        <v>1255.965332</v>
      </c>
      <c r="J437">
        <v>1216.6108397999999</v>
      </c>
      <c r="K437">
        <v>80</v>
      </c>
      <c r="L437">
        <v>79.901420592999997</v>
      </c>
      <c r="M437">
        <v>50</v>
      </c>
      <c r="N437">
        <v>15.859340668</v>
      </c>
    </row>
    <row r="438" spans="1:14" x14ac:dyDescent="0.25">
      <c r="A438">
        <v>176.250237</v>
      </c>
      <c r="B438" s="1">
        <f>DATE(2010,10,24) + TIME(6,0,20)</f>
        <v>40475.250231481485</v>
      </c>
      <c r="C438">
        <v>2400</v>
      </c>
      <c r="D438">
        <v>0</v>
      </c>
      <c r="E438">
        <v>0</v>
      </c>
      <c r="F438">
        <v>2400</v>
      </c>
      <c r="G438">
        <v>1381.5234375</v>
      </c>
      <c r="H438">
        <v>1368.1810303</v>
      </c>
      <c r="I438">
        <v>1256.0251464999999</v>
      </c>
      <c r="J438">
        <v>1216.7185059000001</v>
      </c>
      <c r="K438">
        <v>80</v>
      </c>
      <c r="L438">
        <v>79.901588439999998</v>
      </c>
      <c r="M438">
        <v>50</v>
      </c>
      <c r="N438">
        <v>15.92508316</v>
      </c>
    </row>
    <row r="439" spans="1:14" x14ac:dyDescent="0.25">
      <c r="A439">
        <v>177.35172800000001</v>
      </c>
      <c r="B439" s="1">
        <f>DATE(2010,10,25) + TIME(8,26,29)</f>
        <v>40476.351724537039</v>
      </c>
      <c r="C439">
        <v>2400</v>
      </c>
      <c r="D439">
        <v>0</v>
      </c>
      <c r="E439">
        <v>0</v>
      </c>
      <c r="F439">
        <v>2400</v>
      </c>
      <c r="G439">
        <v>1381.4708252</v>
      </c>
      <c r="H439">
        <v>1368.1307373</v>
      </c>
      <c r="I439">
        <v>1256.1584473</v>
      </c>
      <c r="J439">
        <v>1216.8991699000001</v>
      </c>
      <c r="K439">
        <v>80</v>
      </c>
      <c r="L439">
        <v>79.901756286999998</v>
      </c>
      <c r="M439">
        <v>50</v>
      </c>
      <c r="N439">
        <v>16.004087448</v>
      </c>
    </row>
    <row r="440" spans="1:14" x14ac:dyDescent="0.25">
      <c r="A440">
        <v>178.45629099999999</v>
      </c>
      <c r="B440" s="1">
        <f>DATE(2010,10,26) + TIME(10,57,3)</f>
        <v>40477.456284722219</v>
      </c>
      <c r="C440">
        <v>2400</v>
      </c>
      <c r="D440">
        <v>0</v>
      </c>
      <c r="E440">
        <v>0</v>
      </c>
      <c r="F440">
        <v>2400</v>
      </c>
      <c r="G440">
        <v>1381.4168701000001</v>
      </c>
      <c r="H440">
        <v>1368.0792236</v>
      </c>
      <c r="I440">
        <v>1256.2976074000001</v>
      </c>
      <c r="J440">
        <v>1217.0939940999999</v>
      </c>
      <c r="K440">
        <v>80</v>
      </c>
      <c r="L440">
        <v>79.901924132999994</v>
      </c>
      <c r="M440">
        <v>50</v>
      </c>
      <c r="N440">
        <v>16.093076706000002</v>
      </c>
    </row>
    <row r="441" spans="1:14" x14ac:dyDescent="0.25">
      <c r="A441">
        <v>179.56624500000001</v>
      </c>
      <c r="B441" s="1">
        <f>DATE(2010,10,27) + TIME(13,35,23)</f>
        <v>40478.566238425927</v>
      </c>
      <c r="C441">
        <v>2400</v>
      </c>
      <c r="D441">
        <v>0</v>
      </c>
      <c r="E441">
        <v>0</v>
      </c>
      <c r="F441">
        <v>2400</v>
      </c>
      <c r="G441">
        <v>1381.362793</v>
      </c>
      <c r="H441">
        <v>1368.0274658000001</v>
      </c>
      <c r="I441">
        <v>1256.4406738</v>
      </c>
      <c r="J441">
        <v>1217.300293</v>
      </c>
      <c r="K441">
        <v>80</v>
      </c>
      <c r="L441">
        <v>79.902091979999994</v>
      </c>
      <c r="M441">
        <v>50</v>
      </c>
      <c r="N441">
        <v>16.190563202</v>
      </c>
    </row>
    <row r="442" spans="1:14" x14ac:dyDescent="0.25">
      <c r="A442">
        <v>180.684157</v>
      </c>
      <c r="B442" s="1">
        <f>DATE(2010,10,28) + TIME(16,25,11)</f>
        <v>40479.684155092589</v>
      </c>
      <c r="C442">
        <v>2400</v>
      </c>
      <c r="D442">
        <v>0</v>
      </c>
      <c r="E442">
        <v>0</v>
      </c>
      <c r="F442">
        <v>2400</v>
      </c>
      <c r="G442">
        <v>1381.3085937999999</v>
      </c>
      <c r="H442">
        <v>1367.9755858999999</v>
      </c>
      <c r="I442">
        <v>1256.5881348</v>
      </c>
      <c r="J442">
        <v>1217.5180664</v>
      </c>
      <c r="K442">
        <v>80</v>
      </c>
      <c r="L442">
        <v>79.902259826999995</v>
      </c>
      <c r="M442">
        <v>50</v>
      </c>
      <c r="N442">
        <v>16.296224594000002</v>
      </c>
    </row>
    <row r="443" spans="1:14" x14ac:dyDescent="0.25">
      <c r="A443">
        <v>181.812524</v>
      </c>
      <c r="B443" s="1">
        <f>DATE(2010,10,29) + TIME(19,30,2)</f>
        <v>40480.812523148146</v>
      </c>
      <c r="C443">
        <v>2400</v>
      </c>
      <c r="D443">
        <v>0</v>
      </c>
      <c r="E443">
        <v>0</v>
      </c>
      <c r="F443">
        <v>2400</v>
      </c>
      <c r="G443">
        <v>1381.2539062000001</v>
      </c>
      <c r="H443">
        <v>1367.9232178</v>
      </c>
      <c r="I443">
        <v>1256.7404785000001</v>
      </c>
      <c r="J443">
        <v>1217.7479248</v>
      </c>
      <c r="K443">
        <v>80</v>
      </c>
      <c r="L443">
        <v>79.902435303000004</v>
      </c>
      <c r="M443">
        <v>50</v>
      </c>
      <c r="N443">
        <v>16.410270691000001</v>
      </c>
    </row>
    <row r="444" spans="1:14" x14ac:dyDescent="0.25">
      <c r="A444">
        <v>182.94460599999999</v>
      </c>
      <c r="B444" s="1">
        <f>DATE(2010,10,30) + TIME(22,40,13)</f>
        <v>40481.944594907407</v>
      </c>
      <c r="C444">
        <v>2400</v>
      </c>
      <c r="D444">
        <v>0</v>
      </c>
      <c r="E444">
        <v>0</v>
      </c>
      <c r="F444">
        <v>2400</v>
      </c>
      <c r="G444">
        <v>1381.1988524999999</v>
      </c>
      <c r="H444">
        <v>1367.8706055</v>
      </c>
      <c r="I444">
        <v>1256.8983154</v>
      </c>
      <c r="J444">
        <v>1217.9904785000001</v>
      </c>
      <c r="K444">
        <v>80</v>
      </c>
      <c r="L444">
        <v>79.902603149000001</v>
      </c>
      <c r="M444">
        <v>50</v>
      </c>
      <c r="N444">
        <v>16.532733917000002</v>
      </c>
    </row>
    <row r="445" spans="1:14" x14ac:dyDescent="0.25">
      <c r="A445">
        <v>184</v>
      </c>
      <c r="B445" s="1">
        <f>DATE(2010,11,1) + TIME(0,0,0)</f>
        <v>40483</v>
      </c>
      <c r="C445">
        <v>2400</v>
      </c>
      <c r="D445">
        <v>0</v>
      </c>
      <c r="E445">
        <v>0</v>
      </c>
      <c r="F445">
        <v>2400</v>
      </c>
      <c r="G445">
        <v>1381.1437988</v>
      </c>
      <c r="H445">
        <v>1367.817749</v>
      </c>
      <c r="I445">
        <v>1257.0615233999999</v>
      </c>
      <c r="J445">
        <v>1218.2419434000001</v>
      </c>
      <c r="K445">
        <v>80</v>
      </c>
      <c r="L445">
        <v>79.902755737000007</v>
      </c>
      <c r="M445">
        <v>50</v>
      </c>
      <c r="N445">
        <v>16.659479140999998</v>
      </c>
    </row>
    <row r="446" spans="1:14" x14ac:dyDescent="0.25">
      <c r="A446">
        <v>184.000001</v>
      </c>
      <c r="B446" s="1">
        <f>DATE(2010,11,1) + TIME(0,0,0)</f>
        <v>40483</v>
      </c>
      <c r="C446">
        <v>0</v>
      </c>
      <c r="D446">
        <v>2400</v>
      </c>
      <c r="E446">
        <v>2400</v>
      </c>
      <c r="F446">
        <v>0</v>
      </c>
      <c r="G446">
        <v>1366.9462891000001</v>
      </c>
      <c r="H446">
        <v>1354.9547118999999</v>
      </c>
      <c r="I446">
        <v>1296.0057373</v>
      </c>
      <c r="J446">
        <v>1257.9544678</v>
      </c>
      <c r="K446">
        <v>80</v>
      </c>
      <c r="L446">
        <v>79.902633667000003</v>
      </c>
      <c r="M446">
        <v>50</v>
      </c>
      <c r="N446">
        <v>16.659610747999999</v>
      </c>
    </row>
    <row r="447" spans="1:14" x14ac:dyDescent="0.25">
      <c r="A447">
        <v>184.00000399999999</v>
      </c>
      <c r="B447" s="1">
        <f>DATE(2010,11,1) + TIME(0,0,0)</f>
        <v>40483</v>
      </c>
      <c r="C447">
        <v>0</v>
      </c>
      <c r="D447">
        <v>2400</v>
      </c>
      <c r="E447">
        <v>2400</v>
      </c>
      <c r="F447">
        <v>0</v>
      </c>
      <c r="G447">
        <v>1364.7445068</v>
      </c>
      <c r="H447">
        <v>1352.7515868999999</v>
      </c>
      <c r="I447">
        <v>1298.4813231999999</v>
      </c>
      <c r="J447">
        <v>1260.4716797000001</v>
      </c>
      <c r="K447">
        <v>80</v>
      </c>
      <c r="L447">
        <v>79.902320861999996</v>
      </c>
      <c r="M447">
        <v>50</v>
      </c>
      <c r="N447">
        <v>16.659986495999998</v>
      </c>
    </row>
    <row r="448" spans="1:14" x14ac:dyDescent="0.25">
      <c r="A448">
        <v>184.000013</v>
      </c>
      <c r="B448" s="1">
        <f>DATE(2010,11,1) + TIME(0,0,1)</f>
        <v>40483.000011574077</v>
      </c>
      <c r="C448">
        <v>0</v>
      </c>
      <c r="D448">
        <v>2400</v>
      </c>
      <c r="E448">
        <v>2400</v>
      </c>
      <c r="F448">
        <v>0</v>
      </c>
      <c r="G448">
        <v>1360.2985839999999</v>
      </c>
      <c r="H448">
        <v>1348.3045654</v>
      </c>
      <c r="I448">
        <v>1304.7868652</v>
      </c>
      <c r="J448">
        <v>1266.8612060999999</v>
      </c>
      <c r="K448">
        <v>80</v>
      </c>
      <c r="L448">
        <v>79.901687621999997</v>
      </c>
      <c r="M448">
        <v>50</v>
      </c>
      <c r="N448">
        <v>16.660995483000001</v>
      </c>
    </row>
    <row r="449" spans="1:14" x14ac:dyDescent="0.25">
      <c r="A449">
        <v>184.00004000000001</v>
      </c>
      <c r="B449" s="1">
        <f>DATE(2010,11,1) + TIME(0,0,3)</f>
        <v>40483.000034722223</v>
      </c>
      <c r="C449">
        <v>0</v>
      </c>
      <c r="D449">
        <v>2400</v>
      </c>
      <c r="E449">
        <v>2400</v>
      </c>
      <c r="F449">
        <v>0</v>
      </c>
      <c r="G449">
        <v>1353.8028564000001</v>
      </c>
      <c r="H449">
        <v>1341.8101807</v>
      </c>
      <c r="I449">
        <v>1317.7170410000001</v>
      </c>
      <c r="J449">
        <v>1279.8884277</v>
      </c>
      <c r="K449">
        <v>80</v>
      </c>
      <c r="L449">
        <v>79.900764464999995</v>
      </c>
      <c r="M449">
        <v>50</v>
      </c>
      <c r="N449">
        <v>16.663373947</v>
      </c>
    </row>
    <row r="450" spans="1:14" x14ac:dyDescent="0.25">
      <c r="A450">
        <v>184.00012100000001</v>
      </c>
      <c r="B450" s="1">
        <f>DATE(2010,11,1) + TIME(0,0,10)</f>
        <v>40483.000115740739</v>
      </c>
      <c r="C450">
        <v>0</v>
      </c>
      <c r="D450">
        <v>2400</v>
      </c>
      <c r="E450">
        <v>2400</v>
      </c>
      <c r="F450">
        <v>0</v>
      </c>
      <c r="G450">
        <v>1346.5583495999999</v>
      </c>
      <c r="H450">
        <v>1334.5808105000001</v>
      </c>
      <c r="I450">
        <v>1336.9758300999999</v>
      </c>
      <c r="J450">
        <v>1299.1782227000001</v>
      </c>
      <c r="K450">
        <v>80</v>
      </c>
      <c r="L450">
        <v>79.899696349999999</v>
      </c>
      <c r="M450">
        <v>50</v>
      </c>
      <c r="N450">
        <v>16.668439865</v>
      </c>
    </row>
    <row r="451" spans="1:14" x14ac:dyDescent="0.25">
      <c r="A451">
        <v>184.00036399999999</v>
      </c>
      <c r="B451" s="1">
        <f>DATE(2010,11,1) + TIME(0,0,31)</f>
        <v>40483.000358796293</v>
      </c>
      <c r="C451">
        <v>0</v>
      </c>
      <c r="D451">
        <v>2400</v>
      </c>
      <c r="E451">
        <v>2400</v>
      </c>
      <c r="F451">
        <v>0</v>
      </c>
      <c r="G451">
        <v>1339.2662353999999</v>
      </c>
      <c r="H451">
        <v>1327.3070068</v>
      </c>
      <c r="I451">
        <v>1358.6831055</v>
      </c>
      <c r="J451">
        <v>1320.8737793</v>
      </c>
      <c r="K451">
        <v>80</v>
      </c>
      <c r="L451">
        <v>79.898559570000003</v>
      </c>
      <c r="M451">
        <v>50</v>
      </c>
      <c r="N451">
        <v>16.679880141999998</v>
      </c>
    </row>
    <row r="452" spans="1:14" x14ac:dyDescent="0.25">
      <c r="A452">
        <v>184.001093</v>
      </c>
      <c r="B452" s="1">
        <f>DATE(2010,11,1) + TIME(0,1,34)</f>
        <v>40483.001087962963</v>
      </c>
      <c r="C452">
        <v>0</v>
      </c>
      <c r="D452">
        <v>2400</v>
      </c>
      <c r="E452">
        <v>2400</v>
      </c>
      <c r="F452">
        <v>0</v>
      </c>
      <c r="G452">
        <v>1331.8751221</v>
      </c>
      <c r="H452">
        <v>1319.9149170000001</v>
      </c>
      <c r="I452">
        <v>1380.4775391000001</v>
      </c>
      <c r="J452">
        <v>1342.6575928</v>
      </c>
      <c r="K452">
        <v>80</v>
      </c>
      <c r="L452">
        <v>79.897178650000001</v>
      </c>
      <c r="M452">
        <v>50</v>
      </c>
      <c r="N452">
        <v>16.709697723000001</v>
      </c>
    </row>
    <row r="453" spans="1:14" x14ac:dyDescent="0.25">
      <c r="A453">
        <v>184.00327999999999</v>
      </c>
      <c r="B453" s="1">
        <f>DATE(2010,11,1) + TIME(0,4,43)</f>
        <v>40483.003275462965</v>
      </c>
      <c r="C453">
        <v>0</v>
      </c>
      <c r="D453">
        <v>2400</v>
      </c>
      <c r="E453">
        <v>2400</v>
      </c>
      <c r="F453">
        <v>0</v>
      </c>
      <c r="G453">
        <v>1323.8448486</v>
      </c>
      <c r="H453">
        <v>1311.8129882999999</v>
      </c>
      <c r="I453">
        <v>1401.6815185999999</v>
      </c>
      <c r="J453">
        <v>1363.8505858999999</v>
      </c>
      <c r="K453">
        <v>80</v>
      </c>
      <c r="L453">
        <v>79.895042419000006</v>
      </c>
      <c r="M453">
        <v>50</v>
      </c>
      <c r="N453">
        <v>16.794553756999999</v>
      </c>
    </row>
    <row r="454" spans="1:14" x14ac:dyDescent="0.25">
      <c r="A454">
        <v>184.00984099999999</v>
      </c>
      <c r="B454" s="1">
        <f>DATE(2010,11,1) + TIME(0,14,10)</f>
        <v>40483.009837962964</v>
      </c>
      <c r="C454">
        <v>0</v>
      </c>
      <c r="D454">
        <v>2400</v>
      </c>
      <c r="E454">
        <v>2400</v>
      </c>
      <c r="F454">
        <v>0</v>
      </c>
      <c r="G454">
        <v>1314.815918</v>
      </c>
      <c r="H454">
        <v>1302.6877440999999</v>
      </c>
      <c r="I454">
        <v>1420.479126</v>
      </c>
      <c r="J454">
        <v>1382.7237548999999</v>
      </c>
      <c r="K454">
        <v>80</v>
      </c>
      <c r="L454">
        <v>79.890762328999998</v>
      </c>
      <c r="M454">
        <v>50</v>
      </c>
      <c r="N454">
        <v>17.04375267</v>
      </c>
    </row>
    <row r="455" spans="1:14" x14ac:dyDescent="0.25">
      <c r="A455">
        <v>184.02952400000001</v>
      </c>
      <c r="B455" s="1">
        <f>DATE(2010,11,1) + TIME(0,42,30)</f>
        <v>40483.029513888891</v>
      </c>
      <c r="C455">
        <v>0</v>
      </c>
      <c r="D455">
        <v>2400</v>
      </c>
      <c r="E455">
        <v>2400</v>
      </c>
      <c r="F455">
        <v>0</v>
      </c>
      <c r="G455">
        <v>1306.550293</v>
      </c>
      <c r="H455">
        <v>1294.3712158000001</v>
      </c>
      <c r="I455">
        <v>1432.9608154</v>
      </c>
      <c r="J455">
        <v>1395.7473144999999</v>
      </c>
      <c r="K455">
        <v>80</v>
      </c>
      <c r="L455">
        <v>79.880722046000002</v>
      </c>
      <c r="M455">
        <v>50</v>
      </c>
      <c r="N455">
        <v>17.773967743</v>
      </c>
    </row>
    <row r="456" spans="1:14" x14ac:dyDescent="0.25">
      <c r="A456">
        <v>184.056241</v>
      </c>
      <c r="B456" s="1">
        <f>DATE(2010,11,1) + TIME(1,20,59)</f>
        <v>40483.056238425925</v>
      </c>
      <c r="C456">
        <v>0</v>
      </c>
      <c r="D456">
        <v>2400</v>
      </c>
      <c r="E456">
        <v>2400</v>
      </c>
      <c r="F456">
        <v>0</v>
      </c>
      <c r="G456">
        <v>1302.862793</v>
      </c>
      <c r="H456">
        <v>1290.6694336</v>
      </c>
      <c r="I456">
        <v>1436.4508057</v>
      </c>
      <c r="J456">
        <v>1400.0603027</v>
      </c>
      <c r="K456">
        <v>80</v>
      </c>
      <c r="L456">
        <v>79.868324279999996</v>
      </c>
      <c r="M456">
        <v>50</v>
      </c>
      <c r="N456">
        <v>18.737369536999999</v>
      </c>
    </row>
    <row r="457" spans="1:14" x14ac:dyDescent="0.25">
      <c r="A457">
        <v>184.08377300000001</v>
      </c>
      <c r="B457" s="1">
        <f>DATE(2010,11,1) + TIME(2,0,38)</f>
        <v>40483.083773148152</v>
      </c>
      <c r="C457">
        <v>0</v>
      </c>
      <c r="D457">
        <v>2400</v>
      </c>
      <c r="E457">
        <v>2400</v>
      </c>
      <c r="F457">
        <v>0</v>
      </c>
      <c r="G457">
        <v>1301.4423827999999</v>
      </c>
      <c r="H457">
        <v>1289.2443848</v>
      </c>
      <c r="I457">
        <v>1436.6392822</v>
      </c>
      <c r="J457">
        <v>1401.0750731999999</v>
      </c>
      <c r="K457">
        <v>80</v>
      </c>
      <c r="L457">
        <v>79.856002808</v>
      </c>
      <c r="M457">
        <v>50</v>
      </c>
      <c r="N457">
        <v>19.701721191000001</v>
      </c>
    </row>
    <row r="458" spans="1:14" x14ac:dyDescent="0.25">
      <c r="A458">
        <v>184.11211399999999</v>
      </c>
      <c r="B458" s="1">
        <f>DATE(2010,11,1) + TIME(2,41,26)</f>
        <v>40483.11210648148</v>
      </c>
      <c r="C458">
        <v>0</v>
      </c>
      <c r="D458">
        <v>2400</v>
      </c>
      <c r="E458">
        <v>2400</v>
      </c>
      <c r="F458">
        <v>0</v>
      </c>
      <c r="G458">
        <v>1300.855957</v>
      </c>
      <c r="H458">
        <v>1288.6558838000001</v>
      </c>
      <c r="I458">
        <v>1435.8465576000001</v>
      </c>
      <c r="J458">
        <v>1401.0872803</v>
      </c>
      <c r="K458">
        <v>80</v>
      </c>
      <c r="L458">
        <v>79.843566894999995</v>
      </c>
      <c r="M458">
        <v>50</v>
      </c>
      <c r="N458">
        <v>20.665525435999999</v>
      </c>
    </row>
    <row r="459" spans="1:14" x14ac:dyDescent="0.25">
      <c r="A459">
        <v>184.14130499999999</v>
      </c>
      <c r="B459" s="1">
        <f>DATE(2010,11,1) + TIME(3,23,28)</f>
        <v>40483.141296296293</v>
      </c>
      <c r="C459">
        <v>0</v>
      </c>
      <c r="D459">
        <v>2400</v>
      </c>
      <c r="E459">
        <v>2400</v>
      </c>
      <c r="F459">
        <v>0</v>
      </c>
      <c r="G459">
        <v>1300.6013184000001</v>
      </c>
      <c r="H459">
        <v>1288.3999022999999</v>
      </c>
      <c r="I459">
        <v>1434.7714844</v>
      </c>
      <c r="J459">
        <v>1400.7884521000001</v>
      </c>
      <c r="K459">
        <v>80</v>
      </c>
      <c r="L459">
        <v>79.830940247000001</v>
      </c>
      <c r="M459">
        <v>50</v>
      </c>
      <c r="N459">
        <v>21.627983093000001</v>
      </c>
    </row>
    <row r="460" spans="1:14" x14ac:dyDescent="0.25">
      <c r="A460">
        <v>184.17138600000001</v>
      </c>
      <c r="B460" s="1">
        <f>DATE(2010,11,1) + TIME(4,6,47)</f>
        <v>40483.171377314815</v>
      </c>
      <c r="C460">
        <v>0</v>
      </c>
      <c r="D460">
        <v>2400</v>
      </c>
      <c r="E460">
        <v>2400</v>
      </c>
      <c r="F460">
        <v>0</v>
      </c>
      <c r="G460">
        <v>1300.4854736</v>
      </c>
      <c r="H460">
        <v>1288.2832031</v>
      </c>
      <c r="I460">
        <v>1433.6417236</v>
      </c>
      <c r="J460">
        <v>1400.4047852000001</v>
      </c>
      <c r="K460">
        <v>80</v>
      </c>
      <c r="L460">
        <v>79.818099975999999</v>
      </c>
      <c r="M460">
        <v>50</v>
      </c>
      <c r="N460">
        <v>22.588277817000002</v>
      </c>
    </row>
    <row r="461" spans="1:14" x14ac:dyDescent="0.25">
      <c r="A461">
        <v>184.20241300000001</v>
      </c>
      <c r="B461" s="1">
        <f>DATE(2010,11,1) + TIME(4,51,28)</f>
        <v>40483.202407407407</v>
      </c>
      <c r="C461">
        <v>0</v>
      </c>
      <c r="D461">
        <v>2400</v>
      </c>
      <c r="E461">
        <v>2400</v>
      </c>
      <c r="F461">
        <v>0</v>
      </c>
      <c r="G461">
        <v>1300.4304199000001</v>
      </c>
      <c r="H461">
        <v>1288.2274170000001</v>
      </c>
      <c r="I461">
        <v>1432.5302733999999</v>
      </c>
      <c r="J461">
        <v>1400.0095214999999</v>
      </c>
      <c r="K461">
        <v>80</v>
      </c>
      <c r="L461">
        <v>79.805000304999993</v>
      </c>
      <c r="M461">
        <v>50</v>
      </c>
      <c r="N461">
        <v>23.546155930000001</v>
      </c>
    </row>
    <row r="462" spans="1:14" x14ac:dyDescent="0.25">
      <c r="A462">
        <v>184.23446799999999</v>
      </c>
      <c r="B462" s="1">
        <f>DATE(2010,11,1) + TIME(5,37,38)</f>
        <v>40483.234467592592</v>
      </c>
      <c r="C462">
        <v>0</v>
      </c>
      <c r="D462">
        <v>2400</v>
      </c>
      <c r="E462">
        <v>2400</v>
      </c>
      <c r="F462">
        <v>0</v>
      </c>
      <c r="G462">
        <v>1300.4031981999999</v>
      </c>
      <c r="H462">
        <v>1288.1994629000001</v>
      </c>
      <c r="I462">
        <v>1431.4569091999999</v>
      </c>
      <c r="J462">
        <v>1399.6241454999999</v>
      </c>
      <c r="K462">
        <v>80</v>
      </c>
      <c r="L462">
        <v>79.791625976999995</v>
      </c>
      <c r="M462">
        <v>50</v>
      </c>
      <c r="N462">
        <v>24.501998901</v>
      </c>
    </row>
    <row r="463" spans="1:14" x14ac:dyDescent="0.25">
      <c r="A463">
        <v>184.26762600000001</v>
      </c>
      <c r="B463" s="1">
        <f>DATE(2010,11,1) + TIME(6,25,22)</f>
        <v>40483.26761574074</v>
      </c>
      <c r="C463">
        <v>0</v>
      </c>
      <c r="D463">
        <v>2400</v>
      </c>
      <c r="E463">
        <v>2400</v>
      </c>
      <c r="F463">
        <v>0</v>
      </c>
      <c r="G463">
        <v>1300.3894043</v>
      </c>
      <c r="H463">
        <v>1288.1848144999999</v>
      </c>
      <c r="I463">
        <v>1430.4251709</v>
      </c>
      <c r="J463">
        <v>1399.253418</v>
      </c>
      <c r="K463">
        <v>80</v>
      </c>
      <c r="L463">
        <v>79.777946471999996</v>
      </c>
      <c r="M463">
        <v>50</v>
      </c>
      <c r="N463">
        <v>25.456012726000001</v>
      </c>
    </row>
    <row r="464" spans="1:14" x14ac:dyDescent="0.25">
      <c r="A464">
        <v>184.30196799999999</v>
      </c>
      <c r="B464" s="1">
        <f>DATE(2010,11,1) + TIME(7,14,50)</f>
        <v>40483.30196759259</v>
      </c>
      <c r="C464">
        <v>0</v>
      </c>
      <c r="D464">
        <v>2400</v>
      </c>
      <c r="E464">
        <v>2400</v>
      </c>
      <c r="F464">
        <v>0</v>
      </c>
      <c r="G464">
        <v>1300.3820800999999</v>
      </c>
      <c r="H464">
        <v>1288.1767577999999</v>
      </c>
      <c r="I464">
        <v>1429.4331055</v>
      </c>
      <c r="J464">
        <v>1398.8967285000001</v>
      </c>
      <c r="K464">
        <v>80</v>
      </c>
      <c r="L464">
        <v>79.763938904</v>
      </c>
      <c r="M464">
        <v>50</v>
      </c>
      <c r="N464">
        <v>26.408105849999998</v>
      </c>
    </row>
    <row r="465" spans="1:14" x14ac:dyDescent="0.25">
      <c r="A465">
        <v>184.33758599999999</v>
      </c>
      <c r="B465" s="1">
        <f>DATE(2010,11,1) + TIME(8,6,7)</f>
        <v>40483.337581018517</v>
      </c>
      <c r="C465">
        <v>0</v>
      </c>
      <c r="D465">
        <v>2400</v>
      </c>
      <c r="E465">
        <v>2400</v>
      </c>
      <c r="F465">
        <v>0</v>
      </c>
      <c r="G465">
        <v>1300.3779297000001</v>
      </c>
      <c r="H465">
        <v>1288.171875</v>
      </c>
      <c r="I465">
        <v>1428.4779053</v>
      </c>
      <c r="J465">
        <v>1398.5524902</v>
      </c>
      <c r="K465">
        <v>80</v>
      </c>
      <c r="L465">
        <v>79.749580382999994</v>
      </c>
      <c r="M465">
        <v>50</v>
      </c>
      <c r="N465">
        <v>27.357759475999998</v>
      </c>
    </row>
    <row r="466" spans="1:14" x14ac:dyDescent="0.25">
      <c r="A466">
        <v>184.374562</v>
      </c>
      <c r="B466" s="1">
        <f>DATE(2010,11,1) + TIME(8,59,22)</f>
        <v>40483.374560185184</v>
      </c>
      <c r="C466">
        <v>0</v>
      </c>
      <c r="D466">
        <v>2400</v>
      </c>
      <c r="E466">
        <v>2400</v>
      </c>
      <c r="F466">
        <v>0</v>
      </c>
      <c r="G466">
        <v>1300.3754882999999</v>
      </c>
      <c r="H466">
        <v>1288.1687012</v>
      </c>
      <c r="I466">
        <v>1427.5577393000001</v>
      </c>
      <c r="J466">
        <v>1398.2193603999999</v>
      </c>
      <c r="K466">
        <v>80</v>
      </c>
      <c r="L466">
        <v>79.734855651999993</v>
      </c>
      <c r="M466">
        <v>50</v>
      </c>
      <c r="N466">
        <v>28.304346084999999</v>
      </c>
    </row>
    <row r="467" spans="1:14" x14ac:dyDescent="0.25">
      <c r="A467">
        <v>184.41303199999999</v>
      </c>
      <c r="B467" s="1">
        <f>DATE(2010,11,1) + TIME(9,54,45)</f>
        <v>40483.41302083333</v>
      </c>
      <c r="C467">
        <v>0</v>
      </c>
      <c r="D467">
        <v>2400</v>
      </c>
      <c r="E467">
        <v>2400</v>
      </c>
      <c r="F467">
        <v>0</v>
      </c>
      <c r="G467">
        <v>1300.3739014</v>
      </c>
      <c r="H467">
        <v>1288.1662598</v>
      </c>
      <c r="I467">
        <v>1426.6696777</v>
      </c>
      <c r="J467">
        <v>1397.8959961</v>
      </c>
      <c r="K467">
        <v>80</v>
      </c>
      <c r="L467">
        <v>79.719718932999996</v>
      </c>
      <c r="M467">
        <v>50</v>
      </c>
      <c r="N467">
        <v>29.248243332000001</v>
      </c>
    </row>
    <row r="468" spans="1:14" x14ac:dyDescent="0.25">
      <c r="A468">
        <v>184.453126</v>
      </c>
      <c r="B468" s="1">
        <f>DATE(2010,11,1) + TIME(10,52,30)</f>
        <v>40483.453125</v>
      </c>
      <c r="C468">
        <v>0</v>
      </c>
      <c r="D468">
        <v>2400</v>
      </c>
      <c r="E468">
        <v>2400</v>
      </c>
      <c r="F468">
        <v>0</v>
      </c>
      <c r="G468">
        <v>1300.3724365</v>
      </c>
      <c r="H468">
        <v>1288.1640625</v>
      </c>
      <c r="I468">
        <v>1425.8114014</v>
      </c>
      <c r="J468">
        <v>1397.5811768000001</v>
      </c>
      <c r="K468">
        <v>80</v>
      </c>
      <c r="L468">
        <v>79.704132079999994</v>
      </c>
      <c r="M468">
        <v>50</v>
      </c>
      <c r="N468">
        <v>30.189315795999999</v>
      </c>
    </row>
    <row r="469" spans="1:14" x14ac:dyDescent="0.25">
      <c r="A469">
        <v>184.49499399999999</v>
      </c>
      <c r="B469" s="1">
        <f>DATE(2010,11,1) + TIME(11,52,47)</f>
        <v>40483.494988425926</v>
      </c>
      <c r="C469">
        <v>0</v>
      </c>
      <c r="D469">
        <v>2400</v>
      </c>
      <c r="E469">
        <v>2400</v>
      </c>
      <c r="F469">
        <v>0</v>
      </c>
      <c r="G469">
        <v>1300.3712158000001</v>
      </c>
      <c r="H469">
        <v>1288.1619873</v>
      </c>
      <c r="I469">
        <v>1424.9813231999999</v>
      </c>
      <c r="J469">
        <v>1397.2740478999999</v>
      </c>
      <c r="K469">
        <v>80</v>
      </c>
      <c r="L469">
        <v>79.688056946000003</v>
      </c>
      <c r="M469">
        <v>50</v>
      </c>
      <c r="N469">
        <v>31.127485275000002</v>
      </c>
    </row>
    <row r="470" spans="1:14" x14ac:dyDescent="0.25">
      <c r="A470">
        <v>184.53880100000001</v>
      </c>
      <c r="B470" s="1">
        <f>DATE(2010,11,1) + TIME(12,55,52)</f>
        <v>40483.5387962963</v>
      </c>
      <c r="C470">
        <v>0</v>
      </c>
      <c r="D470">
        <v>2400</v>
      </c>
      <c r="E470">
        <v>2400</v>
      </c>
      <c r="F470">
        <v>0</v>
      </c>
      <c r="G470">
        <v>1300.3698730000001</v>
      </c>
      <c r="H470">
        <v>1288.1597899999999</v>
      </c>
      <c r="I470">
        <v>1424.1773682</v>
      </c>
      <c r="J470">
        <v>1396.9736327999999</v>
      </c>
      <c r="K470">
        <v>80</v>
      </c>
      <c r="L470">
        <v>79.671447753999999</v>
      </c>
      <c r="M470">
        <v>50</v>
      </c>
      <c r="N470">
        <v>32.062339782999999</v>
      </c>
    </row>
    <row r="471" spans="1:14" x14ac:dyDescent="0.25">
      <c r="A471">
        <v>184.58473000000001</v>
      </c>
      <c r="B471" s="1">
        <f>DATE(2010,11,1) + TIME(14,2,0)</f>
        <v>40483.584722222222</v>
      </c>
      <c r="C471">
        <v>0</v>
      </c>
      <c r="D471">
        <v>2400</v>
      </c>
      <c r="E471">
        <v>2400</v>
      </c>
      <c r="F471">
        <v>0</v>
      </c>
      <c r="G471">
        <v>1300.3684082</v>
      </c>
      <c r="H471">
        <v>1288.1574707</v>
      </c>
      <c r="I471">
        <v>1423.3983154</v>
      </c>
      <c r="J471">
        <v>1396.6793213000001</v>
      </c>
      <c r="K471">
        <v>80</v>
      </c>
      <c r="L471">
        <v>79.654258728000002</v>
      </c>
      <c r="M471">
        <v>50</v>
      </c>
      <c r="N471">
        <v>32.993373871000003</v>
      </c>
    </row>
    <row r="472" spans="1:14" x14ac:dyDescent="0.25">
      <c r="A472">
        <v>184.633004</v>
      </c>
      <c r="B472" s="1">
        <f>DATE(2010,11,1) + TIME(15,11,31)</f>
        <v>40483.632997685185</v>
      </c>
      <c r="C472">
        <v>0</v>
      </c>
      <c r="D472">
        <v>2400</v>
      </c>
      <c r="E472">
        <v>2400</v>
      </c>
      <c r="F472">
        <v>0</v>
      </c>
      <c r="G472">
        <v>1300.3668213000001</v>
      </c>
      <c r="H472">
        <v>1288.1549072</v>
      </c>
      <c r="I472">
        <v>1422.6425781</v>
      </c>
      <c r="J472">
        <v>1396.3902588000001</v>
      </c>
      <c r="K472">
        <v>80</v>
      </c>
      <c r="L472">
        <v>79.636428832999997</v>
      </c>
      <c r="M472">
        <v>50</v>
      </c>
      <c r="N472">
        <v>33.920341491999999</v>
      </c>
    </row>
    <row r="473" spans="1:14" x14ac:dyDescent="0.25">
      <c r="A473">
        <v>184.68387999999999</v>
      </c>
      <c r="B473" s="1">
        <f>DATE(2010,11,1) + TIME(16,24,47)</f>
        <v>40483.683877314812</v>
      </c>
      <c r="C473">
        <v>0</v>
      </c>
      <c r="D473">
        <v>2400</v>
      </c>
      <c r="E473">
        <v>2400</v>
      </c>
      <c r="F473">
        <v>0</v>
      </c>
      <c r="G473">
        <v>1300.3649902</v>
      </c>
      <c r="H473">
        <v>1288.1522216999999</v>
      </c>
      <c r="I473">
        <v>1421.9085693</v>
      </c>
      <c r="J473">
        <v>1396.1055908000001</v>
      </c>
      <c r="K473">
        <v>80</v>
      </c>
      <c r="L473">
        <v>79.617897033999995</v>
      </c>
      <c r="M473">
        <v>50</v>
      </c>
      <c r="N473">
        <v>34.842887877999999</v>
      </c>
    </row>
    <row r="474" spans="1:14" x14ac:dyDescent="0.25">
      <c r="A474">
        <v>184.73765299999999</v>
      </c>
      <c r="B474" s="1">
        <f>DATE(2010,11,1) + TIME(17,42,13)</f>
        <v>40483.737650462965</v>
      </c>
      <c r="C474">
        <v>0</v>
      </c>
      <c r="D474">
        <v>2400</v>
      </c>
      <c r="E474">
        <v>2400</v>
      </c>
      <c r="F474">
        <v>0</v>
      </c>
      <c r="G474">
        <v>1300.3630370999999</v>
      </c>
      <c r="H474">
        <v>1288.1492920000001</v>
      </c>
      <c r="I474">
        <v>1421.1950684000001</v>
      </c>
      <c r="J474">
        <v>1395.824707</v>
      </c>
      <c r="K474">
        <v>80</v>
      </c>
      <c r="L474">
        <v>79.598571777000004</v>
      </c>
      <c r="M474">
        <v>50</v>
      </c>
      <c r="N474">
        <v>35.760555267000001</v>
      </c>
    </row>
    <row r="475" spans="1:14" x14ac:dyDescent="0.25">
      <c r="A475">
        <v>184.79467199999999</v>
      </c>
      <c r="B475" s="1">
        <f>DATE(2010,11,1) + TIME(19,4,19)</f>
        <v>40483.794664351852</v>
      </c>
      <c r="C475">
        <v>0</v>
      </c>
      <c r="D475">
        <v>2400</v>
      </c>
      <c r="E475">
        <v>2400</v>
      </c>
      <c r="F475">
        <v>0</v>
      </c>
      <c r="G475">
        <v>1300.3608397999999</v>
      </c>
      <c r="H475">
        <v>1288.1461182</v>
      </c>
      <c r="I475">
        <v>1420.5004882999999</v>
      </c>
      <c r="J475">
        <v>1395.5466309000001</v>
      </c>
      <c r="K475">
        <v>80</v>
      </c>
      <c r="L475">
        <v>79.578376770000006</v>
      </c>
      <c r="M475">
        <v>50</v>
      </c>
      <c r="N475">
        <v>36.672809600999997</v>
      </c>
    </row>
    <row r="476" spans="1:14" x14ac:dyDescent="0.25">
      <c r="A476">
        <v>184.85535100000001</v>
      </c>
      <c r="B476" s="1">
        <f>DATE(2010,11,1) + TIME(20,31,42)</f>
        <v>40483.855347222219</v>
      </c>
      <c r="C476">
        <v>0</v>
      </c>
      <c r="D476">
        <v>2400</v>
      </c>
      <c r="E476">
        <v>2400</v>
      </c>
      <c r="F476">
        <v>0</v>
      </c>
      <c r="G476">
        <v>1300.3585204999999</v>
      </c>
      <c r="H476">
        <v>1288.1427002</v>
      </c>
      <c r="I476">
        <v>1419.8234863</v>
      </c>
      <c r="J476">
        <v>1395.2706298999999</v>
      </c>
      <c r="K476">
        <v>80</v>
      </c>
      <c r="L476">
        <v>79.557197571000003</v>
      </c>
      <c r="M476">
        <v>50</v>
      </c>
      <c r="N476">
        <v>37.579025268999999</v>
      </c>
    </row>
    <row r="477" spans="1:14" x14ac:dyDescent="0.25">
      <c r="A477">
        <v>184.92018300000001</v>
      </c>
      <c r="B477" s="1">
        <f>DATE(2010,11,1) + TIME(22,5,3)</f>
        <v>40483.920173611114</v>
      </c>
      <c r="C477">
        <v>0</v>
      </c>
      <c r="D477">
        <v>2400</v>
      </c>
      <c r="E477">
        <v>2400</v>
      </c>
      <c r="F477">
        <v>0</v>
      </c>
      <c r="G477">
        <v>1300.355957</v>
      </c>
      <c r="H477">
        <v>1288.1390381000001</v>
      </c>
      <c r="I477">
        <v>1419.1627197</v>
      </c>
      <c r="J477">
        <v>1394.9957274999999</v>
      </c>
      <c r="K477">
        <v>80</v>
      </c>
      <c r="L477">
        <v>79.534912109000004</v>
      </c>
      <c r="M477">
        <v>50</v>
      </c>
      <c r="N477">
        <v>38.478481293000002</v>
      </c>
    </row>
    <row r="478" spans="1:14" x14ac:dyDescent="0.25">
      <c r="A478">
        <v>184.989766</v>
      </c>
      <c r="B478" s="1">
        <f>DATE(2010,11,1) + TIME(23,45,15)</f>
        <v>40483.989756944444</v>
      </c>
      <c r="C478">
        <v>0</v>
      </c>
      <c r="D478">
        <v>2400</v>
      </c>
      <c r="E478">
        <v>2400</v>
      </c>
      <c r="F478">
        <v>0</v>
      </c>
      <c r="G478">
        <v>1300.3531493999999</v>
      </c>
      <c r="H478">
        <v>1288.1351318</v>
      </c>
      <c r="I478">
        <v>1418.5168457</v>
      </c>
      <c r="J478">
        <v>1394.7209473</v>
      </c>
      <c r="K478">
        <v>80</v>
      </c>
      <c r="L478">
        <v>79.511367797999995</v>
      </c>
      <c r="M478">
        <v>50</v>
      </c>
      <c r="N478">
        <v>39.370307922000002</v>
      </c>
    </row>
    <row r="479" spans="1:14" x14ac:dyDescent="0.25">
      <c r="A479">
        <v>185.064831</v>
      </c>
      <c r="B479" s="1">
        <f>DATE(2010,11,2) + TIME(1,33,21)</f>
        <v>40484.064826388887</v>
      </c>
      <c r="C479">
        <v>0</v>
      </c>
      <c r="D479">
        <v>2400</v>
      </c>
      <c r="E479">
        <v>2400</v>
      </c>
      <c r="F479">
        <v>0</v>
      </c>
      <c r="G479">
        <v>1300.3500977000001</v>
      </c>
      <c r="H479">
        <v>1288.1308594</v>
      </c>
      <c r="I479">
        <v>1417.8843993999999</v>
      </c>
      <c r="J479">
        <v>1394.4453125</v>
      </c>
      <c r="K479">
        <v>80</v>
      </c>
      <c r="L479">
        <v>79.486381531000006</v>
      </c>
      <c r="M479">
        <v>50</v>
      </c>
      <c r="N479">
        <v>40.253555298000002</v>
      </c>
    </row>
    <row r="480" spans="1:14" x14ac:dyDescent="0.25">
      <c r="A480">
        <v>185.146288</v>
      </c>
      <c r="B480" s="1">
        <f>DATE(2010,11,2) + TIME(3,30,39)</f>
        <v>40484.146284722221</v>
      </c>
      <c r="C480">
        <v>0</v>
      </c>
      <c r="D480">
        <v>2400</v>
      </c>
      <c r="E480">
        <v>2400</v>
      </c>
      <c r="F480">
        <v>0</v>
      </c>
      <c r="G480">
        <v>1300.3468018000001</v>
      </c>
      <c r="H480">
        <v>1288.1263428</v>
      </c>
      <c r="I480">
        <v>1417.2637939000001</v>
      </c>
      <c r="J480">
        <v>1394.1673584</v>
      </c>
      <c r="K480">
        <v>80</v>
      </c>
      <c r="L480">
        <v>79.459724425999994</v>
      </c>
      <c r="M480">
        <v>50</v>
      </c>
      <c r="N480">
        <v>41.127109527999998</v>
      </c>
    </row>
    <row r="481" spans="1:14" x14ac:dyDescent="0.25">
      <c r="A481">
        <v>185.23527999999999</v>
      </c>
      <c r="B481" s="1">
        <f>DATE(2010,11,2) + TIME(5,38,48)</f>
        <v>40484.235277777778</v>
      </c>
      <c r="C481">
        <v>0</v>
      </c>
      <c r="D481">
        <v>2400</v>
      </c>
      <c r="E481">
        <v>2400</v>
      </c>
      <c r="F481">
        <v>0</v>
      </c>
      <c r="G481">
        <v>1300.3431396000001</v>
      </c>
      <c r="H481">
        <v>1288.1213379000001</v>
      </c>
      <c r="I481">
        <v>1416.6535644999999</v>
      </c>
      <c r="J481">
        <v>1393.8859863</v>
      </c>
      <c r="K481">
        <v>80</v>
      </c>
      <c r="L481">
        <v>79.431129455999994</v>
      </c>
      <c r="M481">
        <v>50</v>
      </c>
      <c r="N481">
        <v>41.989345551</v>
      </c>
    </row>
    <row r="482" spans="1:14" x14ac:dyDescent="0.25">
      <c r="A482">
        <v>185.333257</v>
      </c>
      <c r="B482" s="1">
        <f>DATE(2010,11,2) + TIME(7,59,53)</f>
        <v>40484.333252314813</v>
      </c>
      <c r="C482">
        <v>0</v>
      </c>
      <c r="D482">
        <v>2400</v>
      </c>
      <c r="E482">
        <v>2400</v>
      </c>
      <c r="F482">
        <v>0</v>
      </c>
      <c r="G482">
        <v>1300.3391113</v>
      </c>
      <c r="H482">
        <v>1288.1158447</v>
      </c>
      <c r="I482">
        <v>1416.0520019999999</v>
      </c>
      <c r="J482">
        <v>1393.5993652</v>
      </c>
      <c r="K482">
        <v>80</v>
      </c>
      <c r="L482">
        <v>79.400245666999993</v>
      </c>
      <c r="M482">
        <v>50</v>
      </c>
      <c r="N482">
        <v>42.838340758999998</v>
      </c>
    </row>
    <row r="483" spans="1:14" x14ac:dyDescent="0.25">
      <c r="A483">
        <v>185.442159</v>
      </c>
      <c r="B483" s="1">
        <f>DATE(2010,11,2) + TIME(10,36,42)</f>
        <v>40484.442152777781</v>
      </c>
      <c r="C483">
        <v>0</v>
      </c>
      <c r="D483">
        <v>2400</v>
      </c>
      <c r="E483">
        <v>2400</v>
      </c>
      <c r="F483">
        <v>0</v>
      </c>
      <c r="G483">
        <v>1300.3345947</v>
      </c>
      <c r="H483">
        <v>1288.1098632999999</v>
      </c>
      <c r="I483">
        <v>1415.4573975000001</v>
      </c>
      <c r="J483">
        <v>1393.3057861</v>
      </c>
      <c r="K483">
        <v>80</v>
      </c>
      <c r="L483">
        <v>79.366615295000003</v>
      </c>
      <c r="M483">
        <v>50</v>
      </c>
      <c r="N483">
        <v>43.672077178999999</v>
      </c>
    </row>
    <row r="484" spans="1:14" x14ac:dyDescent="0.25">
      <c r="A484">
        <v>185.55730700000001</v>
      </c>
      <c r="B484" s="1">
        <f>DATE(2010,11,2) + TIME(13,22,31)</f>
        <v>40484.557303240741</v>
      </c>
      <c r="C484">
        <v>0</v>
      </c>
      <c r="D484">
        <v>2400</v>
      </c>
      <c r="E484">
        <v>2400</v>
      </c>
      <c r="F484">
        <v>0</v>
      </c>
      <c r="G484">
        <v>1300.3295897999999</v>
      </c>
      <c r="H484">
        <v>1288.1032714999999</v>
      </c>
      <c r="I484">
        <v>1414.8928223</v>
      </c>
      <c r="J484">
        <v>1393.0119629000001</v>
      </c>
      <c r="K484">
        <v>80</v>
      </c>
      <c r="L484">
        <v>79.331581115999995</v>
      </c>
      <c r="M484">
        <v>50</v>
      </c>
      <c r="N484">
        <v>44.445449828999998</v>
      </c>
    </row>
    <row r="485" spans="1:14" x14ac:dyDescent="0.25">
      <c r="A485">
        <v>185.67308800000001</v>
      </c>
      <c r="B485" s="1">
        <f>DATE(2010,11,2) + TIME(16,9,14)</f>
        <v>40484.673078703701</v>
      </c>
      <c r="C485">
        <v>0</v>
      </c>
      <c r="D485">
        <v>2400</v>
      </c>
      <c r="E485">
        <v>2400</v>
      </c>
      <c r="F485">
        <v>0</v>
      </c>
      <c r="G485">
        <v>1300.3239745999999</v>
      </c>
      <c r="H485">
        <v>1288.0963135</v>
      </c>
      <c r="I485">
        <v>1414.378418</v>
      </c>
      <c r="J485">
        <v>1392.7297363</v>
      </c>
      <c r="K485">
        <v>80</v>
      </c>
      <c r="L485">
        <v>79.296638489000003</v>
      </c>
      <c r="M485">
        <v>50</v>
      </c>
      <c r="N485">
        <v>45.126926421999997</v>
      </c>
    </row>
    <row r="486" spans="1:14" x14ac:dyDescent="0.25">
      <c r="A486">
        <v>185.790425</v>
      </c>
      <c r="B486" s="1">
        <f>DATE(2010,11,2) + TIME(18,58,12)</f>
        <v>40484.790416666663</v>
      </c>
      <c r="C486">
        <v>0</v>
      </c>
      <c r="D486">
        <v>2400</v>
      </c>
      <c r="E486">
        <v>2400</v>
      </c>
      <c r="F486">
        <v>0</v>
      </c>
      <c r="G486">
        <v>1300.3184814000001</v>
      </c>
      <c r="H486">
        <v>1288.0893555</v>
      </c>
      <c r="I486">
        <v>1413.9095459</v>
      </c>
      <c r="J486">
        <v>1392.4627685999999</v>
      </c>
      <c r="K486">
        <v>80</v>
      </c>
      <c r="L486">
        <v>79.261543274000005</v>
      </c>
      <c r="M486">
        <v>50</v>
      </c>
      <c r="N486">
        <v>45.730899811</v>
      </c>
    </row>
    <row r="487" spans="1:14" x14ac:dyDescent="0.25">
      <c r="A487">
        <v>185.909862</v>
      </c>
      <c r="B487" s="1">
        <f>DATE(2010,11,2) + TIME(21,50,12)</f>
        <v>40484.909861111111</v>
      </c>
      <c r="C487">
        <v>0</v>
      </c>
      <c r="D487">
        <v>2400</v>
      </c>
      <c r="E487">
        <v>2400</v>
      </c>
      <c r="F487">
        <v>0</v>
      </c>
      <c r="G487">
        <v>1300.3128661999999</v>
      </c>
      <c r="H487">
        <v>1288.0822754000001</v>
      </c>
      <c r="I487">
        <v>1413.4783935999999</v>
      </c>
      <c r="J487">
        <v>1392.2080077999999</v>
      </c>
      <c r="K487">
        <v>80</v>
      </c>
      <c r="L487">
        <v>79.226142882999994</v>
      </c>
      <c r="M487">
        <v>50</v>
      </c>
      <c r="N487">
        <v>46.267135619999998</v>
      </c>
    </row>
    <row r="488" spans="1:14" x14ac:dyDescent="0.25">
      <c r="A488">
        <v>186.031937</v>
      </c>
      <c r="B488" s="1">
        <f>DATE(2010,11,3) + TIME(0,45,59)</f>
        <v>40485.03193287037</v>
      </c>
      <c r="C488">
        <v>0</v>
      </c>
      <c r="D488">
        <v>2400</v>
      </c>
      <c r="E488">
        <v>2400</v>
      </c>
      <c r="F488">
        <v>0</v>
      </c>
      <c r="G488">
        <v>1300.3070068</v>
      </c>
      <c r="H488">
        <v>1288.0750731999999</v>
      </c>
      <c r="I488">
        <v>1413.0792236</v>
      </c>
      <c r="J488">
        <v>1391.9633789</v>
      </c>
      <c r="K488">
        <v>80</v>
      </c>
      <c r="L488">
        <v>79.190292357999994</v>
      </c>
      <c r="M488">
        <v>50</v>
      </c>
      <c r="N488">
        <v>46.743694304999998</v>
      </c>
    </row>
    <row r="489" spans="1:14" x14ac:dyDescent="0.25">
      <c r="A489">
        <v>186.15720400000001</v>
      </c>
      <c r="B489" s="1">
        <f>DATE(2010,11,3) + TIME(3,46,22)</f>
        <v>40485.157199074078</v>
      </c>
      <c r="C489">
        <v>0</v>
      </c>
      <c r="D489">
        <v>2400</v>
      </c>
      <c r="E489">
        <v>2400</v>
      </c>
      <c r="F489">
        <v>0</v>
      </c>
      <c r="G489">
        <v>1300.3011475000001</v>
      </c>
      <c r="H489">
        <v>1288.0676269999999</v>
      </c>
      <c r="I489">
        <v>1412.7071533000001</v>
      </c>
      <c r="J489">
        <v>1391.7270507999999</v>
      </c>
      <c r="K489">
        <v>80</v>
      </c>
      <c r="L489">
        <v>79.153846740999995</v>
      </c>
      <c r="M489">
        <v>50</v>
      </c>
      <c r="N489">
        <v>47.167327880999999</v>
      </c>
    </row>
    <row r="490" spans="1:14" x14ac:dyDescent="0.25">
      <c r="A490">
        <v>186.28622200000001</v>
      </c>
      <c r="B490" s="1">
        <f>DATE(2010,11,3) + TIME(6,52,9)</f>
        <v>40485.286215277774</v>
      </c>
      <c r="C490">
        <v>0</v>
      </c>
      <c r="D490">
        <v>2400</v>
      </c>
      <c r="E490">
        <v>2400</v>
      </c>
      <c r="F490">
        <v>0</v>
      </c>
      <c r="G490">
        <v>1300.2949219</v>
      </c>
      <c r="H490">
        <v>1288.0599365</v>
      </c>
      <c r="I490">
        <v>1412.3581543</v>
      </c>
      <c r="J490">
        <v>1391.4974365</v>
      </c>
      <c r="K490">
        <v>80</v>
      </c>
      <c r="L490">
        <v>79.116676330999994</v>
      </c>
      <c r="M490">
        <v>50</v>
      </c>
      <c r="N490">
        <v>47.543716431</v>
      </c>
    </row>
    <row r="491" spans="1:14" x14ac:dyDescent="0.25">
      <c r="A491">
        <v>186.419623</v>
      </c>
      <c r="B491" s="1">
        <f>DATE(2010,11,3) + TIME(10,4,15)</f>
        <v>40485.419618055559</v>
      </c>
      <c r="C491">
        <v>0</v>
      </c>
      <c r="D491">
        <v>2400</v>
      </c>
      <c r="E491">
        <v>2400</v>
      </c>
      <c r="F491">
        <v>0</v>
      </c>
      <c r="G491">
        <v>1300.2886963000001</v>
      </c>
      <c r="H491">
        <v>1288.052124</v>
      </c>
      <c r="I491">
        <v>1412.0288086</v>
      </c>
      <c r="J491">
        <v>1391.2734375</v>
      </c>
      <c r="K491">
        <v>80</v>
      </c>
      <c r="L491">
        <v>79.078613281000003</v>
      </c>
      <c r="M491">
        <v>50</v>
      </c>
      <c r="N491">
        <v>47.877822876000003</v>
      </c>
    </row>
    <row r="492" spans="1:14" x14ac:dyDescent="0.25">
      <c r="A492">
        <v>186.55810099999999</v>
      </c>
      <c r="B492" s="1">
        <f>DATE(2010,11,3) + TIME(13,23,39)</f>
        <v>40485.55809027778</v>
      </c>
      <c r="C492">
        <v>0</v>
      </c>
      <c r="D492">
        <v>2400</v>
      </c>
      <c r="E492">
        <v>2400</v>
      </c>
      <c r="F492">
        <v>0</v>
      </c>
      <c r="G492">
        <v>1300.2821045000001</v>
      </c>
      <c r="H492">
        <v>1288.0439452999999</v>
      </c>
      <c r="I492">
        <v>1411.7164307</v>
      </c>
      <c r="J492">
        <v>1391.0535889</v>
      </c>
      <c r="K492">
        <v>80</v>
      </c>
      <c r="L492">
        <v>79.039505004999995</v>
      </c>
      <c r="M492">
        <v>50</v>
      </c>
      <c r="N492">
        <v>48.173927307</v>
      </c>
    </row>
    <row r="493" spans="1:14" x14ac:dyDescent="0.25">
      <c r="A493">
        <v>186.70231200000001</v>
      </c>
      <c r="B493" s="1">
        <f>DATE(2010,11,3) + TIME(16,51,19)</f>
        <v>40485.702303240738</v>
      </c>
      <c r="C493">
        <v>0</v>
      </c>
      <c r="D493">
        <v>2400</v>
      </c>
      <c r="E493">
        <v>2400</v>
      </c>
      <c r="F493">
        <v>0</v>
      </c>
      <c r="G493">
        <v>1300.2752685999999</v>
      </c>
      <c r="H493">
        <v>1288.0355225000001</v>
      </c>
      <c r="I493">
        <v>1411.4182129000001</v>
      </c>
      <c r="J493">
        <v>1390.8370361</v>
      </c>
      <c r="K493">
        <v>80</v>
      </c>
      <c r="L493">
        <v>78.999183654999996</v>
      </c>
      <c r="M493">
        <v>50</v>
      </c>
      <c r="N493">
        <v>48.435588836999997</v>
      </c>
    </row>
    <row r="494" spans="1:14" x14ac:dyDescent="0.25">
      <c r="A494">
        <v>186.85274799999999</v>
      </c>
      <c r="B494" s="1">
        <f>DATE(2010,11,3) + TIME(20,27,57)</f>
        <v>40485.852743055555</v>
      </c>
      <c r="C494">
        <v>0</v>
      </c>
      <c r="D494">
        <v>2400</v>
      </c>
      <c r="E494">
        <v>2400</v>
      </c>
      <c r="F494">
        <v>0</v>
      </c>
      <c r="G494">
        <v>1300.2680664</v>
      </c>
      <c r="H494">
        <v>1288.0267334</v>
      </c>
      <c r="I494">
        <v>1411.1325684000001</v>
      </c>
      <c r="J494">
        <v>1390.6230469</v>
      </c>
      <c r="K494">
        <v>80</v>
      </c>
      <c r="L494">
        <v>78.957550049000005</v>
      </c>
      <c r="M494">
        <v>50</v>
      </c>
      <c r="N494">
        <v>48.665695190000001</v>
      </c>
    </row>
    <row r="495" spans="1:14" x14ac:dyDescent="0.25">
      <c r="A495">
        <v>187.01033699999999</v>
      </c>
      <c r="B495" s="1">
        <f>DATE(2010,11,4) + TIME(0,14,53)</f>
        <v>40486.010335648149</v>
      </c>
      <c r="C495">
        <v>0</v>
      </c>
      <c r="D495">
        <v>2400</v>
      </c>
      <c r="E495">
        <v>2400</v>
      </c>
      <c r="F495">
        <v>0</v>
      </c>
      <c r="G495">
        <v>1300.2606201000001</v>
      </c>
      <c r="H495">
        <v>1288.0174560999999</v>
      </c>
      <c r="I495">
        <v>1410.8575439000001</v>
      </c>
      <c r="J495">
        <v>1390.4107666</v>
      </c>
      <c r="K495">
        <v>80</v>
      </c>
      <c r="L495">
        <v>78.914390564000001</v>
      </c>
      <c r="M495">
        <v>50</v>
      </c>
      <c r="N495">
        <v>48.867408752000003</v>
      </c>
    </row>
    <row r="496" spans="1:14" x14ac:dyDescent="0.25">
      <c r="A496">
        <v>187.175995</v>
      </c>
      <c r="B496" s="1">
        <f>DATE(2010,11,4) + TIME(4,13,25)</f>
        <v>40486.175983796296</v>
      </c>
      <c r="C496">
        <v>0</v>
      </c>
      <c r="D496">
        <v>2400</v>
      </c>
      <c r="E496">
        <v>2400</v>
      </c>
      <c r="F496">
        <v>0</v>
      </c>
      <c r="G496">
        <v>1300.2526855000001</v>
      </c>
      <c r="H496">
        <v>1288.0078125</v>
      </c>
      <c r="I496">
        <v>1410.5913086</v>
      </c>
      <c r="J496">
        <v>1390.1994629000001</v>
      </c>
      <c r="K496">
        <v>80</v>
      </c>
      <c r="L496">
        <v>78.869506835999999</v>
      </c>
      <c r="M496">
        <v>50</v>
      </c>
      <c r="N496">
        <v>49.043392181000002</v>
      </c>
    </row>
    <row r="497" spans="1:14" x14ac:dyDescent="0.25">
      <c r="A497">
        <v>187.35088200000001</v>
      </c>
      <c r="B497" s="1">
        <f>DATE(2010,11,4) + TIME(8,25,16)</f>
        <v>40486.35087962963</v>
      </c>
      <c r="C497">
        <v>0</v>
      </c>
      <c r="D497">
        <v>2400</v>
      </c>
      <c r="E497">
        <v>2400</v>
      </c>
      <c r="F497">
        <v>0</v>
      </c>
      <c r="G497">
        <v>1300.2443848</v>
      </c>
      <c r="H497">
        <v>1287.9975586</v>
      </c>
      <c r="I497">
        <v>1410.3321533000001</v>
      </c>
      <c r="J497">
        <v>1389.9884033000001</v>
      </c>
      <c r="K497">
        <v>80</v>
      </c>
      <c r="L497">
        <v>78.822647094999994</v>
      </c>
      <c r="M497">
        <v>50</v>
      </c>
      <c r="N497">
        <v>49.196174622000001</v>
      </c>
    </row>
    <row r="498" spans="1:14" x14ac:dyDescent="0.25">
      <c r="A498">
        <v>187.53626499999999</v>
      </c>
      <c r="B498" s="1">
        <f>DATE(2010,11,4) + TIME(12,52,13)</f>
        <v>40486.536261574074</v>
      </c>
      <c r="C498">
        <v>0</v>
      </c>
      <c r="D498">
        <v>2400</v>
      </c>
      <c r="E498">
        <v>2400</v>
      </c>
      <c r="F498">
        <v>0</v>
      </c>
      <c r="G498">
        <v>1300.2354736</v>
      </c>
      <c r="H498">
        <v>1287.9868164</v>
      </c>
      <c r="I498">
        <v>1410.0786132999999</v>
      </c>
      <c r="J498">
        <v>1389.7766113</v>
      </c>
      <c r="K498">
        <v>80</v>
      </c>
      <c r="L498">
        <v>78.773544311999999</v>
      </c>
      <c r="M498">
        <v>50</v>
      </c>
      <c r="N498">
        <v>49.327983856000003</v>
      </c>
    </row>
    <row r="499" spans="1:14" x14ac:dyDescent="0.25">
      <c r="A499">
        <v>187.73361600000001</v>
      </c>
      <c r="B499" s="1">
        <f>DATE(2010,11,4) + TIME(17,36,24)</f>
        <v>40486.733611111114</v>
      </c>
      <c r="C499">
        <v>0</v>
      </c>
      <c r="D499">
        <v>2400</v>
      </c>
      <c r="E499">
        <v>2400</v>
      </c>
      <c r="F499">
        <v>0</v>
      </c>
      <c r="G499">
        <v>1300.2260742000001</v>
      </c>
      <c r="H499">
        <v>1287.9754639</v>
      </c>
      <c r="I499">
        <v>1409.8289795000001</v>
      </c>
      <c r="J499">
        <v>1389.5632324000001</v>
      </c>
      <c r="K499">
        <v>80</v>
      </c>
      <c r="L499">
        <v>78.721885681000003</v>
      </c>
      <c r="M499">
        <v>50</v>
      </c>
      <c r="N499">
        <v>49.440887451000002</v>
      </c>
    </row>
    <row r="500" spans="1:14" x14ac:dyDescent="0.25">
      <c r="A500">
        <v>187.94442000000001</v>
      </c>
      <c r="B500" s="1">
        <f>DATE(2010,11,4) + TIME(22,39,57)</f>
        <v>40486.944409722222</v>
      </c>
      <c r="C500">
        <v>0</v>
      </c>
      <c r="D500">
        <v>2400</v>
      </c>
      <c r="E500">
        <v>2400</v>
      </c>
      <c r="F500">
        <v>0</v>
      </c>
      <c r="G500">
        <v>1300.2160644999999</v>
      </c>
      <c r="H500">
        <v>1287.9632568</v>
      </c>
      <c r="I500">
        <v>1409.5819091999999</v>
      </c>
      <c r="J500">
        <v>1389.3475341999999</v>
      </c>
      <c r="K500">
        <v>80</v>
      </c>
      <c r="L500">
        <v>78.667381286999998</v>
      </c>
      <c r="M500">
        <v>50</v>
      </c>
      <c r="N500">
        <v>49.536705017000003</v>
      </c>
    </row>
    <row r="501" spans="1:14" x14ac:dyDescent="0.25">
      <c r="A501">
        <v>188.16900699999999</v>
      </c>
      <c r="B501" s="1">
        <f>DATE(2010,11,5) + TIME(4,3,22)</f>
        <v>40487.169004629628</v>
      </c>
      <c r="C501">
        <v>0</v>
      </c>
      <c r="D501">
        <v>2400</v>
      </c>
      <c r="E501">
        <v>2400</v>
      </c>
      <c r="F501">
        <v>0</v>
      </c>
      <c r="G501">
        <v>1300.2053223</v>
      </c>
      <c r="H501">
        <v>1287.9501952999999</v>
      </c>
      <c r="I501">
        <v>1409.3365478999999</v>
      </c>
      <c r="J501">
        <v>1389.1290283000001</v>
      </c>
      <c r="K501">
        <v>80</v>
      </c>
      <c r="L501">
        <v>78.609954834000007</v>
      </c>
      <c r="M501">
        <v>50</v>
      </c>
      <c r="N501">
        <v>49.616802216000004</v>
      </c>
    </row>
    <row r="502" spans="1:14" x14ac:dyDescent="0.25">
      <c r="A502">
        <v>188.40832399999999</v>
      </c>
      <c r="B502" s="1">
        <f>DATE(2010,11,5) + TIME(9,47,59)</f>
        <v>40487.408321759256</v>
      </c>
      <c r="C502">
        <v>0</v>
      </c>
      <c r="D502">
        <v>2400</v>
      </c>
      <c r="E502">
        <v>2400</v>
      </c>
      <c r="F502">
        <v>0</v>
      </c>
      <c r="G502">
        <v>1300.1937256000001</v>
      </c>
      <c r="H502">
        <v>1287.9362793</v>
      </c>
      <c r="I502">
        <v>1409.0927733999999</v>
      </c>
      <c r="J502">
        <v>1388.9080810999999</v>
      </c>
      <c r="K502">
        <v>80</v>
      </c>
      <c r="L502">
        <v>78.549430846999996</v>
      </c>
      <c r="M502">
        <v>50</v>
      </c>
      <c r="N502">
        <v>49.682918549</v>
      </c>
    </row>
    <row r="503" spans="1:14" x14ac:dyDescent="0.25">
      <c r="A503">
        <v>188.65366299999999</v>
      </c>
      <c r="B503" s="1">
        <f>DATE(2010,11,5) + TIME(15,41,16)</f>
        <v>40487.653657407405</v>
      </c>
      <c r="C503">
        <v>0</v>
      </c>
      <c r="D503">
        <v>2400</v>
      </c>
      <c r="E503">
        <v>2400</v>
      </c>
      <c r="F503">
        <v>0</v>
      </c>
      <c r="G503">
        <v>1300.1812743999999</v>
      </c>
      <c r="H503">
        <v>1287.9215088000001</v>
      </c>
      <c r="I503">
        <v>1408.8509521000001</v>
      </c>
      <c r="J503">
        <v>1388.6853027</v>
      </c>
      <c r="K503">
        <v>80</v>
      </c>
      <c r="L503">
        <v>78.487495421999995</v>
      </c>
      <c r="M503">
        <v>50</v>
      </c>
      <c r="N503">
        <v>49.735195160000004</v>
      </c>
    </row>
    <row r="504" spans="1:14" x14ac:dyDescent="0.25">
      <c r="A504">
        <v>188.90126900000001</v>
      </c>
      <c r="B504" s="1">
        <f>DATE(2010,11,5) + TIME(21,37,49)</f>
        <v>40487.901261574072</v>
      </c>
      <c r="C504">
        <v>0</v>
      </c>
      <c r="D504">
        <v>2400</v>
      </c>
      <c r="E504">
        <v>2400</v>
      </c>
      <c r="F504">
        <v>0</v>
      </c>
      <c r="G504">
        <v>1300.168457</v>
      </c>
      <c r="H504">
        <v>1287.9063721</v>
      </c>
      <c r="I504">
        <v>1408.6185303</v>
      </c>
      <c r="J504">
        <v>1388.4686279</v>
      </c>
      <c r="K504">
        <v>80</v>
      </c>
      <c r="L504">
        <v>78.424972534000005</v>
      </c>
      <c r="M504">
        <v>50</v>
      </c>
      <c r="N504">
        <v>49.775863647000001</v>
      </c>
    </row>
    <row r="505" spans="1:14" x14ac:dyDescent="0.25">
      <c r="A505">
        <v>189.151949</v>
      </c>
      <c r="B505" s="1">
        <f>DATE(2010,11,6) + TIME(3,38,48)</f>
        <v>40488.151944444442</v>
      </c>
      <c r="C505">
        <v>0</v>
      </c>
      <c r="D505">
        <v>2400</v>
      </c>
      <c r="E505">
        <v>2400</v>
      </c>
      <c r="F505">
        <v>0</v>
      </c>
      <c r="G505">
        <v>1300.1555175999999</v>
      </c>
      <c r="H505">
        <v>1287.8909911999999</v>
      </c>
      <c r="I505">
        <v>1408.3975829999999</v>
      </c>
      <c r="J505">
        <v>1388.2608643000001</v>
      </c>
      <c r="K505">
        <v>80</v>
      </c>
      <c r="L505">
        <v>78.361808776999993</v>
      </c>
      <c r="M505">
        <v>50</v>
      </c>
      <c r="N505">
        <v>49.807579040999997</v>
      </c>
    </row>
    <row r="506" spans="1:14" x14ac:dyDescent="0.25">
      <c r="A506">
        <v>189.40654000000001</v>
      </c>
      <c r="B506" s="1">
        <f>DATE(2010,11,6) + TIME(9,45,25)</f>
        <v>40488.406539351854</v>
      </c>
      <c r="C506">
        <v>0</v>
      </c>
      <c r="D506">
        <v>2400</v>
      </c>
      <c r="E506">
        <v>2400</v>
      </c>
      <c r="F506">
        <v>0</v>
      </c>
      <c r="G506">
        <v>1300.1423339999999</v>
      </c>
      <c r="H506">
        <v>1287.8754882999999</v>
      </c>
      <c r="I506">
        <v>1408.1861572</v>
      </c>
      <c r="J506">
        <v>1388.0605469</v>
      </c>
      <c r="K506">
        <v>80</v>
      </c>
      <c r="L506">
        <v>78.297927856000001</v>
      </c>
      <c r="M506">
        <v>50</v>
      </c>
      <c r="N506">
        <v>49.832355499000002</v>
      </c>
    </row>
    <row r="507" spans="1:14" x14ac:dyDescent="0.25">
      <c r="A507">
        <v>189.66625300000001</v>
      </c>
      <c r="B507" s="1">
        <f>DATE(2010,11,6) + TIME(15,59,24)</f>
        <v>40488.666250000002</v>
      </c>
      <c r="C507">
        <v>0</v>
      </c>
      <c r="D507">
        <v>2400</v>
      </c>
      <c r="E507">
        <v>2400</v>
      </c>
      <c r="F507">
        <v>0</v>
      </c>
      <c r="G507">
        <v>1300.1290283000001</v>
      </c>
      <c r="H507">
        <v>1287.8596190999999</v>
      </c>
      <c r="I507">
        <v>1407.9826660000001</v>
      </c>
      <c r="J507">
        <v>1387.8666992000001</v>
      </c>
      <c r="K507">
        <v>80</v>
      </c>
      <c r="L507">
        <v>78.233146667</v>
      </c>
      <c r="M507">
        <v>50</v>
      </c>
      <c r="N507">
        <v>49.851760863999999</v>
      </c>
    </row>
    <row r="508" spans="1:14" x14ac:dyDescent="0.25">
      <c r="A508">
        <v>189.93220199999999</v>
      </c>
      <c r="B508" s="1">
        <f>DATE(2010,11,6) + TIME(22,22,22)</f>
        <v>40488.932199074072</v>
      </c>
      <c r="C508">
        <v>0</v>
      </c>
      <c r="D508">
        <v>2400</v>
      </c>
      <c r="E508">
        <v>2400</v>
      </c>
      <c r="F508">
        <v>0</v>
      </c>
      <c r="G508">
        <v>1300.1153564000001</v>
      </c>
      <c r="H508">
        <v>1287.8433838000001</v>
      </c>
      <c r="I508">
        <v>1407.7854004000001</v>
      </c>
      <c r="J508">
        <v>1387.6779785000001</v>
      </c>
      <c r="K508">
        <v>80</v>
      </c>
      <c r="L508">
        <v>78.167289733999993</v>
      </c>
      <c r="M508">
        <v>50</v>
      </c>
      <c r="N508">
        <v>49.866985321000001</v>
      </c>
    </row>
    <row r="509" spans="1:14" x14ac:dyDescent="0.25">
      <c r="A509">
        <v>190.20549099999999</v>
      </c>
      <c r="B509" s="1">
        <f>DATE(2010,11,7) + TIME(4,55,54)</f>
        <v>40489.20548611111</v>
      </c>
      <c r="C509">
        <v>0</v>
      </c>
      <c r="D509">
        <v>2400</v>
      </c>
      <c r="E509">
        <v>2400</v>
      </c>
      <c r="F509">
        <v>0</v>
      </c>
      <c r="G509">
        <v>1300.1013184000001</v>
      </c>
      <c r="H509">
        <v>1287.8267822</v>
      </c>
      <c r="I509">
        <v>1407.5931396000001</v>
      </c>
      <c r="J509">
        <v>1387.4932861</v>
      </c>
      <c r="K509">
        <v>80</v>
      </c>
      <c r="L509">
        <v>78.100166321000003</v>
      </c>
      <c r="M509">
        <v>50</v>
      </c>
      <c r="N509">
        <v>49.878940581999998</v>
      </c>
    </row>
    <row r="510" spans="1:14" x14ac:dyDescent="0.25">
      <c r="A510">
        <v>190.48725200000001</v>
      </c>
      <c r="B510" s="1">
        <f>DATE(2010,11,7) + TIME(11,41,38)</f>
        <v>40489.487245370372</v>
      </c>
      <c r="C510">
        <v>0</v>
      </c>
      <c r="D510">
        <v>2400</v>
      </c>
      <c r="E510">
        <v>2400</v>
      </c>
      <c r="F510">
        <v>0</v>
      </c>
      <c r="G510">
        <v>1300.0869141000001</v>
      </c>
      <c r="H510">
        <v>1287.8096923999999</v>
      </c>
      <c r="I510">
        <v>1407.4047852000001</v>
      </c>
      <c r="J510">
        <v>1387.3120117000001</v>
      </c>
      <c r="K510">
        <v>80</v>
      </c>
      <c r="L510">
        <v>78.031585692999997</v>
      </c>
      <c r="M510">
        <v>50</v>
      </c>
      <c r="N510">
        <v>49.888336182000003</v>
      </c>
    </row>
    <row r="511" spans="1:14" x14ac:dyDescent="0.25">
      <c r="A511">
        <v>190.778682</v>
      </c>
      <c r="B511" s="1">
        <f>DATE(2010,11,7) + TIME(18,41,18)</f>
        <v>40489.778680555559</v>
      </c>
      <c r="C511">
        <v>0</v>
      </c>
      <c r="D511">
        <v>2400</v>
      </c>
      <c r="E511">
        <v>2400</v>
      </c>
      <c r="F511">
        <v>0</v>
      </c>
      <c r="G511">
        <v>1300.0721435999999</v>
      </c>
      <c r="H511">
        <v>1287.7919922000001</v>
      </c>
      <c r="I511">
        <v>1407.2194824000001</v>
      </c>
      <c r="J511">
        <v>1387.1333007999999</v>
      </c>
      <c r="K511">
        <v>80</v>
      </c>
      <c r="L511">
        <v>77.961334229000002</v>
      </c>
      <c r="M511">
        <v>50</v>
      </c>
      <c r="N511">
        <v>49.895725249999998</v>
      </c>
    </row>
    <row r="512" spans="1:14" x14ac:dyDescent="0.25">
      <c r="A512">
        <v>191.081042</v>
      </c>
      <c r="B512" s="1">
        <f>DATE(2010,11,8) + TIME(1,56,42)</f>
        <v>40490.081041666665</v>
      </c>
      <c r="C512">
        <v>0</v>
      </c>
      <c r="D512">
        <v>2400</v>
      </c>
      <c r="E512">
        <v>2400</v>
      </c>
      <c r="F512">
        <v>0</v>
      </c>
      <c r="G512">
        <v>1300.0567627</v>
      </c>
      <c r="H512">
        <v>1287.7738036999999</v>
      </c>
      <c r="I512">
        <v>1407.036499</v>
      </c>
      <c r="J512">
        <v>1386.9562988</v>
      </c>
      <c r="K512">
        <v>80</v>
      </c>
      <c r="L512">
        <v>77.889175414999997</v>
      </c>
      <c r="M512">
        <v>50</v>
      </c>
      <c r="N512">
        <v>49.901546478</v>
      </c>
    </row>
    <row r="513" spans="1:14" x14ac:dyDescent="0.25">
      <c r="A513">
        <v>191.39583300000001</v>
      </c>
      <c r="B513" s="1">
        <f>DATE(2010,11,8) + TIME(9,29,59)</f>
        <v>40490.395821759259</v>
      </c>
      <c r="C513">
        <v>0</v>
      </c>
      <c r="D513">
        <v>2400</v>
      </c>
      <c r="E513">
        <v>2400</v>
      </c>
      <c r="F513">
        <v>0</v>
      </c>
      <c r="G513">
        <v>1300.0407714999999</v>
      </c>
      <c r="H513">
        <v>1287.7547606999999</v>
      </c>
      <c r="I513">
        <v>1406.8549805</v>
      </c>
      <c r="J513">
        <v>1386.7807617000001</v>
      </c>
      <c r="K513">
        <v>80</v>
      </c>
      <c r="L513">
        <v>77.814849854000002</v>
      </c>
      <c r="M513">
        <v>50</v>
      </c>
      <c r="N513">
        <v>49.906135558999999</v>
      </c>
    </row>
    <row r="514" spans="1:14" x14ac:dyDescent="0.25">
      <c r="A514">
        <v>191.72511</v>
      </c>
      <c r="B514" s="1">
        <f>DATE(2010,11,8) + TIME(17,24,9)</f>
        <v>40490.725104166668</v>
      </c>
      <c r="C514">
        <v>0</v>
      </c>
      <c r="D514">
        <v>2400</v>
      </c>
      <c r="E514">
        <v>2400</v>
      </c>
      <c r="F514">
        <v>0</v>
      </c>
      <c r="G514">
        <v>1300.0240478999999</v>
      </c>
      <c r="H514">
        <v>1287.7349853999999</v>
      </c>
      <c r="I514">
        <v>1406.6743164</v>
      </c>
      <c r="J514">
        <v>1386.6058350000001</v>
      </c>
      <c r="K514">
        <v>80</v>
      </c>
      <c r="L514">
        <v>77.737998962000006</v>
      </c>
      <c r="M514">
        <v>50</v>
      </c>
      <c r="N514">
        <v>49.909770966000004</v>
      </c>
    </row>
    <row r="515" spans="1:14" x14ac:dyDescent="0.25">
      <c r="A515">
        <v>192.07127399999999</v>
      </c>
      <c r="B515" s="1">
        <f>DATE(2010,11,9) + TIME(1,42,38)</f>
        <v>40491.071273148147</v>
      </c>
      <c r="C515">
        <v>0</v>
      </c>
      <c r="D515">
        <v>2400</v>
      </c>
      <c r="E515">
        <v>2400</v>
      </c>
      <c r="F515">
        <v>0</v>
      </c>
      <c r="G515">
        <v>1300.0065918</v>
      </c>
      <c r="H515">
        <v>1287.7142334</v>
      </c>
      <c r="I515">
        <v>1406.4935303</v>
      </c>
      <c r="J515">
        <v>1386.4309082</v>
      </c>
      <c r="K515">
        <v>80</v>
      </c>
      <c r="L515">
        <v>77.658187866000006</v>
      </c>
      <c r="M515">
        <v>50</v>
      </c>
      <c r="N515">
        <v>49.912658690999997</v>
      </c>
    </row>
    <row r="516" spans="1:14" x14ac:dyDescent="0.25">
      <c r="A516">
        <v>192.43718699999999</v>
      </c>
      <c r="B516" s="1">
        <f>DATE(2010,11,9) + TIME(10,29,32)</f>
        <v>40491.437175925923</v>
      </c>
      <c r="C516">
        <v>0</v>
      </c>
      <c r="D516">
        <v>2400</v>
      </c>
      <c r="E516">
        <v>2400</v>
      </c>
      <c r="F516">
        <v>0</v>
      </c>
      <c r="G516">
        <v>1299.9881591999999</v>
      </c>
      <c r="H516">
        <v>1287.6925048999999</v>
      </c>
      <c r="I516">
        <v>1406.3118896000001</v>
      </c>
      <c r="J516">
        <v>1386.2550048999999</v>
      </c>
      <c r="K516">
        <v>80</v>
      </c>
      <c r="L516">
        <v>77.574920653999996</v>
      </c>
      <c r="M516">
        <v>50</v>
      </c>
      <c r="N516">
        <v>49.914966583000002</v>
      </c>
    </row>
    <row r="517" spans="1:14" x14ac:dyDescent="0.25">
      <c r="A517">
        <v>192.82263399999999</v>
      </c>
      <c r="B517" s="1">
        <f>DATE(2010,11,9) + TIME(19,44,35)</f>
        <v>40491.822627314818</v>
      </c>
      <c r="C517">
        <v>0</v>
      </c>
      <c r="D517">
        <v>2400</v>
      </c>
      <c r="E517">
        <v>2400</v>
      </c>
      <c r="F517">
        <v>0</v>
      </c>
      <c r="G517">
        <v>1299.9686279</v>
      </c>
      <c r="H517">
        <v>1287.6694336</v>
      </c>
      <c r="I517">
        <v>1406.1282959</v>
      </c>
      <c r="J517">
        <v>1386.0772704999999</v>
      </c>
      <c r="K517">
        <v>80</v>
      </c>
      <c r="L517">
        <v>77.488189696999996</v>
      </c>
      <c r="M517">
        <v>50</v>
      </c>
      <c r="N517">
        <v>49.916805267000001</v>
      </c>
    </row>
    <row r="518" spans="1:14" x14ac:dyDescent="0.25">
      <c r="A518">
        <v>193.21821499999999</v>
      </c>
      <c r="B518" s="1">
        <f>DATE(2010,11,10) + TIME(5,14,13)</f>
        <v>40492.218206018515</v>
      </c>
      <c r="C518">
        <v>0</v>
      </c>
      <c r="D518">
        <v>2400</v>
      </c>
      <c r="E518">
        <v>2400</v>
      </c>
      <c r="F518">
        <v>0</v>
      </c>
      <c r="G518">
        <v>1299.947876</v>
      </c>
      <c r="H518">
        <v>1287.6451416</v>
      </c>
      <c r="I518">
        <v>1405.9434814000001</v>
      </c>
      <c r="J518">
        <v>1385.8985596</v>
      </c>
      <c r="K518">
        <v>80</v>
      </c>
      <c r="L518">
        <v>77.399398804</v>
      </c>
      <c r="M518">
        <v>50</v>
      </c>
      <c r="N518">
        <v>49.918251038000001</v>
      </c>
    </row>
    <row r="519" spans="1:14" x14ac:dyDescent="0.25">
      <c r="A519">
        <v>193.61634900000001</v>
      </c>
      <c r="B519" s="1">
        <f>DATE(2010,11,10) + TIME(14,47,32)</f>
        <v>40492.616342592592</v>
      </c>
      <c r="C519">
        <v>0</v>
      </c>
      <c r="D519">
        <v>2400</v>
      </c>
      <c r="E519">
        <v>2400</v>
      </c>
      <c r="F519">
        <v>0</v>
      </c>
      <c r="G519">
        <v>1299.9265137</v>
      </c>
      <c r="H519">
        <v>1287.6201172000001</v>
      </c>
      <c r="I519">
        <v>1405.7623291</v>
      </c>
      <c r="J519">
        <v>1385.7232666</v>
      </c>
      <c r="K519">
        <v>80</v>
      </c>
      <c r="L519">
        <v>77.309890746999997</v>
      </c>
      <c r="M519">
        <v>50</v>
      </c>
      <c r="N519">
        <v>49.919380187999998</v>
      </c>
    </row>
    <row r="520" spans="1:14" x14ac:dyDescent="0.25">
      <c r="A520">
        <v>194.01871199999999</v>
      </c>
      <c r="B520" s="1">
        <f>DATE(2010,11,11) + TIME(0,26,56)</f>
        <v>40493.018703703703</v>
      </c>
      <c r="C520">
        <v>0</v>
      </c>
      <c r="D520">
        <v>2400</v>
      </c>
      <c r="E520">
        <v>2400</v>
      </c>
      <c r="F520">
        <v>0</v>
      </c>
      <c r="G520">
        <v>1299.9049072</v>
      </c>
      <c r="H520">
        <v>1287.5948486</v>
      </c>
      <c r="I520">
        <v>1405.5878906</v>
      </c>
      <c r="J520">
        <v>1385.5548096</v>
      </c>
      <c r="K520">
        <v>80</v>
      </c>
      <c r="L520">
        <v>77.219711304</v>
      </c>
      <c r="M520">
        <v>50</v>
      </c>
      <c r="N520">
        <v>49.920276641999997</v>
      </c>
    </row>
    <row r="521" spans="1:14" x14ac:dyDescent="0.25">
      <c r="A521">
        <v>194.426942</v>
      </c>
      <c r="B521" s="1">
        <f>DATE(2010,11,11) + TIME(10,14,47)</f>
        <v>40493.426932870374</v>
      </c>
      <c r="C521">
        <v>0</v>
      </c>
      <c r="D521">
        <v>2400</v>
      </c>
      <c r="E521">
        <v>2400</v>
      </c>
      <c r="F521">
        <v>0</v>
      </c>
      <c r="G521">
        <v>1299.8830565999999</v>
      </c>
      <c r="H521">
        <v>1287.5692139</v>
      </c>
      <c r="I521">
        <v>1405.4191894999999</v>
      </c>
      <c r="J521">
        <v>1385.3918457</v>
      </c>
      <c r="K521">
        <v>80</v>
      </c>
      <c r="L521">
        <v>77.128776549999998</v>
      </c>
      <c r="M521">
        <v>50</v>
      </c>
      <c r="N521">
        <v>49.920997620000001</v>
      </c>
    </row>
    <row r="522" spans="1:14" x14ac:dyDescent="0.25">
      <c r="A522">
        <v>194.842769</v>
      </c>
      <c r="B522" s="1">
        <f>DATE(2010,11,11) + TIME(20,13,35)</f>
        <v>40493.842766203707</v>
      </c>
      <c r="C522">
        <v>0</v>
      </c>
      <c r="D522">
        <v>2400</v>
      </c>
      <c r="E522">
        <v>2400</v>
      </c>
      <c r="F522">
        <v>0</v>
      </c>
      <c r="G522">
        <v>1299.8608397999999</v>
      </c>
      <c r="H522">
        <v>1287.5432129000001</v>
      </c>
      <c r="I522">
        <v>1405.2550048999999</v>
      </c>
      <c r="J522">
        <v>1385.2333983999999</v>
      </c>
      <c r="K522">
        <v>80</v>
      </c>
      <c r="L522">
        <v>77.036926269999995</v>
      </c>
      <c r="M522">
        <v>50</v>
      </c>
      <c r="N522">
        <v>49.921592711999999</v>
      </c>
    </row>
    <row r="523" spans="1:14" x14ac:dyDescent="0.25">
      <c r="A523">
        <v>195.26762199999999</v>
      </c>
      <c r="B523" s="1">
        <f>DATE(2010,11,12) + TIME(6,25,22)</f>
        <v>40494.26761574074</v>
      </c>
      <c r="C523">
        <v>0</v>
      </c>
      <c r="D523">
        <v>2400</v>
      </c>
      <c r="E523">
        <v>2400</v>
      </c>
      <c r="F523">
        <v>0</v>
      </c>
      <c r="G523">
        <v>1299.8382568</v>
      </c>
      <c r="H523">
        <v>1287.5166016000001</v>
      </c>
      <c r="I523">
        <v>1405.0947266000001</v>
      </c>
      <c r="J523">
        <v>1385.0787353999999</v>
      </c>
      <c r="K523">
        <v>80</v>
      </c>
      <c r="L523">
        <v>76.943977356000005</v>
      </c>
      <c r="M523">
        <v>50</v>
      </c>
      <c r="N523">
        <v>49.922088623</v>
      </c>
    </row>
    <row r="524" spans="1:14" x14ac:dyDescent="0.25">
      <c r="A524">
        <v>195.703204</v>
      </c>
      <c r="B524" s="1">
        <f>DATE(2010,11,12) + TIME(16,52,36)</f>
        <v>40494.703194444446</v>
      </c>
      <c r="C524">
        <v>0</v>
      </c>
      <c r="D524">
        <v>2400</v>
      </c>
      <c r="E524">
        <v>2400</v>
      </c>
      <c r="F524">
        <v>0</v>
      </c>
      <c r="G524">
        <v>1299.8150635</v>
      </c>
      <c r="H524">
        <v>1287.4893798999999</v>
      </c>
      <c r="I524">
        <v>1404.9373779</v>
      </c>
      <c r="J524">
        <v>1384.927124</v>
      </c>
      <c r="K524">
        <v>80</v>
      </c>
      <c r="L524">
        <v>76.849693298000005</v>
      </c>
      <c r="M524">
        <v>50</v>
      </c>
      <c r="N524">
        <v>49.922504425</v>
      </c>
    </row>
    <row r="525" spans="1:14" x14ac:dyDescent="0.25">
      <c r="A525">
        <v>196.151476</v>
      </c>
      <c r="B525" s="1">
        <f>DATE(2010,11,13) + TIME(3,38,7)</f>
        <v>40495.151469907411</v>
      </c>
      <c r="C525">
        <v>0</v>
      </c>
      <c r="D525">
        <v>2400</v>
      </c>
      <c r="E525">
        <v>2400</v>
      </c>
      <c r="F525">
        <v>0</v>
      </c>
      <c r="G525">
        <v>1299.7911377</v>
      </c>
      <c r="H525">
        <v>1287.4613036999999</v>
      </c>
      <c r="I525">
        <v>1404.7823486</v>
      </c>
      <c r="J525">
        <v>1384.777832</v>
      </c>
      <c r="K525">
        <v>80</v>
      </c>
      <c r="L525">
        <v>76.753768921000002</v>
      </c>
      <c r="M525">
        <v>50</v>
      </c>
      <c r="N525">
        <v>49.922859191999997</v>
      </c>
    </row>
    <row r="526" spans="1:14" x14ac:dyDescent="0.25">
      <c r="A526">
        <v>196.61494300000001</v>
      </c>
      <c r="B526" s="1">
        <f>DATE(2010,11,13) + TIME(14,45,31)</f>
        <v>40495.614942129629</v>
      </c>
      <c r="C526">
        <v>0</v>
      </c>
      <c r="D526">
        <v>2400</v>
      </c>
      <c r="E526">
        <v>2400</v>
      </c>
      <c r="F526">
        <v>0</v>
      </c>
      <c r="G526">
        <v>1299.7666016000001</v>
      </c>
      <c r="H526">
        <v>1287.4323730000001</v>
      </c>
      <c r="I526">
        <v>1404.6290283000001</v>
      </c>
      <c r="J526">
        <v>1384.6303711</v>
      </c>
      <c r="K526">
        <v>80</v>
      </c>
      <c r="L526">
        <v>76.655830382999994</v>
      </c>
      <c r="M526">
        <v>50</v>
      </c>
      <c r="N526">
        <v>49.923168181999998</v>
      </c>
    </row>
    <row r="527" spans="1:14" x14ac:dyDescent="0.25">
      <c r="A527">
        <v>197.09641300000001</v>
      </c>
      <c r="B527" s="1">
        <f>DATE(2010,11,14) + TIME(2,18,50)</f>
        <v>40496.096412037034</v>
      </c>
      <c r="C527">
        <v>0</v>
      </c>
      <c r="D527">
        <v>2400</v>
      </c>
      <c r="E527">
        <v>2400</v>
      </c>
      <c r="F527">
        <v>0</v>
      </c>
      <c r="G527">
        <v>1299.7410889</v>
      </c>
      <c r="H527">
        <v>1287.4024658000001</v>
      </c>
      <c r="I527">
        <v>1404.4768065999999</v>
      </c>
      <c r="J527">
        <v>1384.4838867000001</v>
      </c>
      <c r="K527">
        <v>80</v>
      </c>
      <c r="L527">
        <v>76.555427550999994</v>
      </c>
      <c r="M527">
        <v>50</v>
      </c>
      <c r="N527">
        <v>49.923439025999997</v>
      </c>
    </row>
    <row r="528" spans="1:14" x14ac:dyDescent="0.25">
      <c r="A528">
        <v>197.599119</v>
      </c>
      <c r="B528" s="1">
        <f>DATE(2010,11,14) + TIME(14,22,43)</f>
        <v>40496.599108796298</v>
      </c>
      <c r="C528">
        <v>0</v>
      </c>
      <c r="D528">
        <v>2400</v>
      </c>
      <c r="E528">
        <v>2400</v>
      </c>
      <c r="F528">
        <v>0</v>
      </c>
      <c r="G528">
        <v>1299.7144774999999</v>
      </c>
      <c r="H528">
        <v>1287.3712158000001</v>
      </c>
      <c r="I528">
        <v>1404.3245850000001</v>
      </c>
      <c r="J528">
        <v>1384.3377685999999</v>
      </c>
      <c r="K528">
        <v>80</v>
      </c>
      <c r="L528">
        <v>76.452064514</v>
      </c>
      <c r="M528">
        <v>50</v>
      </c>
      <c r="N528">
        <v>49.923679352000001</v>
      </c>
    </row>
    <row r="529" spans="1:14" x14ac:dyDescent="0.25">
      <c r="A529">
        <v>198.12684999999999</v>
      </c>
      <c r="B529" s="1">
        <f>DATE(2010,11,15) + TIME(3,2,39)</f>
        <v>40497.126840277779</v>
      </c>
      <c r="C529">
        <v>0</v>
      </c>
      <c r="D529">
        <v>2400</v>
      </c>
      <c r="E529">
        <v>2400</v>
      </c>
      <c r="F529">
        <v>0</v>
      </c>
      <c r="G529">
        <v>1299.6866454999999</v>
      </c>
      <c r="H529">
        <v>1287.338501</v>
      </c>
      <c r="I529">
        <v>1404.1719971</v>
      </c>
      <c r="J529">
        <v>1384.1912841999999</v>
      </c>
      <c r="K529">
        <v>80</v>
      </c>
      <c r="L529">
        <v>76.345153808999996</v>
      </c>
      <c r="M529">
        <v>50</v>
      </c>
      <c r="N529">
        <v>49.923896790000001</v>
      </c>
    </row>
    <row r="530" spans="1:14" x14ac:dyDescent="0.25">
      <c r="A530">
        <v>198.66918699999999</v>
      </c>
      <c r="B530" s="1">
        <f>DATE(2010,11,15) + TIME(16,3,37)</f>
        <v>40497.669178240743</v>
      </c>
      <c r="C530">
        <v>0</v>
      </c>
      <c r="D530">
        <v>2400</v>
      </c>
      <c r="E530">
        <v>2400</v>
      </c>
      <c r="F530">
        <v>0</v>
      </c>
      <c r="G530">
        <v>1299.6572266000001</v>
      </c>
      <c r="H530">
        <v>1287.3040771000001</v>
      </c>
      <c r="I530">
        <v>1404.0180664</v>
      </c>
      <c r="J530">
        <v>1384.0435791</v>
      </c>
      <c r="K530">
        <v>80</v>
      </c>
      <c r="L530">
        <v>76.235855103000006</v>
      </c>
      <c r="M530">
        <v>50</v>
      </c>
      <c r="N530">
        <v>49.924087524000001</v>
      </c>
    </row>
    <row r="531" spans="1:14" x14ac:dyDescent="0.25">
      <c r="A531">
        <v>199.214653</v>
      </c>
      <c r="B531" s="1">
        <f>DATE(2010,11,16) + TIME(5,9,6)</f>
        <v>40498.21465277778</v>
      </c>
      <c r="C531">
        <v>0</v>
      </c>
      <c r="D531">
        <v>2400</v>
      </c>
      <c r="E531">
        <v>2400</v>
      </c>
      <c r="F531">
        <v>0</v>
      </c>
      <c r="G531">
        <v>1299.6267089999999</v>
      </c>
      <c r="H531">
        <v>1287.2686768000001</v>
      </c>
      <c r="I531">
        <v>1403.8659668</v>
      </c>
      <c r="J531">
        <v>1383.8978271000001</v>
      </c>
      <c r="K531">
        <v>80</v>
      </c>
      <c r="L531">
        <v>76.125801085999996</v>
      </c>
      <c r="M531">
        <v>50</v>
      </c>
      <c r="N531">
        <v>49.924259186</v>
      </c>
    </row>
    <row r="532" spans="1:14" x14ac:dyDescent="0.25">
      <c r="A532">
        <v>199.765467</v>
      </c>
      <c r="B532" s="1">
        <f>DATE(2010,11,16) + TIME(18,22,16)</f>
        <v>40498.765462962961</v>
      </c>
      <c r="C532">
        <v>0</v>
      </c>
      <c r="D532">
        <v>2400</v>
      </c>
      <c r="E532">
        <v>2400</v>
      </c>
      <c r="F532">
        <v>0</v>
      </c>
      <c r="G532">
        <v>1299.5959473</v>
      </c>
      <c r="H532">
        <v>1287.2327881000001</v>
      </c>
      <c r="I532">
        <v>1403.7191161999999</v>
      </c>
      <c r="J532">
        <v>1383.7570800999999</v>
      </c>
      <c r="K532">
        <v>80</v>
      </c>
      <c r="L532">
        <v>76.015213012999993</v>
      </c>
      <c r="M532">
        <v>50</v>
      </c>
      <c r="N532">
        <v>49.924411773999999</v>
      </c>
    </row>
    <row r="533" spans="1:14" x14ac:dyDescent="0.25">
      <c r="A533">
        <v>200.32402500000001</v>
      </c>
      <c r="B533" s="1">
        <f>DATE(2010,11,17) + TIME(7,46,35)</f>
        <v>40499.324016203704</v>
      </c>
      <c r="C533">
        <v>0</v>
      </c>
      <c r="D533">
        <v>2400</v>
      </c>
      <c r="E533">
        <v>2400</v>
      </c>
      <c r="F533">
        <v>0</v>
      </c>
      <c r="G533">
        <v>1299.5648193</v>
      </c>
      <c r="H533">
        <v>1287.1962891000001</v>
      </c>
      <c r="I533">
        <v>1403.5762939000001</v>
      </c>
      <c r="J533">
        <v>1383.6204834</v>
      </c>
      <c r="K533">
        <v>80</v>
      </c>
      <c r="L533">
        <v>75.904029846</v>
      </c>
      <c r="M533">
        <v>50</v>
      </c>
      <c r="N533">
        <v>49.924549102999997</v>
      </c>
    </row>
    <row r="534" spans="1:14" x14ac:dyDescent="0.25">
      <c r="A534">
        <v>200.892449</v>
      </c>
      <c r="B534" s="1">
        <f>DATE(2010,11,17) + TIME(21,25,7)</f>
        <v>40499.892442129632</v>
      </c>
      <c r="C534">
        <v>0</v>
      </c>
      <c r="D534">
        <v>2400</v>
      </c>
      <c r="E534">
        <v>2400</v>
      </c>
      <c r="F534">
        <v>0</v>
      </c>
      <c r="G534">
        <v>1299.5330810999999</v>
      </c>
      <c r="H534">
        <v>1287.1591797000001</v>
      </c>
      <c r="I534">
        <v>1403.4368896000001</v>
      </c>
      <c r="J534">
        <v>1383.4871826000001</v>
      </c>
      <c r="K534">
        <v>80</v>
      </c>
      <c r="L534">
        <v>75.792083739999995</v>
      </c>
      <c r="M534">
        <v>50</v>
      </c>
      <c r="N534">
        <v>49.924682617000002</v>
      </c>
    </row>
    <row r="535" spans="1:14" x14ac:dyDescent="0.25">
      <c r="A535">
        <v>201.472961</v>
      </c>
      <c r="B535" s="1">
        <f>DATE(2010,11,18) + TIME(11,21,3)</f>
        <v>40500.472951388889</v>
      </c>
      <c r="C535">
        <v>0</v>
      </c>
      <c r="D535">
        <v>2400</v>
      </c>
      <c r="E535">
        <v>2400</v>
      </c>
      <c r="F535">
        <v>0</v>
      </c>
      <c r="G535">
        <v>1299.5007324000001</v>
      </c>
      <c r="H535">
        <v>1287.1210937999999</v>
      </c>
      <c r="I535">
        <v>1403.300293</v>
      </c>
      <c r="J535">
        <v>1383.3566894999999</v>
      </c>
      <c r="K535">
        <v>80</v>
      </c>
      <c r="L535">
        <v>75.679122925000001</v>
      </c>
      <c r="M535">
        <v>50</v>
      </c>
      <c r="N535">
        <v>49.924804688000002</v>
      </c>
    </row>
    <row r="536" spans="1:14" x14ac:dyDescent="0.25">
      <c r="A536">
        <v>202.06750199999999</v>
      </c>
      <c r="B536" s="1">
        <f>DATE(2010,11,19) + TIME(1,37,12)</f>
        <v>40501.067499999997</v>
      </c>
      <c r="C536">
        <v>0</v>
      </c>
      <c r="D536">
        <v>2400</v>
      </c>
      <c r="E536">
        <v>2400</v>
      </c>
      <c r="F536">
        <v>0</v>
      </c>
      <c r="G536">
        <v>1299.4674072</v>
      </c>
      <c r="H536">
        <v>1287.0821533000001</v>
      </c>
      <c r="I536">
        <v>1403.1657714999999</v>
      </c>
      <c r="J536">
        <v>1383.2281493999999</v>
      </c>
      <c r="K536">
        <v>80</v>
      </c>
      <c r="L536">
        <v>75.564887999999996</v>
      </c>
      <c r="M536">
        <v>50</v>
      </c>
      <c r="N536">
        <v>49.924922942999999</v>
      </c>
    </row>
    <row r="537" spans="1:14" x14ac:dyDescent="0.25">
      <c r="A537">
        <v>202.67854700000001</v>
      </c>
      <c r="B537" s="1">
        <f>DATE(2010,11,19) + TIME(16,17,6)</f>
        <v>40501.678541666668</v>
      </c>
      <c r="C537">
        <v>0</v>
      </c>
      <c r="D537">
        <v>2400</v>
      </c>
      <c r="E537">
        <v>2400</v>
      </c>
      <c r="F537">
        <v>0</v>
      </c>
      <c r="G537">
        <v>1299.4332274999999</v>
      </c>
      <c r="H537">
        <v>1287.0419922000001</v>
      </c>
      <c r="I537">
        <v>1403.0328368999999</v>
      </c>
      <c r="J537">
        <v>1383.1014404</v>
      </c>
      <c r="K537">
        <v>80</v>
      </c>
      <c r="L537">
        <v>75.449043274000005</v>
      </c>
      <c r="M537">
        <v>50</v>
      </c>
      <c r="N537">
        <v>49.925037383999999</v>
      </c>
    </row>
    <row r="538" spans="1:14" x14ac:dyDescent="0.25">
      <c r="A538">
        <v>203.30894799999999</v>
      </c>
      <c r="B538" s="1">
        <f>DATE(2010,11,20) + TIME(7,24,53)</f>
        <v>40502.308946759258</v>
      </c>
      <c r="C538">
        <v>0</v>
      </c>
      <c r="D538">
        <v>2400</v>
      </c>
      <c r="E538">
        <v>2400</v>
      </c>
      <c r="F538">
        <v>0</v>
      </c>
      <c r="G538">
        <v>1299.3978271000001</v>
      </c>
      <c r="H538">
        <v>1287.0004882999999</v>
      </c>
      <c r="I538">
        <v>1402.9011230000001</v>
      </c>
      <c r="J538">
        <v>1382.9758300999999</v>
      </c>
      <c r="K538">
        <v>80</v>
      </c>
      <c r="L538">
        <v>75.331192017000006</v>
      </c>
      <c r="M538">
        <v>50</v>
      </c>
      <c r="N538">
        <v>49.925151825</v>
      </c>
    </row>
    <row r="539" spans="1:14" x14ac:dyDescent="0.25">
      <c r="A539">
        <v>203.96192600000001</v>
      </c>
      <c r="B539" s="1">
        <f>DATE(2010,11,20) + TIME(23,5,10)</f>
        <v>40502.961921296293</v>
      </c>
      <c r="C539">
        <v>0</v>
      </c>
      <c r="D539">
        <v>2400</v>
      </c>
      <c r="E539">
        <v>2400</v>
      </c>
      <c r="F539">
        <v>0</v>
      </c>
      <c r="G539">
        <v>1299.3612060999999</v>
      </c>
      <c r="H539">
        <v>1286.9575195</v>
      </c>
      <c r="I539">
        <v>1402.7700195</v>
      </c>
      <c r="J539">
        <v>1382.8508300999999</v>
      </c>
      <c r="K539">
        <v>80</v>
      </c>
      <c r="L539">
        <v>75.210899353000002</v>
      </c>
      <c r="M539">
        <v>50</v>
      </c>
      <c r="N539">
        <v>49.925262451000002</v>
      </c>
    </row>
    <row r="540" spans="1:14" x14ac:dyDescent="0.25">
      <c r="A540">
        <v>204.64178200000001</v>
      </c>
      <c r="B540" s="1">
        <f>DATE(2010,11,21) + TIME(15,24,10)</f>
        <v>40503.641782407409</v>
      </c>
      <c r="C540">
        <v>0</v>
      </c>
      <c r="D540">
        <v>2400</v>
      </c>
      <c r="E540">
        <v>2400</v>
      </c>
      <c r="F540">
        <v>0</v>
      </c>
      <c r="G540">
        <v>1299.3229980000001</v>
      </c>
      <c r="H540">
        <v>1286.9125977000001</v>
      </c>
      <c r="I540">
        <v>1402.6390381000001</v>
      </c>
      <c r="J540">
        <v>1382.7260742000001</v>
      </c>
      <c r="K540">
        <v>80</v>
      </c>
      <c r="L540">
        <v>75.087608337000006</v>
      </c>
      <c r="M540">
        <v>50</v>
      </c>
      <c r="N540">
        <v>49.925376892000003</v>
      </c>
    </row>
    <row r="541" spans="1:14" x14ac:dyDescent="0.25">
      <c r="A541">
        <v>205.350999</v>
      </c>
      <c r="B541" s="1">
        <f>DATE(2010,11,22) + TIME(8,25,26)</f>
        <v>40504.350995370369</v>
      </c>
      <c r="C541">
        <v>0</v>
      </c>
      <c r="D541">
        <v>2400</v>
      </c>
      <c r="E541">
        <v>2400</v>
      </c>
      <c r="F541">
        <v>0</v>
      </c>
      <c r="G541">
        <v>1299.2829589999999</v>
      </c>
      <c r="H541">
        <v>1286.8656006000001</v>
      </c>
      <c r="I541">
        <v>1402.5074463000001</v>
      </c>
      <c r="J541">
        <v>1382.6009521000001</v>
      </c>
      <c r="K541">
        <v>80</v>
      </c>
      <c r="L541">
        <v>74.960914611999996</v>
      </c>
      <c r="M541">
        <v>50</v>
      </c>
      <c r="N541">
        <v>49.925491332999997</v>
      </c>
    </row>
    <row r="542" spans="1:14" x14ac:dyDescent="0.25">
      <c r="A542">
        <v>206.06290799999999</v>
      </c>
      <c r="B542" s="1">
        <f>DATE(2010,11,23) + TIME(1,30,35)</f>
        <v>40505.062905092593</v>
      </c>
      <c r="C542">
        <v>0</v>
      </c>
      <c r="D542">
        <v>2400</v>
      </c>
      <c r="E542">
        <v>2400</v>
      </c>
      <c r="F542">
        <v>0</v>
      </c>
      <c r="G542">
        <v>1299.2407227000001</v>
      </c>
      <c r="H542">
        <v>1286.8161620999999</v>
      </c>
      <c r="I542">
        <v>1402.375</v>
      </c>
      <c r="J542">
        <v>1382.4750977000001</v>
      </c>
      <c r="K542">
        <v>80</v>
      </c>
      <c r="L542">
        <v>74.833213806000003</v>
      </c>
      <c r="M542">
        <v>50</v>
      </c>
      <c r="N542">
        <v>49.925605773999997</v>
      </c>
    </row>
    <row r="543" spans="1:14" x14ac:dyDescent="0.25">
      <c r="A543">
        <v>206.780496</v>
      </c>
      <c r="B543" s="1">
        <f>DATE(2010,11,23) + TIME(18,43,54)</f>
        <v>40505.780486111114</v>
      </c>
      <c r="C543">
        <v>0</v>
      </c>
      <c r="D543">
        <v>2400</v>
      </c>
      <c r="E543">
        <v>2400</v>
      </c>
      <c r="F543">
        <v>0</v>
      </c>
      <c r="G543">
        <v>1299.1979980000001</v>
      </c>
      <c r="H543">
        <v>1286.7662353999999</v>
      </c>
      <c r="I543">
        <v>1402.2469481999999</v>
      </c>
      <c r="J543">
        <v>1382.3532714999999</v>
      </c>
      <c r="K543">
        <v>80</v>
      </c>
      <c r="L543">
        <v>74.705154418999996</v>
      </c>
      <c r="M543">
        <v>50</v>
      </c>
      <c r="N543">
        <v>49.925720214999998</v>
      </c>
    </row>
    <row r="544" spans="1:14" x14ac:dyDescent="0.25">
      <c r="A544">
        <v>207.50695300000001</v>
      </c>
      <c r="B544" s="1">
        <f>DATE(2010,11,24) + TIME(12,10,0)</f>
        <v>40506.506944444445</v>
      </c>
      <c r="C544">
        <v>0</v>
      </c>
      <c r="D544">
        <v>2400</v>
      </c>
      <c r="E544">
        <v>2400</v>
      </c>
      <c r="F544">
        <v>0</v>
      </c>
      <c r="G544">
        <v>1299.1546631000001</v>
      </c>
      <c r="H544">
        <v>1286.715332</v>
      </c>
      <c r="I544">
        <v>1402.1223144999999</v>
      </c>
      <c r="J544">
        <v>1382.2349853999999</v>
      </c>
      <c r="K544">
        <v>80</v>
      </c>
      <c r="L544">
        <v>74.576812743999994</v>
      </c>
      <c r="M544">
        <v>50</v>
      </c>
      <c r="N544">
        <v>49.925830841</v>
      </c>
    </row>
    <row r="545" spans="1:14" x14ac:dyDescent="0.25">
      <c r="A545">
        <v>208.24462500000001</v>
      </c>
      <c r="B545" s="1">
        <f>DATE(2010,11,25) + TIME(5,52,15)</f>
        <v>40507.244618055556</v>
      </c>
      <c r="C545">
        <v>0</v>
      </c>
      <c r="D545">
        <v>2400</v>
      </c>
      <c r="E545">
        <v>2400</v>
      </c>
      <c r="F545">
        <v>0</v>
      </c>
      <c r="G545">
        <v>1299.1104736</v>
      </c>
      <c r="H545">
        <v>1286.6633300999999</v>
      </c>
      <c r="I545">
        <v>1402.0004882999999</v>
      </c>
      <c r="J545">
        <v>1382.1192627</v>
      </c>
      <c r="K545">
        <v>80</v>
      </c>
      <c r="L545">
        <v>74.448059082</v>
      </c>
      <c r="M545">
        <v>50</v>
      </c>
      <c r="N545">
        <v>49.925945282000001</v>
      </c>
    </row>
    <row r="546" spans="1:14" x14ac:dyDescent="0.25">
      <c r="A546">
        <v>208.99595199999999</v>
      </c>
      <c r="B546" s="1">
        <f>DATE(2010,11,25) + TIME(23,54,10)</f>
        <v>40507.995949074073</v>
      </c>
      <c r="C546">
        <v>0</v>
      </c>
      <c r="D546">
        <v>2400</v>
      </c>
      <c r="E546">
        <v>2400</v>
      </c>
      <c r="F546">
        <v>0</v>
      </c>
      <c r="G546">
        <v>1299.0653076000001</v>
      </c>
      <c r="H546">
        <v>1286.6101074000001</v>
      </c>
      <c r="I546">
        <v>1401.8808594</v>
      </c>
      <c r="J546">
        <v>1382.0059814000001</v>
      </c>
      <c r="K546">
        <v>80</v>
      </c>
      <c r="L546">
        <v>74.318672179999993</v>
      </c>
      <c r="M546">
        <v>50</v>
      </c>
      <c r="N546">
        <v>49.926059723000002</v>
      </c>
    </row>
    <row r="547" spans="1:14" x14ac:dyDescent="0.25">
      <c r="A547">
        <v>209.76466199999999</v>
      </c>
      <c r="B547" s="1">
        <f>DATE(2010,11,26) + TIME(18,21,6)</f>
        <v>40508.764652777776</v>
      </c>
      <c r="C547">
        <v>0</v>
      </c>
      <c r="D547">
        <v>2400</v>
      </c>
      <c r="E547">
        <v>2400</v>
      </c>
      <c r="F547">
        <v>0</v>
      </c>
      <c r="G547">
        <v>1299.019043</v>
      </c>
      <c r="H547">
        <v>1286.5554199000001</v>
      </c>
      <c r="I547">
        <v>1401.7631836</v>
      </c>
      <c r="J547">
        <v>1381.8944091999999</v>
      </c>
      <c r="K547">
        <v>80</v>
      </c>
      <c r="L547">
        <v>74.188240050999994</v>
      </c>
      <c r="M547">
        <v>50</v>
      </c>
      <c r="N547">
        <v>49.926177979000002</v>
      </c>
    </row>
    <row r="548" spans="1:14" x14ac:dyDescent="0.25">
      <c r="A548">
        <v>210.554563</v>
      </c>
      <c r="B548" s="1">
        <f>DATE(2010,11,27) + TIME(13,18,34)</f>
        <v>40509.554560185185</v>
      </c>
      <c r="C548">
        <v>0</v>
      </c>
      <c r="D548">
        <v>2400</v>
      </c>
      <c r="E548">
        <v>2400</v>
      </c>
      <c r="F548">
        <v>0</v>
      </c>
      <c r="G548">
        <v>1298.9711914</v>
      </c>
      <c r="H548">
        <v>1286.4989014</v>
      </c>
      <c r="I548">
        <v>1401.6468506000001</v>
      </c>
      <c r="J548">
        <v>1381.7840576000001</v>
      </c>
      <c r="K548">
        <v>80</v>
      </c>
      <c r="L548">
        <v>74.056289672999995</v>
      </c>
      <c r="M548">
        <v>50</v>
      </c>
      <c r="N548">
        <v>49.926296233999999</v>
      </c>
    </row>
    <row r="549" spans="1:14" x14ac:dyDescent="0.25">
      <c r="A549">
        <v>211.36892800000001</v>
      </c>
      <c r="B549" s="1">
        <f>DATE(2010,11,28) + TIME(8,51,15)</f>
        <v>40510.368923611109</v>
      </c>
      <c r="C549">
        <v>0</v>
      </c>
      <c r="D549">
        <v>2400</v>
      </c>
      <c r="E549">
        <v>2400</v>
      </c>
      <c r="F549">
        <v>0</v>
      </c>
      <c r="G549">
        <v>1298.9216309000001</v>
      </c>
      <c r="H549">
        <v>1286.4403076000001</v>
      </c>
      <c r="I549">
        <v>1401.5311279</v>
      </c>
      <c r="J549">
        <v>1381.6745605000001</v>
      </c>
      <c r="K549">
        <v>80</v>
      </c>
      <c r="L549">
        <v>73.922370911000002</v>
      </c>
      <c r="M549">
        <v>50</v>
      </c>
      <c r="N549">
        <v>49.926422119000001</v>
      </c>
    </row>
    <row r="550" spans="1:14" x14ac:dyDescent="0.25">
      <c r="A550">
        <v>212.21284900000001</v>
      </c>
      <c r="B550" s="1">
        <f>DATE(2010,11,29) + TIME(5,6,30)</f>
        <v>40511.212847222225</v>
      </c>
      <c r="C550">
        <v>0</v>
      </c>
      <c r="D550">
        <v>2400</v>
      </c>
      <c r="E550">
        <v>2400</v>
      </c>
      <c r="F550">
        <v>0</v>
      </c>
      <c r="G550">
        <v>1298.8701172000001</v>
      </c>
      <c r="H550">
        <v>1286.3793945</v>
      </c>
      <c r="I550">
        <v>1401.4157714999999</v>
      </c>
      <c r="J550">
        <v>1381.5654297000001</v>
      </c>
      <c r="K550">
        <v>80</v>
      </c>
      <c r="L550">
        <v>73.785896300999994</v>
      </c>
      <c r="M550">
        <v>50</v>
      </c>
      <c r="N550">
        <v>49.926548003999997</v>
      </c>
    </row>
    <row r="551" spans="1:14" x14ac:dyDescent="0.25">
      <c r="A551">
        <v>213.09213700000001</v>
      </c>
      <c r="B551" s="1">
        <f>DATE(2010,11,30) + TIME(2,12,40)</f>
        <v>40512.092129629629</v>
      </c>
      <c r="C551">
        <v>0</v>
      </c>
      <c r="D551">
        <v>2400</v>
      </c>
      <c r="E551">
        <v>2400</v>
      </c>
      <c r="F551">
        <v>0</v>
      </c>
      <c r="G551">
        <v>1298.8162841999999</v>
      </c>
      <c r="H551">
        <v>1286.3154297000001</v>
      </c>
      <c r="I551">
        <v>1401.300293</v>
      </c>
      <c r="J551">
        <v>1381.4561768000001</v>
      </c>
      <c r="K551">
        <v>80</v>
      </c>
      <c r="L551">
        <v>73.646186829000001</v>
      </c>
      <c r="M551">
        <v>50</v>
      </c>
      <c r="N551">
        <v>49.926681518999999</v>
      </c>
    </row>
    <row r="552" spans="1:14" x14ac:dyDescent="0.25">
      <c r="A552">
        <v>213.54606899999999</v>
      </c>
      <c r="B552" s="1">
        <f>DATE(2010,11,30) + TIME(13,6,20)</f>
        <v>40512.546064814815</v>
      </c>
      <c r="C552">
        <v>0</v>
      </c>
      <c r="D552">
        <v>2400</v>
      </c>
      <c r="E552">
        <v>2400</v>
      </c>
      <c r="F552">
        <v>0</v>
      </c>
      <c r="G552">
        <v>1298.7573242000001</v>
      </c>
      <c r="H552">
        <v>1286.2509766000001</v>
      </c>
      <c r="I552">
        <v>1401.1828613</v>
      </c>
      <c r="J552">
        <v>1381.3452147999999</v>
      </c>
      <c r="K552">
        <v>80</v>
      </c>
      <c r="L552">
        <v>73.550849915000001</v>
      </c>
      <c r="M552">
        <v>50</v>
      </c>
      <c r="N552">
        <v>49.926742554</v>
      </c>
    </row>
    <row r="553" spans="1:14" x14ac:dyDescent="0.25">
      <c r="A553">
        <v>214</v>
      </c>
      <c r="B553" s="1">
        <f>DATE(2010,12,1) + TIME(0,0,0)</f>
        <v>40513</v>
      </c>
      <c r="C553">
        <v>0</v>
      </c>
      <c r="D553">
        <v>2400</v>
      </c>
      <c r="E553">
        <v>2400</v>
      </c>
      <c r="F553">
        <v>0</v>
      </c>
      <c r="G553">
        <v>1298.7274170000001</v>
      </c>
      <c r="H553">
        <v>1286.2136230000001</v>
      </c>
      <c r="I553">
        <v>1401.1242675999999</v>
      </c>
      <c r="J553">
        <v>1381.2897949000001</v>
      </c>
      <c r="K553">
        <v>80</v>
      </c>
      <c r="L553">
        <v>73.463356017999999</v>
      </c>
      <c r="M553">
        <v>50</v>
      </c>
      <c r="N553">
        <v>49.926807404000002</v>
      </c>
    </row>
    <row r="554" spans="1:14" x14ac:dyDescent="0.25">
      <c r="A554">
        <v>214.89721</v>
      </c>
      <c r="B554" s="1">
        <f>DATE(2010,12,1) + TIME(21,31,58)</f>
        <v>40513.897199074076</v>
      </c>
      <c r="C554">
        <v>0</v>
      </c>
      <c r="D554">
        <v>2400</v>
      </c>
      <c r="E554">
        <v>2400</v>
      </c>
      <c r="F554">
        <v>0</v>
      </c>
      <c r="G554">
        <v>1298.6998291</v>
      </c>
      <c r="H554">
        <v>1286.1749268000001</v>
      </c>
      <c r="I554">
        <v>1401.067749</v>
      </c>
      <c r="J554">
        <v>1381.2364502</v>
      </c>
      <c r="K554">
        <v>80</v>
      </c>
      <c r="L554">
        <v>73.341094971000004</v>
      </c>
      <c r="M554">
        <v>50</v>
      </c>
      <c r="N554">
        <v>49.926952362000002</v>
      </c>
    </row>
    <row r="555" spans="1:14" x14ac:dyDescent="0.25">
      <c r="A555">
        <v>215.803191</v>
      </c>
      <c r="B555" s="1">
        <f>DATE(2010,12,2) + TIME(19,16,35)</f>
        <v>40514.803182870368</v>
      </c>
      <c r="C555">
        <v>0</v>
      </c>
      <c r="D555">
        <v>2400</v>
      </c>
      <c r="E555">
        <v>2400</v>
      </c>
      <c r="F555">
        <v>0</v>
      </c>
      <c r="G555">
        <v>1298.6407471</v>
      </c>
      <c r="H555">
        <v>1286.105957</v>
      </c>
      <c r="I555">
        <v>1400.9569091999999</v>
      </c>
      <c r="J555">
        <v>1381.1318358999999</v>
      </c>
      <c r="K555">
        <v>80</v>
      </c>
      <c r="L555">
        <v>73.209121703999998</v>
      </c>
      <c r="M555">
        <v>50</v>
      </c>
      <c r="N555">
        <v>49.927089690999999</v>
      </c>
    </row>
    <row r="556" spans="1:14" x14ac:dyDescent="0.25">
      <c r="A556">
        <v>216.723781</v>
      </c>
      <c r="B556" s="1">
        <f>DATE(2010,12,3) + TIME(17,22,14)</f>
        <v>40515.723773148151</v>
      </c>
      <c r="C556">
        <v>0</v>
      </c>
      <c r="D556">
        <v>2400</v>
      </c>
      <c r="E556">
        <v>2400</v>
      </c>
      <c r="F556">
        <v>0</v>
      </c>
      <c r="G556">
        <v>1298.5803223</v>
      </c>
      <c r="H556">
        <v>1286.0344238</v>
      </c>
      <c r="I556">
        <v>1400.8483887</v>
      </c>
      <c r="J556">
        <v>1381.0294189000001</v>
      </c>
      <c r="K556">
        <v>80</v>
      </c>
      <c r="L556">
        <v>73.072059631000002</v>
      </c>
      <c r="M556">
        <v>50</v>
      </c>
      <c r="N556">
        <v>49.927227019999997</v>
      </c>
    </row>
    <row r="557" spans="1:14" x14ac:dyDescent="0.25">
      <c r="A557">
        <v>217.66084900000001</v>
      </c>
      <c r="B557" s="1">
        <f>DATE(2010,12,4) + TIME(15,51,37)</f>
        <v>40516.660844907405</v>
      </c>
      <c r="C557">
        <v>0</v>
      </c>
      <c r="D557">
        <v>2400</v>
      </c>
      <c r="E557">
        <v>2400</v>
      </c>
      <c r="F557">
        <v>0</v>
      </c>
      <c r="G557">
        <v>1298.5181885</v>
      </c>
      <c r="H557">
        <v>1285.9604492000001</v>
      </c>
      <c r="I557">
        <v>1400.7416992000001</v>
      </c>
      <c r="J557">
        <v>1380.9287108999999</v>
      </c>
      <c r="K557">
        <v>80</v>
      </c>
      <c r="L557">
        <v>72.932113646999994</v>
      </c>
      <c r="M557">
        <v>50</v>
      </c>
      <c r="N557">
        <v>49.927368164000001</v>
      </c>
    </row>
    <row r="558" spans="1:14" x14ac:dyDescent="0.25">
      <c r="A558">
        <v>218.617502</v>
      </c>
      <c r="B558" s="1">
        <f>DATE(2010,12,5) + TIME(14,49,12)</f>
        <v>40517.6175</v>
      </c>
      <c r="C558">
        <v>0</v>
      </c>
      <c r="D558">
        <v>2400</v>
      </c>
      <c r="E558">
        <v>2400</v>
      </c>
      <c r="F558">
        <v>0</v>
      </c>
      <c r="G558">
        <v>1298.4541016000001</v>
      </c>
      <c r="H558">
        <v>1285.8839111</v>
      </c>
      <c r="I558">
        <v>1400.6364745999999</v>
      </c>
      <c r="J558">
        <v>1380.8295897999999</v>
      </c>
      <c r="K558">
        <v>80</v>
      </c>
      <c r="L558">
        <v>72.790161132999998</v>
      </c>
      <c r="M558">
        <v>50</v>
      </c>
      <c r="N558">
        <v>49.927509307999998</v>
      </c>
    </row>
    <row r="559" spans="1:14" x14ac:dyDescent="0.25">
      <c r="A559">
        <v>219.596992</v>
      </c>
      <c r="B559" s="1">
        <f>DATE(2010,12,6) + TIME(14,19,40)</f>
        <v>40518.596990740742</v>
      </c>
      <c r="C559">
        <v>0</v>
      </c>
      <c r="D559">
        <v>2400</v>
      </c>
      <c r="E559">
        <v>2400</v>
      </c>
      <c r="F559">
        <v>0</v>
      </c>
      <c r="G559">
        <v>1298.3879394999999</v>
      </c>
      <c r="H559">
        <v>1285.8045654</v>
      </c>
      <c r="I559">
        <v>1400.5324707</v>
      </c>
      <c r="J559">
        <v>1380.7314452999999</v>
      </c>
      <c r="K559">
        <v>80</v>
      </c>
      <c r="L559">
        <v>72.646461486999996</v>
      </c>
      <c r="M559">
        <v>50</v>
      </c>
      <c r="N559">
        <v>49.927658080999997</v>
      </c>
    </row>
    <row r="560" spans="1:14" x14ac:dyDescent="0.25">
      <c r="A560">
        <v>220.60484199999999</v>
      </c>
      <c r="B560" s="1">
        <f>DATE(2010,12,7) + TIME(14,30,58)</f>
        <v>40519.604837962965</v>
      </c>
      <c r="C560">
        <v>0</v>
      </c>
      <c r="D560">
        <v>2400</v>
      </c>
      <c r="E560">
        <v>2400</v>
      </c>
      <c r="F560">
        <v>0</v>
      </c>
      <c r="G560">
        <v>1298.3193358999999</v>
      </c>
      <c r="H560">
        <v>1285.7220459</v>
      </c>
      <c r="I560">
        <v>1400.4291992000001</v>
      </c>
      <c r="J560">
        <v>1380.6342772999999</v>
      </c>
      <c r="K560">
        <v>80</v>
      </c>
      <c r="L560">
        <v>72.500770568999997</v>
      </c>
      <c r="M560">
        <v>50</v>
      </c>
      <c r="N560">
        <v>49.927806854000004</v>
      </c>
    </row>
    <row r="561" spans="1:14" x14ac:dyDescent="0.25">
      <c r="A561">
        <v>221.647166</v>
      </c>
      <c r="B561" s="1">
        <f>DATE(2010,12,8) + TIME(15,31,55)</f>
        <v>40520.647164351853</v>
      </c>
      <c r="C561">
        <v>0</v>
      </c>
      <c r="D561">
        <v>2400</v>
      </c>
      <c r="E561">
        <v>2400</v>
      </c>
      <c r="F561">
        <v>0</v>
      </c>
      <c r="G561">
        <v>1298.2479248</v>
      </c>
      <c r="H561">
        <v>1285.6358643000001</v>
      </c>
      <c r="I561">
        <v>1400.3262939000001</v>
      </c>
      <c r="J561">
        <v>1380.5373535000001</v>
      </c>
      <c r="K561">
        <v>80</v>
      </c>
      <c r="L561">
        <v>72.352600097999996</v>
      </c>
      <c r="M561">
        <v>50</v>
      </c>
      <c r="N561">
        <v>49.927963257000002</v>
      </c>
    </row>
    <row r="562" spans="1:14" x14ac:dyDescent="0.25">
      <c r="A562">
        <v>222.71710300000001</v>
      </c>
      <c r="B562" s="1">
        <f>DATE(2010,12,9) + TIME(17,12,37)</f>
        <v>40521.717094907406</v>
      </c>
      <c r="C562">
        <v>0</v>
      </c>
      <c r="D562">
        <v>2400</v>
      </c>
      <c r="E562">
        <v>2400</v>
      </c>
      <c r="F562">
        <v>0</v>
      </c>
      <c r="G562">
        <v>1298.1729736</v>
      </c>
      <c r="H562">
        <v>1285.5454102000001</v>
      </c>
      <c r="I562">
        <v>1400.2231445</v>
      </c>
      <c r="J562">
        <v>1380.4403076000001</v>
      </c>
      <c r="K562">
        <v>80</v>
      </c>
      <c r="L562">
        <v>72.202163696</v>
      </c>
      <c r="M562">
        <v>50</v>
      </c>
      <c r="N562">
        <v>49.928123474000003</v>
      </c>
    </row>
    <row r="563" spans="1:14" x14ac:dyDescent="0.25">
      <c r="A563">
        <v>223.791293</v>
      </c>
      <c r="B563" s="1">
        <f>DATE(2010,12,10) + TIME(18,59,27)</f>
        <v>40522.791284722225</v>
      </c>
      <c r="C563">
        <v>0</v>
      </c>
      <c r="D563">
        <v>2400</v>
      </c>
      <c r="E563">
        <v>2400</v>
      </c>
      <c r="F563">
        <v>0</v>
      </c>
      <c r="G563">
        <v>1298.0948486</v>
      </c>
      <c r="H563">
        <v>1285.4510498</v>
      </c>
      <c r="I563">
        <v>1400.1206055</v>
      </c>
      <c r="J563">
        <v>1380.3438721</v>
      </c>
      <c r="K563">
        <v>80</v>
      </c>
      <c r="L563">
        <v>72.051147460999999</v>
      </c>
      <c r="M563">
        <v>50</v>
      </c>
      <c r="N563">
        <v>49.928279877000001</v>
      </c>
    </row>
    <row r="564" spans="1:14" x14ac:dyDescent="0.25">
      <c r="A564">
        <v>224.875677</v>
      </c>
      <c r="B564" s="1">
        <f>DATE(2010,12,11) + TIME(21,0,58)</f>
        <v>40523.875671296293</v>
      </c>
      <c r="C564">
        <v>0</v>
      </c>
      <c r="D564">
        <v>2400</v>
      </c>
      <c r="E564">
        <v>2400</v>
      </c>
      <c r="F564">
        <v>0</v>
      </c>
      <c r="G564">
        <v>1298.0151367000001</v>
      </c>
      <c r="H564">
        <v>1285.3543701000001</v>
      </c>
      <c r="I564">
        <v>1400.0207519999999</v>
      </c>
      <c r="J564">
        <v>1380.25</v>
      </c>
      <c r="K564">
        <v>80</v>
      </c>
      <c r="L564">
        <v>71.900253296000002</v>
      </c>
      <c r="M564">
        <v>50</v>
      </c>
      <c r="N564">
        <v>49.928440094000003</v>
      </c>
    </row>
    <row r="565" spans="1:14" x14ac:dyDescent="0.25">
      <c r="A565">
        <v>225.973703</v>
      </c>
      <c r="B565" s="1">
        <f>DATE(2010,12,12) + TIME(23,22,7)</f>
        <v>40524.973692129628</v>
      </c>
      <c r="C565">
        <v>0</v>
      </c>
      <c r="D565">
        <v>2400</v>
      </c>
      <c r="E565">
        <v>2400</v>
      </c>
      <c r="F565">
        <v>0</v>
      </c>
      <c r="G565">
        <v>1297.9335937999999</v>
      </c>
      <c r="H565">
        <v>1285.2550048999999</v>
      </c>
      <c r="I565">
        <v>1399.9230957</v>
      </c>
      <c r="J565">
        <v>1380.1582031</v>
      </c>
      <c r="K565">
        <v>80</v>
      </c>
      <c r="L565">
        <v>71.749481200999995</v>
      </c>
      <c r="M565">
        <v>50</v>
      </c>
      <c r="N565">
        <v>49.928604126000003</v>
      </c>
    </row>
    <row r="566" spans="1:14" x14ac:dyDescent="0.25">
      <c r="A566">
        <v>227.08935700000001</v>
      </c>
      <c r="B566" s="1">
        <f>DATE(2010,12,14) + TIME(2,8,40)</f>
        <v>40526.08935185185</v>
      </c>
      <c r="C566">
        <v>0</v>
      </c>
      <c r="D566">
        <v>2400</v>
      </c>
      <c r="E566">
        <v>2400</v>
      </c>
      <c r="F566">
        <v>0</v>
      </c>
      <c r="G566">
        <v>1297.8497314000001</v>
      </c>
      <c r="H566">
        <v>1285.1527100000001</v>
      </c>
      <c r="I566">
        <v>1399.8272704999999</v>
      </c>
      <c r="J566">
        <v>1380.0679932</v>
      </c>
      <c r="K566">
        <v>80</v>
      </c>
      <c r="L566">
        <v>71.598564147999994</v>
      </c>
      <c r="M566">
        <v>50</v>
      </c>
      <c r="N566">
        <v>49.928768157999997</v>
      </c>
    </row>
    <row r="567" spans="1:14" x14ac:dyDescent="0.25">
      <c r="A567">
        <v>228.22645299999999</v>
      </c>
      <c r="B567" s="1">
        <f>DATE(2010,12,15) + TIME(5,26,5)</f>
        <v>40527.226446759261</v>
      </c>
      <c r="C567">
        <v>0</v>
      </c>
      <c r="D567">
        <v>2400</v>
      </c>
      <c r="E567">
        <v>2400</v>
      </c>
      <c r="F567">
        <v>0</v>
      </c>
      <c r="G567">
        <v>1297.7633057</v>
      </c>
      <c r="H567">
        <v>1285.0467529</v>
      </c>
      <c r="I567">
        <v>1399.7326660000001</v>
      </c>
      <c r="J567">
        <v>1379.9792480000001</v>
      </c>
      <c r="K567">
        <v>80</v>
      </c>
      <c r="L567">
        <v>71.447105407999999</v>
      </c>
      <c r="M567">
        <v>50</v>
      </c>
      <c r="N567">
        <v>49.928936004999997</v>
      </c>
    </row>
    <row r="568" spans="1:14" x14ac:dyDescent="0.25">
      <c r="A568">
        <v>229.39016699999999</v>
      </c>
      <c r="B568" s="1">
        <f>DATE(2010,12,16) + TIME(9,21,50)</f>
        <v>40528.390162037038</v>
      </c>
      <c r="C568">
        <v>0</v>
      </c>
      <c r="D568">
        <v>2400</v>
      </c>
      <c r="E568">
        <v>2400</v>
      </c>
      <c r="F568">
        <v>0</v>
      </c>
      <c r="G568">
        <v>1297.6737060999999</v>
      </c>
      <c r="H568">
        <v>1284.9366454999999</v>
      </c>
      <c r="I568">
        <v>1399.6391602000001</v>
      </c>
      <c r="J568">
        <v>1379.8913574000001</v>
      </c>
      <c r="K568">
        <v>80</v>
      </c>
      <c r="L568">
        <v>71.294586182000003</v>
      </c>
      <c r="M568">
        <v>50</v>
      </c>
      <c r="N568">
        <v>49.929107666</v>
      </c>
    </row>
    <row r="569" spans="1:14" x14ac:dyDescent="0.25">
      <c r="A569">
        <v>230.58714499999999</v>
      </c>
      <c r="B569" s="1">
        <f>DATE(2010,12,17) + TIME(14,5,29)</f>
        <v>40529.587141203701</v>
      </c>
      <c r="C569">
        <v>0</v>
      </c>
      <c r="D569">
        <v>2400</v>
      </c>
      <c r="E569">
        <v>2400</v>
      </c>
      <c r="F569">
        <v>0</v>
      </c>
      <c r="G569">
        <v>1297.5805664</v>
      </c>
      <c r="H569">
        <v>1284.8218993999999</v>
      </c>
      <c r="I569">
        <v>1399.5461425999999</v>
      </c>
      <c r="J569">
        <v>1379.8041992000001</v>
      </c>
      <c r="K569">
        <v>80</v>
      </c>
      <c r="L569">
        <v>71.140350342000005</v>
      </c>
      <c r="M569">
        <v>50</v>
      </c>
      <c r="N569">
        <v>49.929283142000003</v>
      </c>
    </row>
    <row r="570" spans="1:14" x14ac:dyDescent="0.25">
      <c r="A570">
        <v>231.82478</v>
      </c>
      <c r="B570" s="1">
        <f>DATE(2010,12,18) + TIME(19,47,40)</f>
        <v>40530.82476851852</v>
      </c>
      <c r="C570">
        <v>0</v>
      </c>
      <c r="D570">
        <v>2400</v>
      </c>
      <c r="E570">
        <v>2400</v>
      </c>
      <c r="F570">
        <v>0</v>
      </c>
      <c r="G570">
        <v>1297.4831543</v>
      </c>
      <c r="H570">
        <v>1284.7016602000001</v>
      </c>
      <c r="I570">
        <v>1399.4534911999999</v>
      </c>
      <c r="J570">
        <v>1379.7171631000001</v>
      </c>
      <c r="K570">
        <v>80</v>
      </c>
      <c r="L570">
        <v>70.983650208</v>
      </c>
      <c r="M570">
        <v>50</v>
      </c>
      <c r="N570">
        <v>49.929462432999998</v>
      </c>
    </row>
    <row r="571" spans="1:14" x14ac:dyDescent="0.25">
      <c r="A571">
        <v>233.092084</v>
      </c>
      <c r="B571" s="1">
        <f>DATE(2010,12,20) + TIME(2,12,36)</f>
        <v>40532.092083333337</v>
      </c>
      <c r="C571">
        <v>0</v>
      </c>
      <c r="D571">
        <v>2400</v>
      </c>
      <c r="E571">
        <v>2400</v>
      </c>
      <c r="F571">
        <v>0</v>
      </c>
      <c r="G571">
        <v>1297.3807373</v>
      </c>
      <c r="H571">
        <v>1284.5748291</v>
      </c>
      <c r="I571">
        <v>1399.3603516000001</v>
      </c>
      <c r="J571">
        <v>1379.6297606999999</v>
      </c>
      <c r="K571">
        <v>80</v>
      </c>
      <c r="L571">
        <v>70.824615479000002</v>
      </c>
      <c r="M571">
        <v>50</v>
      </c>
      <c r="N571">
        <v>49.929649353000002</v>
      </c>
    </row>
    <row r="572" spans="1:14" x14ac:dyDescent="0.25">
      <c r="A572">
        <v>234.36596800000001</v>
      </c>
      <c r="B572" s="1">
        <f>DATE(2010,12,21) + TIME(8,46,59)</f>
        <v>40533.365960648145</v>
      </c>
      <c r="C572">
        <v>0</v>
      </c>
      <c r="D572">
        <v>2400</v>
      </c>
      <c r="E572">
        <v>2400</v>
      </c>
      <c r="F572">
        <v>0</v>
      </c>
      <c r="G572">
        <v>1297.2740478999999</v>
      </c>
      <c r="H572">
        <v>1284.4422606999999</v>
      </c>
      <c r="I572">
        <v>1399.2678223</v>
      </c>
      <c r="J572">
        <v>1379.5429687999999</v>
      </c>
      <c r="K572">
        <v>80</v>
      </c>
      <c r="L572">
        <v>70.664764403999996</v>
      </c>
      <c r="M572">
        <v>50</v>
      </c>
      <c r="N572">
        <v>49.929832458</v>
      </c>
    </row>
    <row r="573" spans="1:14" x14ac:dyDescent="0.25">
      <c r="A573">
        <v>235.65133900000001</v>
      </c>
      <c r="B573" s="1">
        <f>DATE(2010,12,22) + TIME(15,37,55)</f>
        <v>40534.651331018518</v>
      </c>
      <c r="C573">
        <v>0</v>
      </c>
      <c r="D573">
        <v>2400</v>
      </c>
      <c r="E573">
        <v>2400</v>
      </c>
      <c r="F573">
        <v>0</v>
      </c>
      <c r="G573">
        <v>1297.1645507999999</v>
      </c>
      <c r="H573">
        <v>1284.3059082</v>
      </c>
      <c r="I573">
        <v>1399.1774902</v>
      </c>
      <c r="J573">
        <v>1379.458374</v>
      </c>
      <c r="K573">
        <v>80</v>
      </c>
      <c r="L573">
        <v>70.504920959000003</v>
      </c>
      <c r="M573">
        <v>50</v>
      </c>
      <c r="N573">
        <v>49.930019379000001</v>
      </c>
    </row>
    <row r="574" spans="1:14" x14ac:dyDescent="0.25">
      <c r="A574">
        <v>236.952528</v>
      </c>
      <c r="B574" s="1">
        <f>DATE(2010,12,23) + TIME(22,51,38)</f>
        <v>40535.952523148146</v>
      </c>
      <c r="C574">
        <v>0</v>
      </c>
      <c r="D574">
        <v>2400</v>
      </c>
      <c r="E574">
        <v>2400</v>
      </c>
      <c r="F574">
        <v>0</v>
      </c>
      <c r="G574">
        <v>1297.052124</v>
      </c>
      <c r="H574">
        <v>1284.1651611</v>
      </c>
      <c r="I574">
        <v>1399.0891113</v>
      </c>
      <c r="J574">
        <v>1379.3754882999999</v>
      </c>
      <c r="K574">
        <v>80</v>
      </c>
      <c r="L574">
        <v>70.345077515</v>
      </c>
      <c r="M574">
        <v>50</v>
      </c>
      <c r="N574">
        <v>49.930206298999998</v>
      </c>
    </row>
    <row r="575" spans="1:14" x14ac:dyDescent="0.25">
      <c r="A575">
        <v>238.27461299999999</v>
      </c>
      <c r="B575" s="1">
        <f>DATE(2010,12,25) + TIME(6,35,26)</f>
        <v>40537.274606481478</v>
      </c>
      <c r="C575">
        <v>0</v>
      </c>
      <c r="D575">
        <v>2400</v>
      </c>
      <c r="E575">
        <v>2400</v>
      </c>
      <c r="F575">
        <v>0</v>
      </c>
      <c r="G575">
        <v>1296.9362793</v>
      </c>
      <c r="H575">
        <v>1284.0196533000001</v>
      </c>
      <c r="I575">
        <v>1399.0020752</v>
      </c>
      <c r="J575">
        <v>1379.2939452999999</v>
      </c>
      <c r="K575">
        <v>80</v>
      </c>
      <c r="L575">
        <v>70.184875488000003</v>
      </c>
      <c r="M575">
        <v>50</v>
      </c>
      <c r="N575">
        <v>49.930397034000002</v>
      </c>
    </row>
    <row r="576" spans="1:14" x14ac:dyDescent="0.25">
      <c r="A576">
        <v>239.62298100000001</v>
      </c>
      <c r="B576" s="1">
        <f>DATE(2010,12,26) + TIME(14,57,5)</f>
        <v>40538.622974537036</v>
      </c>
      <c r="C576">
        <v>0</v>
      </c>
      <c r="D576">
        <v>2400</v>
      </c>
      <c r="E576">
        <v>2400</v>
      </c>
      <c r="F576">
        <v>0</v>
      </c>
      <c r="G576">
        <v>1296.8162841999999</v>
      </c>
      <c r="H576">
        <v>1283.8685303</v>
      </c>
      <c r="I576">
        <v>1398.9161377</v>
      </c>
      <c r="J576">
        <v>1379.213501</v>
      </c>
      <c r="K576">
        <v>80</v>
      </c>
      <c r="L576">
        <v>70.023811339999995</v>
      </c>
      <c r="M576">
        <v>50</v>
      </c>
      <c r="N576">
        <v>49.930587768999999</v>
      </c>
    </row>
    <row r="577" spans="1:14" x14ac:dyDescent="0.25">
      <c r="A577">
        <v>241.00517400000001</v>
      </c>
      <c r="B577" s="1">
        <f>DATE(2010,12,28) + TIME(0,7,27)</f>
        <v>40540.005173611113</v>
      </c>
      <c r="C577">
        <v>0</v>
      </c>
      <c r="D577">
        <v>2400</v>
      </c>
      <c r="E577">
        <v>2400</v>
      </c>
      <c r="F577">
        <v>0</v>
      </c>
      <c r="G577">
        <v>1296.6916504000001</v>
      </c>
      <c r="H577">
        <v>1283.7109375</v>
      </c>
      <c r="I577">
        <v>1398.8310547000001</v>
      </c>
      <c r="J577">
        <v>1379.1337891000001</v>
      </c>
      <c r="K577">
        <v>80</v>
      </c>
      <c r="L577">
        <v>69.860992432000003</v>
      </c>
      <c r="M577">
        <v>50</v>
      </c>
      <c r="N577">
        <v>49.930786132999998</v>
      </c>
    </row>
    <row r="578" spans="1:14" x14ac:dyDescent="0.25">
      <c r="A578">
        <v>242.42319499999999</v>
      </c>
      <c r="B578" s="1">
        <f>DATE(2010,12,29) + TIME(10,9,24)</f>
        <v>40541.423194444447</v>
      </c>
      <c r="C578">
        <v>0</v>
      </c>
      <c r="D578">
        <v>2400</v>
      </c>
      <c r="E578">
        <v>2400</v>
      </c>
      <c r="F578">
        <v>0</v>
      </c>
      <c r="G578">
        <v>1296.5615233999999</v>
      </c>
      <c r="H578">
        <v>1283.5457764</v>
      </c>
      <c r="I578">
        <v>1398.7462158000001</v>
      </c>
      <c r="J578">
        <v>1379.0543213000001</v>
      </c>
      <c r="K578">
        <v>80</v>
      </c>
      <c r="L578">
        <v>69.695945739999999</v>
      </c>
      <c r="M578">
        <v>50</v>
      </c>
      <c r="N578">
        <v>49.930988311999997</v>
      </c>
    </row>
    <row r="579" spans="1:14" x14ac:dyDescent="0.25">
      <c r="A579">
        <v>243.88259600000001</v>
      </c>
      <c r="B579" s="1">
        <f>DATE(2010,12,30) + TIME(21,10,56)</f>
        <v>40542.882592592592</v>
      </c>
      <c r="C579">
        <v>0</v>
      </c>
      <c r="D579">
        <v>2400</v>
      </c>
      <c r="E579">
        <v>2400</v>
      </c>
      <c r="F579">
        <v>0</v>
      </c>
      <c r="G579">
        <v>1296.4254149999999</v>
      </c>
      <c r="H579">
        <v>1283.3725586</v>
      </c>
      <c r="I579">
        <v>1398.6616211</v>
      </c>
      <c r="J579">
        <v>1378.9750977000001</v>
      </c>
      <c r="K579">
        <v>80</v>
      </c>
      <c r="L579">
        <v>69.528114318999997</v>
      </c>
      <c r="M579">
        <v>50</v>
      </c>
      <c r="N579">
        <v>49.931194304999998</v>
      </c>
    </row>
    <row r="580" spans="1:14" x14ac:dyDescent="0.25">
      <c r="A580">
        <v>245</v>
      </c>
      <c r="B580" s="1">
        <f>DATE(2011,1,1) + TIME(0,0,0)</f>
        <v>40544</v>
      </c>
      <c r="C580">
        <v>0</v>
      </c>
      <c r="D580">
        <v>2400</v>
      </c>
      <c r="E580">
        <v>2400</v>
      </c>
      <c r="F580">
        <v>0</v>
      </c>
      <c r="G580">
        <v>1296.2828368999999</v>
      </c>
      <c r="H580">
        <v>1283.1937256000001</v>
      </c>
      <c r="I580">
        <v>1398.5766602000001</v>
      </c>
      <c r="J580">
        <v>1378.8955077999999</v>
      </c>
      <c r="K580">
        <v>80</v>
      </c>
      <c r="L580">
        <v>69.376716614000003</v>
      </c>
      <c r="M580">
        <v>50</v>
      </c>
      <c r="N580">
        <v>49.931346892999997</v>
      </c>
    </row>
    <row r="581" spans="1:14" x14ac:dyDescent="0.25">
      <c r="A581">
        <v>246.46936500000001</v>
      </c>
      <c r="B581" s="1">
        <f>DATE(2011,1,2) + TIME(11,15,53)</f>
        <v>40545.469363425924</v>
      </c>
      <c r="C581">
        <v>0</v>
      </c>
      <c r="D581">
        <v>2400</v>
      </c>
      <c r="E581">
        <v>2400</v>
      </c>
      <c r="F581">
        <v>0</v>
      </c>
      <c r="G581">
        <v>1296.1688231999999</v>
      </c>
      <c r="H581">
        <v>1283.0426024999999</v>
      </c>
      <c r="I581">
        <v>1398.5137939000001</v>
      </c>
      <c r="J581">
        <v>1378.8367920000001</v>
      </c>
      <c r="K581">
        <v>80</v>
      </c>
      <c r="L581">
        <v>69.220657349000007</v>
      </c>
      <c r="M581">
        <v>50</v>
      </c>
      <c r="N581">
        <v>49.931556702000002</v>
      </c>
    </row>
    <row r="582" spans="1:14" x14ac:dyDescent="0.25">
      <c r="A582">
        <v>247.963167</v>
      </c>
      <c r="B582" s="1">
        <f>DATE(2011,1,3) + TIME(23,6,57)</f>
        <v>40546.963159722225</v>
      </c>
      <c r="C582">
        <v>0</v>
      </c>
      <c r="D582">
        <v>2400</v>
      </c>
      <c r="E582">
        <v>2400</v>
      </c>
      <c r="F582">
        <v>0</v>
      </c>
      <c r="G582">
        <v>1296.020874</v>
      </c>
      <c r="H582">
        <v>1282.8536377</v>
      </c>
      <c r="I582">
        <v>1398.4328613</v>
      </c>
      <c r="J582">
        <v>1378.7609863</v>
      </c>
      <c r="K582">
        <v>80</v>
      </c>
      <c r="L582">
        <v>69.055442810000002</v>
      </c>
      <c r="M582">
        <v>50</v>
      </c>
      <c r="N582">
        <v>49.931762695000003</v>
      </c>
    </row>
    <row r="583" spans="1:14" x14ac:dyDescent="0.25">
      <c r="A583">
        <v>249.47828200000001</v>
      </c>
      <c r="B583" s="1">
        <f>DATE(2011,1,5) + TIME(11,28,43)</f>
        <v>40548.478275462963</v>
      </c>
      <c r="C583">
        <v>0</v>
      </c>
      <c r="D583">
        <v>2400</v>
      </c>
      <c r="E583">
        <v>2400</v>
      </c>
      <c r="F583">
        <v>0</v>
      </c>
      <c r="G583">
        <v>1295.8665771000001</v>
      </c>
      <c r="H583">
        <v>1282.6549072</v>
      </c>
      <c r="I583">
        <v>1398.3526611</v>
      </c>
      <c r="J583">
        <v>1378.6859131000001</v>
      </c>
      <c r="K583">
        <v>80</v>
      </c>
      <c r="L583">
        <v>68.885719299000002</v>
      </c>
      <c r="M583">
        <v>50</v>
      </c>
      <c r="N583">
        <v>49.931972504000001</v>
      </c>
    </row>
    <row r="584" spans="1:14" x14ac:dyDescent="0.25">
      <c r="A584">
        <v>251.01970800000001</v>
      </c>
      <c r="B584" s="1">
        <f>DATE(2011,1,7) + TIME(0,28,22)</f>
        <v>40550.019699074073</v>
      </c>
      <c r="C584">
        <v>0</v>
      </c>
      <c r="D584">
        <v>2400</v>
      </c>
      <c r="E584">
        <v>2400</v>
      </c>
      <c r="F584">
        <v>0</v>
      </c>
      <c r="G584">
        <v>1295.706543</v>
      </c>
      <c r="H584">
        <v>1282.4479980000001</v>
      </c>
      <c r="I584">
        <v>1398.2734375</v>
      </c>
      <c r="J584">
        <v>1378.6119385</v>
      </c>
      <c r="K584">
        <v>80</v>
      </c>
      <c r="L584">
        <v>68.713073730000005</v>
      </c>
      <c r="M584">
        <v>50</v>
      </c>
      <c r="N584">
        <v>49.932186127000001</v>
      </c>
    </row>
    <row r="585" spans="1:14" x14ac:dyDescent="0.25">
      <c r="A585">
        <v>252.592263</v>
      </c>
      <c r="B585" s="1">
        <f>DATE(2011,1,8) + TIME(14,12,51)</f>
        <v>40551.592256944445</v>
      </c>
      <c r="C585">
        <v>0</v>
      </c>
      <c r="D585">
        <v>2400</v>
      </c>
      <c r="E585">
        <v>2400</v>
      </c>
      <c r="F585">
        <v>0</v>
      </c>
      <c r="G585">
        <v>1295.5404053</v>
      </c>
      <c r="H585">
        <v>1282.2320557</v>
      </c>
      <c r="I585">
        <v>1398.1951904</v>
      </c>
      <c r="J585">
        <v>1378.5386963000001</v>
      </c>
      <c r="K585">
        <v>80</v>
      </c>
      <c r="L585">
        <v>68.537666321000003</v>
      </c>
      <c r="M585">
        <v>50</v>
      </c>
      <c r="N585">
        <v>49.932403563999998</v>
      </c>
    </row>
    <row r="586" spans="1:14" x14ac:dyDescent="0.25">
      <c r="A586">
        <v>254.20278999999999</v>
      </c>
      <c r="B586" s="1">
        <f>DATE(2011,1,10) + TIME(4,52,1)</f>
        <v>40553.202789351853</v>
      </c>
      <c r="C586">
        <v>0</v>
      </c>
      <c r="D586">
        <v>2400</v>
      </c>
      <c r="E586">
        <v>2400</v>
      </c>
      <c r="F586">
        <v>0</v>
      </c>
      <c r="G586">
        <v>1295.3675536999999</v>
      </c>
      <c r="H586">
        <v>1282.0064697</v>
      </c>
      <c r="I586">
        <v>1398.1174315999999</v>
      </c>
      <c r="J586">
        <v>1378.4659423999999</v>
      </c>
      <c r="K586">
        <v>80</v>
      </c>
      <c r="L586">
        <v>68.359054564999994</v>
      </c>
      <c r="M586">
        <v>50</v>
      </c>
      <c r="N586">
        <v>49.932624816999997</v>
      </c>
    </row>
    <row r="587" spans="1:14" x14ac:dyDescent="0.25">
      <c r="A587">
        <v>255.858845</v>
      </c>
      <c r="B587" s="1">
        <f>DATE(2011,1,11) + TIME(20,36,44)</f>
        <v>40554.858842592592</v>
      </c>
      <c r="C587">
        <v>0</v>
      </c>
      <c r="D587">
        <v>2400</v>
      </c>
      <c r="E587">
        <v>2400</v>
      </c>
      <c r="F587">
        <v>0</v>
      </c>
      <c r="G587">
        <v>1295.1867675999999</v>
      </c>
      <c r="H587">
        <v>1281.7700195</v>
      </c>
      <c r="I587">
        <v>1398.0397949000001</v>
      </c>
      <c r="J587">
        <v>1378.3934326000001</v>
      </c>
      <c r="K587">
        <v>80</v>
      </c>
      <c r="L587">
        <v>68.176429748999993</v>
      </c>
      <c r="M587">
        <v>50</v>
      </c>
      <c r="N587">
        <v>49.932849883999999</v>
      </c>
    </row>
    <row r="588" spans="1:14" x14ac:dyDescent="0.25">
      <c r="A588">
        <v>257.53248300000001</v>
      </c>
      <c r="B588" s="1">
        <f>DATE(2011,1,13) + TIME(12,46,46)</f>
        <v>40556.532476851855</v>
      </c>
      <c r="C588">
        <v>0</v>
      </c>
      <c r="D588">
        <v>2400</v>
      </c>
      <c r="E588">
        <v>2400</v>
      </c>
      <c r="F588">
        <v>0</v>
      </c>
      <c r="G588">
        <v>1294.9973144999999</v>
      </c>
      <c r="H588">
        <v>1281.5213623</v>
      </c>
      <c r="I588">
        <v>1397.9621582</v>
      </c>
      <c r="J588">
        <v>1378.3208007999999</v>
      </c>
      <c r="K588">
        <v>80</v>
      </c>
      <c r="L588">
        <v>67.990188599000007</v>
      </c>
      <c r="M588">
        <v>50</v>
      </c>
      <c r="N588">
        <v>49.933074951000002</v>
      </c>
    </row>
    <row r="589" spans="1:14" x14ac:dyDescent="0.25">
      <c r="A589">
        <v>259.21855900000003</v>
      </c>
      <c r="B589" s="1">
        <f>DATE(2011,1,15) + TIME(5,14,43)</f>
        <v>40558.218553240738</v>
      </c>
      <c r="C589">
        <v>0</v>
      </c>
      <c r="D589">
        <v>2400</v>
      </c>
      <c r="E589">
        <v>2400</v>
      </c>
      <c r="F589">
        <v>0</v>
      </c>
      <c r="G589">
        <v>1294.8016356999999</v>
      </c>
      <c r="H589">
        <v>1281.2634277</v>
      </c>
      <c r="I589">
        <v>1397.8857422000001</v>
      </c>
      <c r="J589">
        <v>1378.2493896000001</v>
      </c>
      <c r="K589">
        <v>80</v>
      </c>
      <c r="L589">
        <v>67.801452636999997</v>
      </c>
      <c r="M589">
        <v>50</v>
      </c>
      <c r="N589">
        <v>49.933300017999997</v>
      </c>
    </row>
    <row r="590" spans="1:14" x14ac:dyDescent="0.25">
      <c r="A590">
        <v>260.92302100000001</v>
      </c>
      <c r="B590" s="1">
        <f>DATE(2011,1,16) + TIME(22,9,9)</f>
        <v>40559.923020833332</v>
      </c>
      <c r="C590">
        <v>0</v>
      </c>
      <c r="D590">
        <v>2400</v>
      </c>
      <c r="E590">
        <v>2400</v>
      </c>
      <c r="F590">
        <v>0</v>
      </c>
      <c r="G590">
        <v>1294.6003418</v>
      </c>
      <c r="H590">
        <v>1280.9969481999999</v>
      </c>
      <c r="I590">
        <v>1397.8107910000001</v>
      </c>
      <c r="J590">
        <v>1378.1794434000001</v>
      </c>
      <c r="K590">
        <v>80</v>
      </c>
      <c r="L590">
        <v>67.610389709000003</v>
      </c>
      <c r="M590">
        <v>50</v>
      </c>
      <c r="N590">
        <v>49.933528899999999</v>
      </c>
    </row>
    <row r="591" spans="1:14" x14ac:dyDescent="0.25">
      <c r="A591">
        <v>262.65203500000001</v>
      </c>
      <c r="B591" s="1">
        <f>DATE(2011,1,18) + TIME(15,38,55)</f>
        <v>40561.652025462965</v>
      </c>
      <c r="C591">
        <v>0</v>
      </c>
      <c r="D591">
        <v>2400</v>
      </c>
      <c r="E591">
        <v>2400</v>
      </c>
      <c r="F591">
        <v>0</v>
      </c>
      <c r="G591">
        <v>1294.3927002</v>
      </c>
      <c r="H591">
        <v>1280.7210693</v>
      </c>
      <c r="I591">
        <v>1397.7370605000001</v>
      </c>
      <c r="J591">
        <v>1378.1104736</v>
      </c>
      <c r="K591">
        <v>80</v>
      </c>
      <c r="L591">
        <v>67.416419982999997</v>
      </c>
      <c r="M591">
        <v>50</v>
      </c>
      <c r="N591">
        <v>49.933757782000001</v>
      </c>
    </row>
    <row r="592" spans="1:14" x14ac:dyDescent="0.25">
      <c r="A592">
        <v>264.41120699999999</v>
      </c>
      <c r="B592" s="1">
        <f>DATE(2011,1,20) + TIME(9,52,8)</f>
        <v>40563.411203703705</v>
      </c>
      <c r="C592">
        <v>0</v>
      </c>
      <c r="D592">
        <v>2400</v>
      </c>
      <c r="E592">
        <v>2400</v>
      </c>
      <c r="F592">
        <v>0</v>
      </c>
      <c r="G592">
        <v>1294.1778564000001</v>
      </c>
      <c r="H592">
        <v>1280.4346923999999</v>
      </c>
      <c r="I592">
        <v>1397.6640625</v>
      </c>
      <c r="J592">
        <v>1378.0422363</v>
      </c>
      <c r="K592">
        <v>80</v>
      </c>
      <c r="L592">
        <v>67.218711853000002</v>
      </c>
      <c r="M592">
        <v>50</v>
      </c>
      <c r="N592">
        <v>49.933990479000002</v>
      </c>
    </row>
    <row r="593" spans="1:14" x14ac:dyDescent="0.25">
      <c r="A593">
        <v>266.20864599999999</v>
      </c>
      <c r="B593" s="1">
        <f>DATE(2011,1,22) + TIME(5,0,27)</f>
        <v>40565.208645833336</v>
      </c>
      <c r="C593">
        <v>0</v>
      </c>
      <c r="D593">
        <v>2400</v>
      </c>
      <c r="E593">
        <v>2400</v>
      </c>
      <c r="F593">
        <v>0</v>
      </c>
      <c r="G593">
        <v>1293.9550781</v>
      </c>
      <c r="H593">
        <v>1280.1364745999999</v>
      </c>
      <c r="I593">
        <v>1397.5916748</v>
      </c>
      <c r="J593">
        <v>1377.9746094</v>
      </c>
      <c r="K593">
        <v>80</v>
      </c>
      <c r="L593">
        <v>67.016235351999995</v>
      </c>
      <c r="M593">
        <v>50</v>
      </c>
      <c r="N593">
        <v>49.934226989999999</v>
      </c>
    </row>
    <row r="594" spans="1:14" x14ac:dyDescent="0.25">
      <c r="A594">
        <v>268.05111299999999</v>
      </c>
      <c r="B594" s="1">
        <f>DATE(2011,1,24) + TIME(1,13,36)</f>
        <v>40567.051111111112</v>
      </c>
      <c r="C594">
        <v>0</v>
      </c>
      <c r="D594">
        <v>2400</v>
      </c>
      <c r="E594">
        <v>2400</v>
      </c>
      <c r="F594">
        <v>0</v>
      </c>
      <c r="G594">
        <v>1293.7230225000001</v>
      </c>
      <c r="H594">
        <v>1279.824707</v>
      </c>
      <c r="I594">
        <v>1397.5196533000001</v>
      </c>
      <c r="J594">
        <v>1377.9073486</v>
      </c>
      <c r="K594">
        <v>80</v>
      </c>
      <c r="L594">
        <v>66.807807921999995</v>
      </c>
      <c r="M594">
        <v>50</v>
      </c>
      <c r="N594">
        <v>49.934467316000003</v>
      </c>
    </row>
    <row r="595" spans="1:14" x14ac:dyDescent="0.25">
      <c r="A595">
        <v>269.94198</v>
      </c>
      <c r="B595" s="1">
        <f>DATE(2011,1,25) + TIME(22,36,27)</f>
        <v>40568.941979166666</v>
      </c>
      <c r="C595">
        <v>0</v>
      </c>
      <c r="D595">
        <v>2400</v>
      </c>
      <c r="E595">
        <v>2400</v>
      </c>
      <c r="F595">
        <v>0</v>
      </c>
      <c r="G595">
        <v>1293.4805908000001</v>
      </c>
      <c r="H595">
        <v>1279.4979248</v>
      </c>
      <c r="I595">
        <v>1397.4476318</v>
      </c>
      <c r="J595">
        <v>1377.8399658000001</v>
      </c>
      <c r="K595">
        <v>80</v>
      </c>
      <c r="L595">
        <v>66.592323303000001</v>
      </c>
      <c r="M595">
        <v>50</v>
      </c>
      <c r="N595">
        <v>49.934711456000002</v>
      </c>
    </row>
    <row r="596" spans="1:14" x14ac:dyDescent="0.25">
      <c r="A596">
        <v>271.83864299999999</v>
      </c>
      <c r="B596" s="1">
        <f>DATE(2011,1,27) + TIME(20,7,38)</f>
        <v>40570.838634259257</v>
      </c>
      <c r="C596">
        <v>0</v>
      </c>
      <c r="D596">
        <v>2400</v>
      </c>
      <c r="E596">
        <v>2400</v>
      </c>
      <c r="F596">
        <v>0</v>
      </c>
      <c r="G596">
        <v>1293.2271728999999</v>
      </c>
      <c r="H596">
        <v>1279.1553954999999</v>
      </c>
      <c r="I596">
        <v>1397.3754882999999</v>
      </c>
      <c r="J596">
        <v>1377.7727050999999</v>
      </c>
      <c r="K596">
        <v>80</v>
      </c>
      <c r="L596">
        <v>66.370483398000005</v>
      </c>
      <c r="M596">
        <v>50</v>
      </c>
      <c r="N596">
        <v>49.934951781999999</v>
      </c>
    </row>
    <row r="597" spans="1:14" x14ac:dyDescent="0.25">
      <c r="A597">
        <v>273.75177200000002</v>
      </c>
      <c r="B597" s="1">
        <f>DATE(2011,1,29) + TIME(18,2,33)</f>
        <v>40572.751770833333</v>
      </c>
      <c r="C597">
        <v>0</v>
      </c>
      <c r="D597">
        <v>2400</v>
      </c>
      <c r="E597">
        <v>2400</v>
      </c>
      <c r="F597">
        <v>0</v>
      </c>
      <c r="G597">
        <v>1292.9674072</v>
      </c>
      <c r="H597">
        <v>1278.8026123</v>
      </c>
      <c r="I597">
        <v>1397.3049315999999</v>
      </c>
      <c r="J597">
        <v>1377.7067870999999</v>
      </c>
      <c r="K597">
        <v>80</v>
      </c>
      <c r="L597">
        <v>66.143638611</v>
      </c>
      <c r="M597">
        <v>50</v>
      </c>
      <c r="N597">
        <v>49.935195923000002</v>
      </c>
    </row>
    <row r="598" spans="1:14" x14ac:dyDescent="0.25">
      <c r="A598">
        <v>275.68889200000001</v>
      </c>
      <c r="B598" s="1">
        <f>DATE(2011,1,31) + TIME(16,32,0)</f>
        <v>40574.688888888886</v>
      </c>
      <c r="C598">
        <v>0</v>
      </c>
      <c r="D598">
        <v>2400</v>
      </c>
      <c r="E598">
        <v>2400</v>
      </c>
      <c r="F598">
        <v>0</v>
      </c>
      <c r="G598">
        <v>1292.7004394999999</v>
      </c>
      <c r="H598">
        <v>1278.4385986</v>
      </c>
      <c r="I598">
        <v>1397.2354736</v>
      </c>
      <c r="J598">
        <v>1377.6418457</v>
      </c>
      <c r="K598">
        <v>80</v>
      </c>
      <c r="L598">
        <v>65.911170959000003</v>
      </c>
      <c r="M598">
        <v>50</v>
      </c>
      <c r="N598">
        <v>49.935440063000001</v>
      </c>
    </row>
    <row r="599" spans="1:14" x14ac:dyDescent="0.25">
      <c r="A599">
        <v>276</v>
      </c>
      <c r="B599" s="1">
        <f>DATE(2011,2,1) + TIME(0,0,0)</f>
        <v>40575</v>
      </c>
      <c r="C599">
        <v>0</v>
      </c>
      <c r="D599">
        <v>2400</v>
      </c>
      <c r="E599">
        <v>2400</v>
      </c>
      <c r="F599">
        <v>0</v>
      </c>
      <c r="G599">
        <v>1292.4426269999999</v>
      </c>
      <c r="H599">
        <v>1278.1206055</v>
      </c>
      <c r="I599">
        <v>1397.1656493999999</v>
      </c>
      <c r="J599">
        <v>1377.5766602000001</v>
      </c>
      <c r="K599">
        <v>80</v>
      </c>
      <c r="L599">
        <v>65.820388793999996</v>
      </c>
      <c r="M599">
        <v>50</v>
      </c>
      <c r="N599">
        <v>49.935470580999997</v>
      </c>
    </row>
    <row r="600" spans="1:14" x14ac:dyDescent="0.25">
      <c r="A600">
        <v>277.966295</v>
      </c>
      <c r="B600" s="1">
        <f>DATE(2011,2,2) + TIME(23,11,27)</f>
        <v>40576.966284722221</v>
      </c>
      <c r="C600">
        <v>0</v>
      </c>
      <c r="D600">
        <v>2400</v>
      </c>
      <c r="E600">
        <v>2400</v>
      </c>
      <c r="F600">
        <v>0</v>
      </c>
      <c r="G600">
        <v>1292.3707274999999</v>
      </c>
      <c r="H600">
        <v>1277.9813231999999</v>
      </c>
      <c r="I600">
        <v>1397.1557617000001</v>
      </c>
      <c r="J600">
        <v>1377.5675048999999</v>
      </c>
      <c r="K600">
        <v>80</v>
      </c>
      <c r="L600">
        <v>65.616828917999996</v>
      </c>
      <c r="M600">
        <v>50</v>
      </c>
      <c r="N600">
        <v>49.935726166000002</v>
      </c>
    </row>
    <row r="601" spans="1:14" x14ac:dyDescent="0.25">
      <c r="A601">
        <v>279.97552400000001</v>
      </c>
      <c r="B601" s="1">
        <f>DATE(2011,2,4) + TIME(23,24,45)</f>
        <v>40578.97552083333</v>
      </c>
      <c r="C601">
        <v>0</v>
      </c>
      <c r="D601">
        <v>2400</v>
      </c>
      <c r="E601">
        <v>2400</v>
      </c>
      <c r="F601">
        <v>0</v>
      </c>
      <c r="G601">
        <v>1292.0924072</v>
      </c>
      <c r="H601">
        <v>1277.6027832</v>
      </c>
      <c r="I601">
        <v>1397.0881348</v>
      </c>
      <c r="J601">
        <v>1377.5042725000001</v>
      </c>
      <c r="K601">
        <v>80</v>
      </c>
      <c r="L601">
        <v>65.379936217999997</v>
      </c>
      <c r="M601">
        <v>50</v>
      </c>
      <c r="N601">
        <v>49.935977936</v>
      </c>
    </row>
    <row r="602" spans="1:14" x14ac:dyDescent="0.25">
      <c r="A602">
        <v>282.028051</v>
      </c>
      <c r="B602" s="1">
        <f>DATE(2011,2,7) + TIME(0,40,23)</f>
        <v>40581.028043981481</v>
      </c>
      <c r="C602">
        <v>0</v>
      </c>
      <c r="D602">
        <v>2400</v>
      </c>
      <c r="E602">
        <v>2400</v>
      </c>
      <c r="F602">
        <v>0</v>
      </c>
      <c r="G602">
        <v>1291.7979736</v>
      </c>
      <c r="H602">
        <v>1277.197876</v>
      </c>
      <c r="I602">
        <v>1397.0203856999999</v>
      </c>
      <c r="J602">
        <v>1377.4410399999999</v>
      </c>
      <c r="K602">
        <v>80</v>
      </c>
      <c r="L602">
        <v>65.125320435000006</v>
      </c>
      <c r="M602">
        <v>50</v>
      </c>
      <c r="N602">
        <v>49.936229705999999</v>
      </c>
    </row>
    <row r="603" spans="1:14" x14ac:dyDescent="0.25">
      <c r="A603">
        <v>284.126214</v>
      </c>
      <c r="B603" s="1">
        <f>DATE(2011,2,9) + TIME(3,1,44)</f>
        <v>40583.126203703701</v>
      </c>
      <c r="C603">
        <v>0</v>
      </c>
      <c r="D603">
        <v>2400</v>
      </c>
      <c r="E603">
        <v>2400</v>
      </c>
      <c r="F603">
        <v>0</v>
      </c>
      <c r="G603">
        <v>1291.4907227000001</v>
      </c>
      <c r="H603">
        <v>1276.7727050999999</v>
      </c>
      <c r="I603">
        <v>1396.9527588000001</v>
      </c>
      <c r="J603">
        <v>1377.3779297000001</v>
      </c>
      <c r="K603">
        <v>80</v>
      </c>
      <c r="L603">
        <v>64.857315063000001</v>
      </c>
      <c r="M603">
        <v>50</v>
      </c>
      <c r="N603">
        <v>49.936489105</v>
      </c>
    </row>
    <row r="604" spans="1:14" x14ac:dyDescent="0.25">
      <c r="A604">
        <v>286.234936</v>
      </c>
      <c r="B604" s="1">
        <f>DATE(2011,2,11) + TIME(5,38,18)</f>
        <v>40585.234930555554</v>
      </c>
      <c r="C604">
        <v>0</v>
      </c>
      <c r="D604">
        <v>2400</v>
      </c>
      <c r="E604">
        <v>2400</v>
      </c>
      <c r="F604">
        <v>0</v>
      </c>
      <c r="G604">
        <v>1291.1710204999999</v>
      </c>
      <c r="H604">
        <v>1276.3288574000001</v>
      </c>
      <c r="I604">
        <v>1396.8851318</v>
      </c>
      <c r="J604">
        <v>1377.3148193</v>
      </c>
      <c r="K604">
        <v>80</v>
      </c>
      <c r="L604">
        <v>64.577934264999996</v>
      </c>
      <c r="M604">
        <v>50</v>
      </c>
      <c r="N604">
        <v>49.936744689999998</v>
      </c>
    </row>
    <row r="605" spans="1:14" x14ac:dyDescent="0.25">
      <c r="A605">
        <v>288.36390499999999</v>
      </c>
      <c r="B605" s="1">
        <f>DATE(2011,2,13) + TIME(8,44,1)</f>
        <v>40587.363900462966</v>
      </c>
      <c r="C605">
        <v>0</v>
      </c>
      <c r="D605">
        <v>2400</v>
      </c>
      <c r="E605">
        <v>2400</v>
      </c>
      <c r="F605">
        <v>0</v>
      </c>
      <c r="G605">
        <v>1290.84375</v>
      </c>
      <c r="H605">
        <v>1275.8720702999999</v>
      </c>
      <c r="I605">
        <v>1396.8187256000001</v>
      </c>
      <c r="J605">
        <v>1377.2528076000001</v>
      </c>
      <c r="K605">
        <v>80</v>
      </c>
      <c r="L605">
        <v>64.288894653</v>
      </c>
      <c r="M605">
        <v>50</v>
      </c>
      <c r="N605">
        <v>49.937000275000003</v>
      </c>
    </row>
    <row r="606" spans="1:14" x14ac:dyDescent="0.25">
      <c r="A606">
        <v>290.51671399999998</v>
      </c>
      <c r="B606" s="1">
        <f>DATE(2011,2,15) + TIME(12,24,4)</f>
        <v>40589.516712962963</v>
      </c>
      <c r="C606">
        <v>0</v>
      </c>
      <c r="D606">
        <v>2400</v>
      </c>
      <c r="E606">
        <v>2400</v>
      </c>
      <c r="F606">
        <v>0</v>
      </c>
      <c r="G606">
        <v>1290.5079346</v>
      </c>
      <c r="H606">
        <v>1275.4017334</v>
      </c>
      <c r="I606">
        <v>1396.7531738</v>
      </c>
      <c r="J606">
        <v>1377.1915283000001</v>
      </c>
      <c r="K606">
        <v>80</v>
      </c>
      <c r="L606">
        <v>63.989631653000004</v>
      </c>
      <c r="M606">
        <v>50</v>
      </c>
      <c r="N606">
        <v>49.937255858999997</v>
      </c>
    </row>
    <row r="607" spans="1:14" x14ac:dyDescent="0.25">
      <c r="A607">
        <v>292.70308199999999</v>
      </c>
      <c r="B607" s="1">
        <f>DATE(2011,2,17) + TIME(16,52,26)</f>
        <v>40591.7030787037</v>
      </c>
      <c r="C607">
        <v>0</v>
      </c>
      <c r="D607">
        <v>2400</v>
      </c>
      <c r="E607">
        <v>2400</v>
      </c>
      <c r="F607">
        <v>0</v>
      </c>
      <c r="G607">
        <v>1290.1633300999999</v>
      </c>
      <c r="H607">
        <v>1274.9168701000001</v>
      </c>
      <c r="I607">
        <v>1396.6881103999999</v>
      </c>
      <c r="J607">
        <v>1377.1308594</v>
      </c>
      <c r="K607">
        <v>80</v>
      </c>
      <c r="L607">
        <v>63.678913115999997</v>
      </c>
      <c r="M607">
        <v>50</v>
      </c>
      <c r="N607">
        <v>49.937515259000001</v>
      </c>
    </row>
    <row r="608" spans="1:14" x14ac:dyDescent="0.25">
      <c r="A608">
        <v>294.92979300000002</v>
      </c>
      <c r="B608" s="1">
        <f>DATE(2011,2,19) + TIME(22,18,54)</f>
        <v>40593.929791666669</v>
      </c>
      <c r="C608">
        <v>0</v>
      </c>
      <c r="D608">
        <v>2400</v>
      </c>
      <c r="E608">
        <v>2400</v>
      </c>
      <c r="F608">
        <v>0</v>
      </c>
      <c r="G608">
        <v>1289.8083495999999</v>
      </c>
      <c r="H608">
        <v>1274.4155272999999</v>
      </c>
      <c r="I608">
        <v>1396.6235352000001</v>
      </c>
      <c r="J608">
        <v>1377.0704346</v>
      </c>
      <c r="K608">
        <v>80</v>
      </c>
      <c r="L608">
        <v>63.354995727999999</v>
      </c>
      <c r="M608">
        <v>50</v>
      </c>
      <c r="N608">
        <v>49.937778473000002</v>
      </c>
    </row>
    <row r="609" spans="1:14" x14ac:dyDescent="0.25">
      <c r="A609">
        <v>297.20327200000003</v>
      </c>
      <c r="B609" s="1">
        <f>DATE(2011,2,22) + TIME(4,52,42)</f>
        <v>40596.203263888892</v>
      </c>
      <c r="C609">
        <v>0</v>
      </c>
      <c r="D609">
        <v>2400</v>
      </c>
      <c r="E609">
        <v>2400</v>
      </c>
      <c r="F609">
        <v>0</v>
      </c>
      <c r="G609">
        <v>1289.4417725000001</v>
      </c>
      <c r="H609">
        <v>1273.8959961</v>
      </c>
      <c r="I609">
        <v>1396.559082</v>
      </c>
      <c r="J609">
        <v>1377.0102539</v>
      </c>
      <c r="K609">
        <v>80</v>
      </c>
      <c r="L609">
        <v>63.016109467</v>
      </c>
      <c r="M609">
        <v>50</v>
      </c>
      <c r="N609">
        <v>49.938041687000002</v>
      </c>
    </row>
    <row r="610" spans="1:14" x14ac:dyDescent="0.25">
      <c r="A610">
        <v>299.52860700000002</v>
      </c>
      <c r="B610" s="1">
        <f>DATE(2011,2,24) + TIME(12,41,11)</f>
        <v>40598.528599537036</v>
      </c>
      <c r="C610">
        <v>0</v>
      </c>
      <c r="D610">
        <v>2400</v>
      </c>
      <c r="E610">
        <v>2400</v>
      </c>
      <c r="F610">
        <v>0</v>
      </c>
      <c r="G610">
        <v>1289.0626221</v>
      </c>
      <c r="H610">
        <v>1273.3563231999999</v>
      </c>
      <c r="I610">
        <v>1396.4945068</v>
      </c>
      <c r="J610">
        <v>1376.9499512</v>
      </c>
      <c r="K610">
        <v>80</v>
      </c>
      <c r="L610">
        <v>62.660453795999999</v>
      </c>
      <c r="M610">
        <v>50</v>
      </c>
      <c r="N610">
        <v>49.938308716000002</v>
      </c>
    </row>
    <row r="611" spans="1:14" x14ac:dyDescent="0.25">
      <c r="A611">
        <v>301.86907300000001</v>
      </c>
      <c r="B611" s="1">
        <f>DATE(2011,2,26) + TIME(20,51,27)</f>
        <v>40600.869062500002</v>
      </c>
      <c r="C611">
        <v>0</v>
      </c>
      <c r="D611">
        <v>2400</v>
      </c>
      <c r="E611">
        <v>2400</v>
      </c>
      <c r="F611">
        <v>0</v>
      </c>
      <c r="G611">
        <v>1288.6701660000001</v>
      </c>
      <c r="H611">
        <v>1272.7956543</v>
      </c>
      <c r="I611">
        <v>1396.4296875</v>
      </c>
      <c r="J611">
        <v>1376.8894043</v>
      </c>
      <c r="K611">
        <v>80</v>
      </c>
      <c r="L611">
        <v>62.287990569999998</v>
      </c>
      <c r="M611">
        <v>50</v>
      </c>
      <c r="N611">
        <v>49.938575745000001</v>
      </c>
    </row>
    <row r="612" spans="1:14" x14ac:dyDescent="0.25">
      <c r="A612">
        <v>304</v>
      </c>
      <c r="B612" s="1">
        <f>DATE(2011,3,1) + TIME(0,0,0)</f>
        <v>40603</v>
      </c>
      <c r="C612">
        <v>0</v>
      </c>
      <c r="D612">
        <v>2400</v>
      </c>
      <c r="E612">
        <v>2400</v>
      </c>
      <c r="F612">
        <v>0</v>
      </c>
      <c r="G612">
        <v>1288.2705077999999</v>
      </c>
      <c r="H612">
        <v>1272.2250977000001</v>
      </c>
      <c r="I612">
        <v>1396.3654785000001</v>
      </c>
      <c r="J612">
        <v>1376.8293457</v>
      </c>
      <c r="K612">
        <v>80</v>
      </c>
      <c r="L612">
        <v>61.911376953000001</v>
      </c>
      <c r="M612">
        <v>50</v>
      </c>
      <c r="N612">
        <v>49.938816070999998</v>
      </c>
    </row>
    <row r="613" spans="1:14" x14ac:dyDescent="0.25">
      <c r="A613">
        <v>306.357349</v>
      </c>
      <c r="B613" s="1">
        <f>DATE(2011,3,3) + TIME(8,34,34)</f>
        <v>40605.35733796296</v>
      </c>
      <c r="C613">
        <v>0</v>
      </c>
      <c r="D613">
        <v>2400</v>
      </c>
      <c r="E613">
        <v>2400</v>
      </c>
      <c r="F613">
        <v>0</v>
      </c>
      <c r="G613">
        <v>1287.8966064000001</v>
      </c>
      <c r="H613">
        <v>1271.6809082</v>
      </c>
      <c r="I613">
        <v>1396.3083495999999</v>
      </c>
      <c r="J613">
        <v>1376.776001</v>
      </c>
      <c r="K613">
        <v>80</v>
      </c>
      <c r="L613">
        <v>61.531753539999997</v>
      </c>
      <c r="M613">
        <v>50</v>
      </c>
      <c r="N613">
        <v>49.939083099000001</v>
      </c>
    </row>
    <row r="614" spans="1:14" x14ac:dyDescent="0.25">
      <c r="A614">
        <v>308.77558800000003</v>
      </c>
      <c r="B614" s="1">
        <f>DATE(2011,3,5) + TIME(18,36,50)</f>
        <v>40607.775578703702</v>
      </c>
      <c r="C614">
        <v>0</v>
      </c>
      <c r="D614">
        <v>2400</v>
      </c>
      <c r="E614">
        <v>2400</v>
      </c>
      <c r="F614">
        <v>0</v>
      </c>
      <c r="G614">
        <v>1287.4869385</v>
      </c>
      <c r="H614">
        <v>1271.0892334</v>
      </c>
      <c r="I614">
        <v>1396.2459716999999</v>
      </c>
      <c r="J614">
        <v>1376.7177733999999</v>
      </c>
      <c r="K614">
        <v>80</v>
      </c>
      <c r="L614">
        <v>61.122562408</v>
      </c>
      <c r="M614">
        <v>50</v>
      </c>
      <c r="N614">
        <v>49.939350128000001</v>
      </c>
    </row>
    <row r="615" spans="1:14" x14ac:dyDescent="0.25">
      <c r="A615">
        <v>311.20694200000003</v>
      </c>
      <c r="B615" s="1">
        <f>DATE(2011,3,8) + TIME(4,57,59)</f>
        <v>40610.206932870373</v>
      </c>
      <c r="C615">
        <v>0</v>
      </c>
      <c r="D615">
        <v>2400</v>
      </c>
      <c r="E615">
        <v>2400</v>
      </c>
      <c r="F615">
        <v>0</v>
      </c>
      <c r="G615">
        <v>1287.0612793</v>
      </c>
      <c r="H615">
        <v>1270.4716797000001</v>
      </c>
      <c r="I615">
        <v>1396.1831055</v>
      </c>
      <c r="J615">
        <v>1376.6589355000001</v>
      </c>
      <c r="K615">
        <v>80</v>
      </c>
      <c r="L615">
        <v>60.690849303999997</v>
      </c>
      <c r="M615">
        <v>50</v>
      </c>
      <c r="N615">
        <v>49.939617157000001</v>
      </c>
    </row>
    <row r="616" spans="1:14" x14ac:dyDescent="0.25">
      <c r="A616">
        <v>313.65626200000003</v>
      </c>
      <c r="B616" s="1">
        <f>DATE(2011,3,10) + TIME(15,45,1)</f>
        <v>40612.656261574077</v>
      </c>
      <c r="C616">
        <v>0</v>
      </c>
      <c r="D616">
        <v>2400</v>
      </c>
      <c r="E616">
        <v>2400</v>
      </c>
      <c r="F616">
        <v>0</v>
      </c>
      <c r="G616">
        <v>1286.6281738</v>
      </c>
      <c r="H616">
        <v>1269.8397216999999</v>
      </c>
      <c r="I616">
        <v>1396.1208495999999</v>
      </c>
      <c r="J616">
        <v>1376.6007079999999</v>
      </c>
      <c r="K616">
        <v>80</v>
      </c>
      <c r="L616">
        <v>60.242420197000001</v>
      </c>
      <c r="M616">
        <v>50</v>
      </c>
      <c r="N616">
        <v>49.939884186</v>
      </c>
    </row>
    <row r="617" spans="1:14" x14ac:dyDescent="0.25">
      <c r="A617">
        <v>316.120634</v>
      </c>
      <c r="B617" s="1">
        <f>DATE(2011,3,13) + TIME(2,53,42)</f>
        <v>40615.120625000003</v>
      </c>
      <c r="C617">
        <v>0</v>
      </c>
      <c r="D617">
        <v>2400</v>
      </c>
      <c r="E617">
        <v>2400</v>
      </c>
      <c r="F617">
        <v>0</v>
      </c>
      <c r="G617">
        <v>1286.1881103999999</v>
      </c>
      <c r="H617">
        <v>1269.1944579999999</v>
      </c>
      <c r="I617">
        <v>1396.059082</v>
      </c>
      <c r="J617">
        <v>1376.5429687999999</v>
      </c>
      <c r="K617">
        <v>80</v>
      </c>
      <c r="L617">
        <v>59.777736664000003</v>
      </c>
      <c r="M617">
        <v>50</v>
      </c>
      <c r="N617">
        <v>49.940151215</v>
      </c>
    </row>
    <row r="618" spans="1:14" x14ac:dyDescent="0.25">
      <c r="A618">
        <v>318.598995</v>
      </c>
      <c r="B618" s="1">
        <f>DATE(2011,3,15) + TIME(14,22,33)</f>
        <v>40617.598993055559</v>
      </c>
      <c r="C618">
        <v>0</v>
      </c>
      <c r="D618">
        <v>2400</v>
      </c>
      <c r="E618">
        <v>2400</v>
      </c>
      <c r="F618">
        <v>0</v>
      </c>
      <c r="G618">
        <v>1285.7418213000001</v>
      </c>
      <c r="H618">
        <v>1268.5372314000001</v>
      </c>
      <c r="I618">
        <v>1395.9978027</v>
      </c>
      <c r="J618">
        <v>1376.4855957</v>
      </c>
      <c r="K618">
        <v>80</v>
      </c>
      <c r="L618">
        <v>59.297245025999999</v>
      </c>
      <c r="M618">
        <v>50</v>
      </c>
      <c r="N618">
        <v>49.940414429</v>
      </c>
    </row>
    <row r="619" spans="1:14" x14ac:dyDescent="0.25">
      <c r="A619">
        <v>321.096633</v>
      </c>
      <c r="B619" s="1">
        <f>DATE(2011,3,18) + TIME(2,19,9)</f>
        <v>40620.096631944441</v>
      </c>
      <c r="C619">
        <v>0</v>
      </c>
      <c r="D619">
        <v>2400</v>
      </c>
      <c r="E619">
        <v>2400</v>
      </c>
      <c r="F619">
        <v>0</v>
      </c>
      <c r="G619">
        <v>1285.2901611</v>
      </c>
      <c r="H619">
        <v>1267.8688964999999</v>
      </c>
      <c r="I619">
        <v>1395.9370117000001</v>
      </c>
      <c r="J619">
        <v>1376.4287108999999</v>
      </c>
      <c r="K619">
        <v>80</v>
      </c>
      <c r="L619">
        <v>58.801326752000001</v>
      </c>
      <c r="M619">
        <v>50</v>
      </c>
      <c r="N619">
        <v>49.940677643000001</v>
      </c>
    </row>
    <row r="620" spans="1:14" x14ac:dyDescent="0.25">
      <c r="A620">
        <v>323.61021599999998</v>
      </c>
      <c r="B620" s="1">
        <f>DATE(2011,3,20) + TIME(14,38,42)</f>
        <v>40622.610208333332</v>
      </c>
      <c r="C620">
        <v>0</v>
      </c>
      <c r="D620">
        <v>2400</v>
      </c>
      <c r="E620">
        <v>2400</v>
      </c>
      <c r="F620">
        <v>0</v>
      </c>
      <c r="G620">
        <v>1284.8326416</v>
      </c>
      <c r="H620">
        <v>1267.1887207</v>
      </c>
      <c r="I620">
        <v>1395.8765868999999</v>
      </c>
      <c r="J620">
        <v>1376.3720702999999</v>
      </c>
      <c r="K620">
        <v>80</v>
      </c>
      <c r="L620">
        <v>58.289573668999999</v>
      </c>
      <c r="M620">
        <v>50</v>
      </c>
      <c r="N620">
        <v>49.940940857000001</v>
      </c>
    </row>
    <row r="621" spans="1:14" x14ac:dyDescent="0.25">
      <c r="A621">
        <v>326.13916</v>
      </c>
      <c r="B621" s="1">
        <f>DATE(2011,3,23) + TIME(3,20,23)</f>
        <v>40625.139155092591</v>
      </c>
      <c r="C621">
        <v>0</v>
      </c>
      <c r="D621">
        <v>2400</v>
      </c>
      <c r="E621">
        <v>2400</v>
      </c>
      <c r="F621">
        <v>0</v>
      </c>
      <c r="G621">
        <v>1284.3701172000001</v>
      </c>
      <c r="H621">
        <v>1266.4980469</v>
      </c>
      <c r="I621">
        <v>1395.8164062000001</v>
      </c>
      <c r="J621">
        <v>1376.3157959</v>
      </c>
      <c r="K621">
        <v>80</v>
      </c>
      <c r="L621">
        <v>57.762439727999997</v>
      </c>
      <c r="M621">
        <v>50</v>
      </c>
      <c r="N621">
        <v>49.941204071000001</v>
      </c>
    </row>
    <row r="622" spans="1:14" x14ac:dyDescent="0.25">
      <c r="A622">
        <v>328.68996099999998</v>
      </c>
      <c r="B622" s="1">
        <f>DATE(2011,3,25) + TIME(16,33,32)</f>
        <v>40627.689953703702</v>
      </c>
      <c r="C622">
        <v>0</v>
      </c>
      <c r="D622">
        <v>2400</v>
      </c>
      <c r="E622">
        <v>2400</v>
      </c>
      <c r="F622">
        <v>0</v>
      </c>
      <c r="G622">
        <v>1283.9030762</v>
      </c>
      <c r="H622">
        <v>1265.7971190999999</v>
      </c>
      <c r="I622">
        <v>1395.7567139</v>
      </c>
      <c r="J622">
        <v>1376.2597656</v>
      </c>
      <c r="K622">
        <v>80</v>
      </c>
      <c r="L622">
        <v>57.220050811999997</v>
      </c>
      <c r="M622">
        <v>50</v>
      </c>
      <c r="N622">
        <v>49.941467285000002</v>
      </c>
    </row>
    <row r="623" spans="1:14" x14ac:dyDescent="0.25">
      <c r="A623">
        <v>331.26213899999999</v>
      </c>
      <c r="B623" s="1">
        <f>DATE(2011,3,28) + TIME(6,17,28)</f>
        <v>40630.262129629627</v>
      </c>
      <c r="C623">
        <v>0</v>
      </c>
      <c r="D623">
        <v>2400</v>
      </c>
      <c r="E623">
        <v>2400</v>
      </c>
      <c r="F623">
        <v>0</v>
      </c>
      <c r="G623">
        <v>1283.4309082</v>
      </c>
      <c r="H623">
        <v>1265.0854492000001</v>
      </c>
      <c r="I623">
        <v>1395.6970214999999</v>
      </c>
      <c r="J623">
        <v>1376.2037353999999</v>
      </c>
      <c r="K623">
        <v>80</v>
      </c>
      <c r="L623">
        <v>56.662044524999999</v>
      </c>
      <c r="M623">
        <v>50</v>
      </c>
      <c r="N623">
        <v>49.941726684999999</v>
      </c>
    </row>
    <row r="624" spans="1:14" x14ac:dyDescent="0.25">
      <c r="A624">
        <v>333.85773599999999</v>
      </c>
      <c r="B624" s="1">
        <f>DATE(2011,3,30) + TIME(20,35,8)</f>
        <v>40632.857731481483</v>
      </c>
      <c r="C624">
        <v>0</v>
      </c>
      <c r="D624">
        <v>2400</v>
      </c>
      <c r="E624">
        <v>2400</v>
      </c>
      <c r="F624">
        <v>0</v>
      </c>
      <c r="G624">
        <v>1282.9543457</v>
      </c>
      <c r="H624">
        <v>1264.3632812000001</v>
      </c>
      <c r="I624">
        <v>1395.6374512</v>
      </c>
      <c r="J624">
        <v>1376.1478271000001</v>
      </c>
      <c r="K624">
        <v>80</v>
      </c>
      <c r="L624">
        <v>56.088657378999997</v>
      </c>
      <c r="M624">
        <v>50</v>
      </c>
      <c r="N624">
        <v>49.941989898999999</v>
      </c>
    </row>
    <row r="625" spans="1:14" x14ac:dyDescent="0.25">
      <c r="A625">
        <v>335</v>
      </c>
      <c r="B625" s="1">
        <f>DATE(2011,4,1) + TIME(0,0,0)</f>
        <v>40634</v>
      </c>
      <c r="C625">
        <v>0</v>
      </c>
      <c r="D625">
        <v>2400</v>
      </c>
      <c r="E625">
        <v>2400</v>
      </c>
      <c r="F625">
        <v>0</v>
      </c>
      <c r="G625">
        <v>1282.4822998</v>
      </c>
      <c r="H625">
        <v>1263.6879882999999</v>
      </c>
      <c r="I625">
        <v>1395.5771483999999</v>
      </c>
      <c r="J625">
        <v>1376.0911865</v>
      </c>
      <c r="K625">
        <v>80</v>
      </c>
      <c r="L625">
        <v>55.634540557999998</v>
      </c>
      <c r="M625">
        <v>50</v>
      </c>
      <c r="N625">
        <v>49.942096710000001</v>
      </c>
    </row>
    <row r="626" spans="1:14" x14ac:dyDescent="0.25">
      <c r="A626">
        <v>337.620431</v>
      </c>
      <c r="B626" s="1">
        <f>DATE(2011,4,3) + TIME(14,53,25)</f>
        <v>40636.620428240742</v>
      </c>
      <c r="C626">
        <v>0</v>
      </c>
      <c r="D626">
        <v>2400</v>
      </c>
      <c r="E626">
        <v>2400</v>
      </c>
      <c r="F626">
        <v>0</v>
      </c>
      <c r="G626">
        <v>1282.2431641000001</v>
      </c>
      <c r="H626">
        <v>1263.2619629000001</v>
      </c>
      <c r="I626">
        <v>1395.5517577999999</v>
      </c>
      <c r="J626">
        <v>1376.0673827999999</v>
      </c>
      <c r="K626">
        <v>80</v>
      </c>
      <c r="L626">
        <v>55.192005156999997</v>
      </c>
      <c r="M626">
        <v>50</v>
      </c>
      <c r="N626">
        <v>49.942363739000001</v>
      </c>
    </row>
    <row r="627" spans="1:14" x14ac:dyDescent="0.25">
      <c r="A627">
        <v>340.27940699999999</v>
      </c>
      <c r="B627" s="1">
        <f>DATE(2011,4,6) + TIME(6,42,20)</f>
        <v>40639.279398148145</v>
      </c>
      <c r="C627">
        <v>0</v>
      </c>
      <c r="D627">
        <v>2400</v>
      </c>
      <c r="E627">
        <v>2400</v>
      </c>
      <c r="F627">
        <v>0</v>
      </c>
      <c r="G627">
        <v>1281.7728271000001</v>
      </c>
      <c r="H627">
        <v>1262.5539550999999</v>
      </c>
      <c r="I627">
        <v>1395.4924315999999</v>
      </c>
      <c r="J627">
        <v>1376.0115966999999</v>
      </c>
      <c r="K627">
        <v>80</v>
      </c>
      <c r="L627">
        <v>54.618652343999997</v>
      </c>
      <c r="M627">
        <v>50</v>
      </c>
      <c r="N627">
        <v>49.942623138000002</v>
      </c>
    </row>
    <row r="628" spans="1:14" x14ac:dyDescent="0.25">
      <c r="A628">
        <v>342.96842900000001</v>
      </c>
      <c r="B628" s="1">
        <f>DATE(2011,4,8) + TIME(23,14,32)</f>
        <v>40641.968425925923</v>
      </c>
      <c r="C628">
        <v>0</v>
      </c>
      <c r="D628">
        <v>2400</v>
      </c>
      <c r="E628">
        <v>2400</v>
      </c>
      <c r="F628">
        <v>0</v>
      </c>
      <c r="G628">
        <v>1281.2857666</v>
      </c>
      <c r="H628">
        <v>1261.8066406</v>
      </c>
      <c r="I628">
        <v>1395.4326172000001</v>
      </c>
      <c r="J628">
        <v>1375.9553223</v>
      </c>
      <c r="K628">
        <v>80</v>
      </c>
      <c r="L628">
        <v>54.002708435000002</v>
      </c>
      <c r="M628">
        <v>50</v>
      </c>
      <c r="N628">
        <v>49.942882537999999</v>
      </c>
    </row>
    <row r="629" spans="1:14" x14ac:dyDescent="0.25">
      <c r="A629">
        <v>345.69125300000002</v>
      </c>
      <c r="B629" s="1">
        <f>DATE(2011,4,11) + TIME(16,35,24)</f>
        <v>40644.691250000003</v>
      </c>
      <c r="C629">
        <v>0</v>
      </c>
      <c r="D629">
        <v>2400</v>
      </c>
      <c r="E629">
        <v>2400</v>
      </c>
      <c r="F629">
        <v>0</v>
      </c>
      <c r="G629">
        <v>1280.7923584</v>
      </c>
      <c r="H629">
        <v>1261.0432129000001</v>
      </c>
      <c r="I629">
        <v>1395.3725586</v>
      </c>
      <c r="J629">
        <v>1375.8989257999999</v>
      </c>
      <c r="K629">
        <v>80</v>
      </c>
      <c r="L629">
        <v>53.366294861</v>
      </c>
      <c r="M629">
        <v>50</v>
      </c>
      <c r="N629">
        <v>49.943145752</v>
      </c>
    </row>
    <row r="630" spans="1:14" x14ac:dyDescent="0.25">
      <c r="A630">
        <v>348.445874</v>
      </c>
      <c r="B630" s="1">
        <f>DATE(2011,4,14) + TIME(10,42,3)</f>
        <v>40647.445868055554</v>
      </c>
      <c r="C630">
        <v>0</v>
      </c>
      <c r="D630">
        <v>2400</v>
      </c>
      <c r="E630">
        <v>2400</v>
      </c>
      <c r="F630">
        <v>0</v>
      </c>
      <c r="G630">
        <v>1280.2947998</v>
      </c>
      <c r="H630">
        <v>1260.2687988</v>
      </c>
      <c r="I630">
        <v>1395.3122559000001</v>
      </c>
      <c r="J630">
        <v>1375.8420410000001</v>
      </c>
      <c r="K630">
        <v>80</v>
      </c>
      <c r="L630">
        <v>52.714836120999998</v>
      </c>
      <c r="M630">
        <v>50</v>
      </c>
      <c r="N630">
        <v>49.943408966</v>
      </c>
    </row>
    <row r="631" spans="1:14" x14ac:dyDescent="0.25">
      <c r="A631">
        <v>351.23545300000001</v>
      </c>
      <c r="B631" s="1">
        <f>DATE(2011,4,17) + TIME(5,39,3)</f>
        <v>40650.235451388886</v>
      </c>
      <c r="C631">
        <v>0</v>
      </c>
      <c r="D631">
        <v>2400</v>
      </c>
      <c r="E631">
        <v>2400</v>
      </c>
      <c r="F631">
        <v>0</v>
      </c>
      <c r="G631">
        <v>1279.7945557</v>
      </c>
      <c r="H631">
        <v>1259.4858397999999</v>
      </c>
      <c r="I631">
        <v>1395.2515868999999</v>
      </c>
      <c r="J631">
        <v>1375.7847899999999</v>
      </c>
      <c r="K631">
        <v>80</v>
      </c>
      <c r="L631">
        <v>52.050579071000001</v>
      </c>
      <c r="M631">
        <v>50</v>
      </c>
      <c r="N631">
        <v>49.943668365000001</v>
      </c>
    </row>
    <row r="632" spans="1:14" x14ac:dyDescent="0.25">
      <c r="A632">
        <v>354.06710399999997</v>
      </c>
      <c r="B632" s="1">
        <f>DATE(2011,4,20) + TIME(1,36,37)</f>
        <v>40653.067094907405</v>
      </c>
      <c r="C632">
        <v>0</v>
      </c>
      <c r="D632">
        <v>2400</v>
      </c>
      <c r="E632">
        <v>2400</v>
      </c>
      <c r="F632">
        <v>0</v>
      </c>
      <c r="G632">
        <v>1279.2919922000001</v>
      </c>
      <c r="H632">
        <v>1258.6951904</v>
      </c>
      <c r="I632">
        <v>1395.1904297000001</v>
      </c>
      <c r="J632">
        <v>1375.7271728999999</v>
      </c>
      <c r="K632">
        <v>80</v>
      </c>
      <c r="L632">
        <v>51.374431610000002</v>
      </c>
      <c r="M632">
        <v>50</v>
      </c>
      <c r="N632">
        <v>49.943931579999997</v>
      </c>
    </row>
    <row r="633" spans="1:14" x14ac:dyDescent="0.25">
      <c r="A633">
        <v>356.94839899999999</v>
      </c>
      <c r="B633" s="1">
        <f>DATE(2011,4,22) + TIME(22,45,41)</f>
        <v>40655.948391203703</v>
      </c>
      <c r="C633">
        <v>0</v>
      </c>
      <c r="D633">
        <v>2400</v>
      </c>
      <c r="E633">
        <v>2400</v>
      </c>
      <c r="F633">
        <v>0</v>
      </c>
      <c r="G633">
        <v>1278.7868652</v>
      </c>
      <c r="H633">
        <v>1257.8962402</v>
      </c>
      <c r="I633">
        <v>1395.1286620999999</v>
      </c>
      <c r="J633">
        <v>1375.6688231999999</v>
      </c>
      <c r="K633">
        <v>80</v>
      </c>
      <c r="L633">
        <v>50.685958862</v>
      </c>
      <c r="M633">
        <v>50</v>
      </c>
      <c r="N633">
        <v>49.944198608000001</v>
      </c>
    </row>
    <row r="634" spans="1:14" x14ac:dyDescent="0.25">
      <c r="A634">
        <v>359.88554099999999</v>
      </c>
      <c r="B634" s="1">
        <f>DATE(2011,4,25) + TIME(21,15,10)</f>
        <v>40658.88553240741</v>
      </c>
      <c r="C634">
        <v>0</v>
      </c>
      <c r="D634">
        <v>2400</v>
      </c>
      <c r="E634">
        <v>2400</v>
      </c>
      <c r="F634">
        <v>0</v>
      </c>
      <c r="G634">
        <v>1278.2789307</v>
      </c>
      <c r="H634">
        <v>1257.0883789</v>
      </c>
      <c r="I634">
        <v>1395.0661620999999</v>
      </c>
      <c r="J634">
        <v>1375.6097411999999</v>
      </c>
      <c r="K634">
        <v>80</v>
      </c>
      <c r="L634">
        <v>49.984889983999999</v>
      </c>
      <c r="M634">
        <v>50</v>
      </c>
      <c r="N634">
        <v>49.944465637</v>
      </c>
    </row>
    <row r="635" spans="1:14" x14ac:dyDescent="0.25">
      <c r="A635">
        <v>362.88602800000001</v>
      </c>
      <c r="B635" s="1">
        <f>DATE(2011,4,28) + TIME(21,15,52)</f>
        <v>40661.886018518519</v>
      </c>
      <c r="C635">
        <v>0</v>
      </c>
      <c r="D635">
        <v>2400</v>
      </c>
      <c r="E635">
        <v>2400</v>
      </c>
      <c r="F635">
        <v>0</v>
      </c>
      <c r="G635">
        <v>1277.7681885</v>
      </c>
      <c r="H635">
        <v>1256.2713623</v>
      </c>
      <c r="I635">
        <v>1395.0026855000001</v>
      </c>
      <c r="J635">
        <v>1375.5496826000001</v>
      </c>
      <c r="K635">
        <v>80</v>
      </c>
      <c r="L635">
        <v>49.270828246999997</v>
      </c>
      <c r="M635">
        <v>50</v>
      </c>
      <c r="N635">
        <v>49.944736481</v>
      </c>
    </row>
    <row r="636" spans="1:14" x14ac:dyDescent="0.25">
      <c r="A636">
        <v>365</v>
      </c>
      <c r="B636" s="1">
        <f>DATE(2011,5,1) + TIME(0,0,0)</f>
        <v>40664</v>
      </c>
      <c r="C636">
        <v>0</v>
      </c>
      <c r="D636">
        <v>2400</v>
      </c>
      <c r="E636">
        <v>2400</v>
      </c>
      <c r="F636">
        <v>0</v>
      </c>
      <c r="G636">
        <v>1277.2567139</v>
      </c>
      <c r="H636">
        <v>1255.4715576000001</v>
      </c>
      <c r="I636">
        <v>1394.9378661999999</v>
      </c>
      <c r="J636">
        <v>1375.4882812000001</v>
      </c>
      <c r="K636">
        <v>80</v>
      </c>
      <c r="L636">
        <v>48.604022980000003</v>
      </c>
      <c r="M636">
        <v>50</v>
      </c>
      <c r="N636">
        <v>49.944919585999997</v>
      </c>
    </row>
    <row r="637" spans="1:14" x14ac:dyDescent="0.25">
      <c r="A637">
        <v>365.000001</v>
      </c>
      <c r="B637" s="1">
        <f>DATE(2011,5,1) + TIME(0,0,0)</f>
        <v>40664</v>
      </c>
      <c r="C637">
        <v>2400</v>
      </c>
      <c r="D637">
        <v>0</v>
      </c>
      <c r="E637">
        <v>0</v>
      </c>
      <c r="F637">
        <v>2400</v>
      </c>
      <c r="G637">
        <v>1300.776001</v>
      </c>
      <c r="H637">
        <v>1278.2449951000001</v>
      </c>
      <c r="I637">
        <v>1374.6141356999999</v>
      </c>
      <c r="J637">
        <v>1355.71875</v>
      </c>
      <c r="K637">
        <v>80</v>
      </c>
      <c r="L637">
        <v>48.604187011999997</v>
      </c>
      <c r="M637">
        <v>50</v>
      </c>
      <c r="N637">
        <v>49.944808960000003</v>
      </c>
    </row>
    <row r="638" spans="1:14" x14ac:dyDescent="0.25">
      <c r="A638">
        <v>365.00000399999999</v>
      </c>
      <c r="B638" s="1">
        <f>DATE(2011,5,1) + TIME(0,0,0)</f>
        <v>40664</v>
      </c>
      <c r="C638">
        <v>2400</v>
      </c>
      <c r="D638">
        <v>0</v>
      </c>
      <c r="E638">
        <v>0</v>
      </c>
      <c r="F638">
        <v>2400</v>
      </c>
      <c r="G638">
        <v>1303.1793213000001</v>
      </c>
      <c r="H638">
        <v>1280.8773193</v>
      </c>
      <c r="I638">
        <v>1372.2823486</v>
      </c>
      <c r="J638">
        <v>1353.3856201000001</v>
      </c>
      <c r="K638">
        <v>80</v>
      </c>
      <c r="L638">
        <v>48.604644774999997</v>
      </c>
      <c r="M638">
        <v>50</v>
      </c>
      <c r="N638">
        <v>49.944515228</v>
      </c>
    </row>
    <row r="639" spans="1:14" x14ac:dyDescent="0.25">
      <c r="A639">
        <v>365.00001300000002</v>
      </c>
      <c r="B639" s="1">
        <f>DATE(2011,5,1) + TIME(0,0,1)</f>
        <v>40664.000011574077</v>
      </c>
      <c r="C639">
        <v>2400</v>
      </c>
      <c r="D639">
        <v>0</v>
      </c>
      <c r="E639">
        <v>0</v>
      </c>
      <c r="F639">
        <v>2400</v>
      </c>
      <c r="G639">
        <v>1308.7261963000001</v>
      </c>
      <c r="H639">
        <v>1286.7761230000001</v>
      </c>
      <c r="I639">
        <v>1367.0507812000001</v>
      </c>
      <c r="J639">
        <v>1348.1522216999999</v>
      </c>
      <c r="K639">
        <v>80</v>
      </c>
      <c r="L639">
        <v>48.605758667000003</v>
      </c>
      <c r="M639">
        <v>50</v>
      </c>
      <c r="N639">
        <v>49.943855286000002</v>
      </c>
    </row>
    <row r="640" spans="1:14" x14ac:dyDescent="0.25">
      <c r="A640">
        <v>365.00004000000001</v>
      </c>
      <c r="B640" s="1">
        <f>DATE(2011,5,1) + TIME(0,0,3)</f>
        <v>40664.000034722223</v>
      </c>
      <c r="C640">
        <v>2400</v>
      </c>
      <c r="D640">
        <v>0</v>
      </c>
      <c r="E640">
        <v>0</v>
      </c>
      <c r="F640">
        <v>2400</v>
      </c>
      <c r="G640">
        <v>1318.4273682</v>
      </c>
      <c r="H640">
        <v>1296.6853027</v>
      </c>
      <c r="I640">
        <v>1358.3074951000001</v>
      </c>
      <c r="J640">
        <v>1339.4088135</v>
      </c>
      <c r="K640">
        <v>80</v>
      </c>
      <c r="L640">
        <v>48.608127594000003</v>
      </c>
      <c r="M640">
        <v>50</v>
      </c>
      <c r="N640">
        <v>49.942752837999997</v>
      </c>
    </row>
    <row r="641" spans="1:14" x14ac:dyDescent="0.25">
      <c r="A641">
        <v>365.00012099999998</v>
      </c>
      <c r="B641" s="1">
        <f>DATE(2011,5,1) + TIME(0,0,10)</f>
        <v>40664.000115740739</v>
      </c>
      <c r="C641">
        <v>2400</v>
      </c>
      <c r="D641">
        <v>0</v>
      </c>
      <c r="E641">
        <v>0</v>
      </c>
      <c r="F641">
        <v>2400</v>
      </c>
      <c r="G641">
        <v>1330.7255858999999</v>
      </c>
      <c r="H641">
        <v>1308.9174805</v>
      </c>
      <c r="I641">
        <v>1347.6223144999999</v>
      </c>
      <c r="J641">
        <v>1328.7358397999999</v>
      </c>
      <c r="K641">
        <v>80</v>
      </c>
      <c r="L641">
        <v>48.613040924000003</v>
      </c>
      <c r="M641">
        <v>50</v>
      </c>
      <c r="N641">
        <v>49.941390990999999</v>
      </c>
    </row>
    <row r="642" spans="1:14" x14ac:dyDescent="0.25">
      <c r="A642">
        <v>365.00036399999999</v>
      </c>
      <c r="B642" s="1">
        <f>DATE(2011,5,1) + TIME(0,0,31)</f>
        <v>40664.000358796293</v>
      </c>
      <c r="C642">
        <v>2400</v>
      </c>
      <c r="D642">
        <v>0</v>
      </c>
      <c r="E642">
        <v>0</v>
      </c>
      <c r="F642">
        <v>2400</v>
      </c>
      <c r="G642">
        <v>1343.7375488</v>
      </c>
      <c r="H642">
        <v>1321.8016356999999</v>
      </c>
      <c r="I642">
        <v>1336.6115723</v>
      </c>
      <c r="J642">
        <v>1317.746582</v>
      </c>
      <c r="K642">
        <v>80</v>
      </c>
      <c r="L642">
        <v>48.624855042</v>
      </c>
      <c r="M642">
        <v>50</v>
      </c>
      <c r="N642">
        <v>49.939945221000002</v>
      </c>
    </row>
    <row r="643" spans="1:14" x14ac:dyDescent="0.25">
      <c r="A643">
        <v>365.00109300000003</v>
      </c>
      <c r="B643" s="1">
        <f>DATE(2011,5,1) + TIME(0,1,34)</f>
        <v>40664.001087962963</v>
      </c>
      <c r="C643">
        <v>2400</v>
      </c>
      <c r="D643">
        <v>0</v>
      </c>
      <c r="E643">
        <v>0</v>
      </c>
      <c r="F643">
        <v>2400</v>
      </c>
      <c r="G643">
        <v>1357.1910399999999</v>
      </c>
      <c r="H643">
        <v>1335.1448975000001</v>
      </c>
      <c r="I643">
        <v>1325.5715332</v>
      </c>
      <c r="J643">
        <v>1306.7336425999999</v>
      </c>
      <c r="K643">
        <v>80</v>
      </c>
      <c r="L643">
        <v>48.657272339000002</v>
      </c>
      <c r="M643">
        <v>50</v>
      </c>
      <c r="N643">
        <v>49.938377379999999</v>
      </c>
    </row>
    <row r="644" spans="1:14" x14ac:dyDescent="0.25">
      <c r="A644">
        <v>365.00328000000002</v>
      </c>
      <c r="B644" s="1">
        <f>DATE(2011,5,1) + TIME(0,4,43)</f>
        <v>40664.003275462965</v>
      </c>
      <c r="C644">
        <v>2400</v>
      </c>
      <c r="D644">
        <v>0</v>
      </c>
      <c r="E644">
        <v>0</v>
      </c>
      <c r="F644">
        <v>2400</v>
      </c>
      <c r="G644">
        <v>1371.5087891000001</v>
      </c>
      <c r="H644">
        <v>1349.3745117000001</v>
      </c>
      <c r="I644">
        <v>1314.2246094</v>
      </c>
      <c r="J644">
        <v>1295.3919678</v>
      </c>
      <c r="K644">
        <v>80</v>
      </c>
      <c r="L644">
        <v>48.751533508000001</v>
      </c>
      <c r="M644">
        <v>50</v>
      </c>
      <c r="N644">
        <v>49.936397552000003</v>
      </c>
    </row>
    <row r="645" spans="1:14" x14ac:dyDescent="0.25">
      <c r="A645">
        <v>365.00984099999999</v>
      </c>
      <c r="B645" s="1">
        <f>DATE(2011,5,1) + TIME(0,14,10)</f>
        <v>40664.009837962964</v>
      </c>
      <c r="C645">
        <v>2400</v>
      </c>
      <c r="D645">
        <v>0</v>
      </c>
      <c r="E645">
        <v>0</v>
      </c>
      <c r="F645">
        <v>2400</v>
      </c>
      <c r="G645">
        <v>1386.0557861</v>
      </c>
      <c r="H645">
        <v>1363.9080810999999</v>
      </c>
      <c r="I645">
        <v>1302.4783935999999</v>
      </c>
      <c r="J645">
        <v>1283.6137695</v>
      </c>
      <c r="K645">
        <v>80</v>
      </c>
      <c r="L645">
        <v>49.029788971000002</v>
      </c>
      <c r="M645">
        <v>50</v>
      </c>
      <c r="N645">
        <v>49.933269500999998</v>
      </c>
    </row>
    <row r="646" spans="1:14" x14ac:dyDescent="0.25">
      <c r="A646">
        <v>365.02952399999998</v>
      </c>
      <c r="B646" s="1">
        <f>DATE(2011,5,1) + TIME(0,42,30)</f>
        <v>40664.029513888891</v>
      </c>
      <c r="C646">
        <v>2400</v>
      </c>
      <c r="D646">
        <v>0</v>
      </c>
      <c r="E646">
        <v>0</v>
      </c>
      <c r="F646">
        <v>2400</v>
      </c>
      <c r="G646">
        <v>1397.6691894999999</v>
      </c>
      <c r="H646">
        <v>1375.7374268000001</v>
      </c>
      <c r="I646">
        <v>1292.5506591999999</v>
      </c>
      <c r="J646">
        <v>1273.6541748</v>
      </c>
      <c r="K646">
        <v>80</v>
      </c>
      <c r="L646">
        <v>49.842002868999998</v>
      </c>
      <c r="M646">
        <v>50</v>
      </c>
      <c r="N646">
        <v>49.927143096999998</v>
      </c>
    </row>
    <row r="647" spans="1:14" x14ac:dyDescent="0.25">
      <c r="A647">
        <v>365.05138299999999</v>
      </c>
      <c r="B647" s="1">
        <f>DATE(2011,5,1) + TIME(1,13,59)</f>
        <v>40664.051377314812</v>
      </c>
      <c r="C647">
        <v>2400</v>
      </c>
      <c r="D647">
        <v>0</v>
      </c>
      <c r="E647">
        <v>0</v>
      </c>
      <c r="F647">
        <v>2400</v>
      </c>
      <c r="G647">
        <v>1401.9239502</v>
      </c>
      <c r="H647">
        <v>1380.2640381000001</v>
      </c>
      <c r="I647">
        <v>1288.8615723</v>
      </c>
      <c r="J647">
        <v>1269.9547118999999</v>
      </c>
      <c r="K647">
        <v>80</v>
      </c>
      <c r="L647">
        <v>50.718620299999998</v>
      </c>
      <c r="M647">
        <v>50</v>
      </c>
      <c r="N647">
        <v>49.921291351000001</v>
      </c>
    </row>
    <row r="648" spans="1:14" x14ac:dyDescent="0.25">
      <c r="A648">
        <v>365.07371799999999</v>
      </c>
      <c r="B648" s="1">
        <f>DATE(2011,5,1) + TIME(1,46,9)</f>
        <v>40664.07371527778</v>
      </c>
      <c r="C648">
        <v>2400</v>
      </c>
      <c r="D648">
        <v>0</v>
      </c>
      <c r="E648">
        <v>0</v>
      </c>
      <c r="F648">
        <v>2400</v>
      </c>
      <c r="G648">
        <v>1403.4703368999999</v>
      </c>
      <c r="H648">
        <v>1382.0877685999999</v>
      </c>
      <c r="I648">
        <v>1287.5256348</v>
      </c>
      <c r="J648">
        <v>1268.6149902</v>
      </c>
      <c r="K648">
        <v>80</v>
      </c>
      <c r="L648">
        <v>51.588958740000002</v>
      </c>
      <c r="M648">
        <v>50</v>
      </c>
      <c r="N648">
        <v>49.915657043000003</v>
      </c>
    </row>
    <row r="649" spans="1:14" x14ac:dyDescent="0.25">
      <c r="A649">
        <v>365.09651200000002</v>
      </c>
      <c r="B649" s="1">
        <f>DATE(2011,5,1) + TIME(2,18,58)</f>
        <v>40664.096504629626</v>
      </c>
      <c r="C649">
        <v>2400</v>
      </c>
      <c r="D649">
        <v>0</v>
      </c>
      <c r="E649">
        <v>0</v>
      </c>
      <c r="F649">
        <v>2400</v>
      </c>
      <c r="G649">
        <v>1403.9598389</v>
      </c>
      <c r="H649">
        <v>1382.8503418</v>
      </c>
      <c r="I649">
        <v>1287.0625</v>
      </c>
      <c r="J649">
        <v>1268.1499022999999</v>
      </c>
      <c r="K649">
        <v>80</v>
      </c>
      <c r="L649">
        <v>52.451446533000002</v>
      </c>
      <c r="M649">
        <v>50</v>
      </c>
      <c r="N649">
        <v>49.910064697000003</v>
      </c>
    </row>
    <row r="650" spans="1:14" x14ac:dyDescent="0.25">
      <c r="A650">
        <v>365.11975799999999</v>
      </c>
      <c r="B650" s="1">
        <f>DATE(2011,5,1) + TIME(2,52,27)</f>
        <v>40664.119756944441</v>
      </c>
      <c r="C650">
        <v>2400</v>
      </c>
      <c r="D650">
        <v>0</v>
      </c>
      <c r="E650">
        <v>0</v>
      </c>
      <c r="F650">
        <v>2400</v>
      </c>
      <c r="G650">
        <v>1403.9958495999999</v>
      </c>
      <c r="H650">
        <v>1383.1513672000001</v>
      </c>
      <c r="I650">
        <v>1286.927124</v>
      </c>
      <c r="J650">
        <v>1268.0135498</v>
      </c>
      <c r="K650">
        <v>80</v>
      </c>
      <c r="L650">
        <v>53.305088042999998</v>
      </c>
      <c r="M650">
        <v>50</v>
      </c>
      <c r="N650">
        <v>49.904449462999999</v>
      </c>
    </row>
    <row r="651" spans="1:14" x14ac:dyDescent="0.25">
      <c r="A651">
        <v>365.14345400000002</v>
      </c>
      <c r="B651" s="1">
        <f>DATE(2011,5,1) + TIME(3,26,34)</f>
        <v>40664.143449074072</v>
      </c>
      <c r="C651">
        <v>2400</v>
      </c>
      <c r="D651">
        <v>0</v>
      </c>
      <c r="E651">
        <v>0</v>
      </c>
      <c r="F651">
        <v>2400</v>
      </c>
      <c r="G651">
        <v>1403.8280029</v>
      </c>
      <c r="H651">
        <v>1383.2393798999999</v>
      </c>
      <c r="I651">
        <v>1286.9080810999999</v>
      </c>
      <c r="J651">
        <v>1267.9937743999999</v>
      </c>
      <c r="K651">
        <v>80</v>
      </c>
      <c r="L651">
        <v>54.149005889999998</v>
      </c>
      <c r="M651">
        <v>50</v>
      </c>
      <c r="N651">
        <v>49.898788451999998</v>
      </c>
    </row>
    <row r="652" spans="1:14" x14ac:dyDescent="0.25">
      <c r="A652">
        <v>365.16762</v>
      </c>
      <c r="B652" s="1">
        <f>DATE(2011,5,1) + TIME(4,1,22)</f>
        <v>40664.167615740742</v>
      </c>
      <c r="C652">
        <v>2400</v>
      </c>
      <c r="D652">
        <v>0</v>
      </c>
      <c r="E652">
        <v>0</v>
      </c>
      <c r="F652">
        <v>2400</v>
      </c>
      <c r="G652">
        <v>1403.5671387</v>
      </c>
      <c r="H652">
        <v>1383.2252197</v>
      </c>
      <c r="I652">
        <v>1286.9240723</v>
      </c>
      <c r="J652">
        <v>1268.0090332</v>
      </c>
      <c r="K652">
        <v>80</v>
      </c>
      <c r="L652">
        <v>54.983127594000003</v>
      </c>
      <c r="M652">
        <v>50</v>
      </c>
      <c r="N652">
        <v>49.893070221000002</v>
      </c>
    </row>
    <row r="653" spans="1:14" x14ac:dyDescent="0.25">
      <c r="A653">
        <v>365.19227799999999</v>
      </c>
      <c r="B653" s="1">
        <f>DATE(2011,5,1) + TIME(4,36,52)</f>
        <v>40664.19226851852</v>
      </c>
      <c r="C653">
        <v>2400</v>
      </c>
      <c r="D653">
        <v>0</v>
      </c>
      <c r="E653">
        <v>0</v>
      </c>
      <c r="F653">
        <v>2400</v>
      </c>
      <c r="G653">
        <v>1403.2652588000001</v>
      </c>
      <c r="H653">
        <v>1383.1611327999999</v>
      </c>
      <c r="I653">
        <v>1286.9456786999999</v>
      </c>
      <c r="J653">
        <v>1268.0301514</v>
      </c>
      <c r="K653">
        <v>80</v>
      </c>
      <c r="L653">
        <v>55.807418822999999</v>
      </c>
      <c r="M653">
        <v>50</v>
      </c>
      <c r="N653">
        <v>49.887283324999999</v>
      </c>
    </row>
    <row r="654" spans="1:14" x14ac:dyDescent="0.25">
      <c r="A654">
        <v>365.21745199999998</v>
      </c>
      <c r="B654" s="1">
        <f>DATE(2011,5,1) + TIME(5,13,7)</f>
        <v>40664.217442129629</v>
      </c>
      <c r="C654">
        <v>2400</v>
      </c>
      <c r="D654">
        <v>0</v>
      </c>
      <c r="E654">
        <v>0</v>
      </c>
      <c r="F654">
        <v>2400</v>
      </c>
      <c r="G654">
        <v>1402.9473877</v>
      </c>
      <c r="H654">
        <v>1383.0723877</v>
      </c>
      <c r="I654">
        <v>1286.9639893000001</v>
      </c>
      <c r="J654">
        <v>1268.0478516000001</v>
      </c>
      <c r="K654">
        <v>80</v>
      </c>
      <c r="L654">
        <v>56.621864318999997</v>
      </c>
      <c r="M654">
        <v>50</v>
      </c>
      <c r="N654">
        <v>49.881427764999998</v>
      </c>
    </row>
    <row r="655" spans="1:14" x14ac:dyDescent="0.25">
      <c r="A655">
        <v>365.24316700000003</v>
      </c>
      <c r="B655" s="1">
        <f>DATE(2011,5,1) + TIME(5,50,9)</f>
        <v>40664.243159722224</v>
      </c>
      <c r="C655">
        <v>2400</v>
      </c>
      <c r="D655">
        <v>0</v>
      </c>
      <c r="E655">
        <v>0</v>
      </c>
      <c r="F655">
        <v>2400</v>
      </c>
      <c r="G655">
        <v>1402.6262207</v>
      </c>
      <c r="H655">
        <v>1382.9719238</v>
      </c>
      <c r="I655">
        <v>1286.9772949000001</v>
      </c>
      <c r="J655">
        <v>1268.0605469</v>
      </c>
      <c r="K655">
        <v>80</v>
      </c>
      <c r="L655">
        <v>57.426429749</v>
      </c>
      <c r="M655">
        <v>50</v>
      </c>
      <c r="N655">
        <v>49.875495911000002</v>
      </c>
    </row>
    <row r="656" spans="1:14" x14ac:dyDescent="0.25">
      <c r="A656">
        <v>365.269453</v>
      </c>
      <c r="B656" s="1">
        <f>DATE(2011,5,1) + TIME(6,28,0)</f>
        <v>40664.269444444442</v>
      </c>
      <c r="C656">
        <v>2400</v>
      </c>
      <c r="D656">
        <v>0</v>
      </c>
      <c r="E656">
        <v>0</v>
      </c>
      <c r="F656">
        <v>2400</v>
      </c>
      <c r="G656">
        <v>1402.3078613</v>
      </c>
      <c r="H656">
        <v>1382.8664550999999</v>
      </c>
      <c r="I656">
        <v>1286.9862060999999</v>
      </c>
      <c r="J656">
        <v>1268.0688477000001</v>
      </c>
      <c r="K656">
        <v>80</v>
      </c>
      <c r="L656">
        <v>58.221088408999996</v>
      </c>
      <c r="M656">
        <v>50</v>
      </c>
      <c r="N656">
        <v>49.869483948000003</v>
      </c>
    </row>
    <row r="657" spans="1:14" x14ac:dyDescent="0.25">
      <c r="A657">
        <v>365.29633799999999</v>
      </c>
      <c r="B657" s="1">
        <f>DATE(2011,5,1) + TIME(7,6,43)</f>
        <v>40664.296331018515</v>
      </c>
      <c r="C657">
        <v>2400</v>
      </c>
      <c r="D657">
        <v>0</v>
      </c>
      <c r="E657">
        <v>0</v>
      </c>
      <c r="F657">
        <v>2400</v>
      </c>
      <c r="G657">
        <v>1401.9958495999999</v>
      </c>
      <c r="H657">
        <v>1382.7596435999999</v>
      </c>
      <c r="I657">
        <v>1286.9919434000001</v>
      </c>
      <c r="J657">
        <v>1268.0739745999999</v>
      </c>
      <c r="K657">
        <v>80</v>
      </c>
      <c r="L657">
        <v>59.005794524999999</v>
      </c>
      <c r="M657">
        <v>50</v>
      </c>
      <c r="N657">
        <v>49.863391876000001</v>
      </c>
    </row>
    <row r="658" spans="1:14" x14ac:dyDescent="0.25">
      <c r="A658">
        <v>365.32384999999999</v>
      </c>
      <c r="B658" s="1">
        <f>DATE(2011,5,1) + TIME(7,46,20)</f>
        <v>40664.323842592596</v>
      </c>
      <c r="C658">
        <v>2400</v>
      </c>
      <c r="D658">
        <v>0</v>
      </c>
      <c r="E658">
        <v>0</v>
      </c>
      <c r="F658">
        <v>2400</v>
      </c>
      <c r="G658">
        <v>1401.6916504000001</v>
      </c>
      <c r="H658">
        <v>1382.6531981999999</v>
      </c>
      <c r="I658">
        <v>1286.9954834</v>
      </c>
      <c r="J658">
        <v>1268.0769043</v>
      </c>
      <c r="K658">
        <v>80</v>
      </c>
      <c r="L658">
        <v>59.780345916999998</v>
      </c>
      <c r="M658">
        <v>50</v>
      </c>
      <c r="N658">
        <v>49.857208252</v>
      </c>
    </row>
    <row r="659" spans="1:14" x14ac:dyDescent="0.25">
      <c r="A659">
        <v>365.35202800000002</v>
      </c>
      <c r="B659" s="1">
        <f>DATE(2011,5,1) + TIME(8,26,55)</f>
        <v>40664.352025462962</v>
      </c>
      <c r="C659">
        <v>2400</v>
      </c>
      <c r="D659">
        <v>0</v>
      </c>
      <c r="E659">
        <v>0</v>
      </c>
      <c r="F659">
        <v>2400</v>
      </c>
      <c r="G659">
        <v>1401.3959961</v>
      </c>
      <c r="H659">
        <v>1382.5483397999999</v>
      </c>
      <c r="I659">
        <v>1286.9976807</v>
      </c>
      <c r="J659">
        <v>1268.0783690999999</v>
      </c>
      <c r="K659">
        <v>80</v>
      </c>
      <c r="L659">
        <v>60.544395446999999</v>
      </c>
      <c r="M659">
        <v>50</v>
      </c>
      <c r="N659">
        <v>49.850929260000001</v>
      </c>
    </row>
    <row r="660" spans="1:14" x14ac:dyDescent="0.25">
      <c r="A660">
        <v>365.38090799999998</v>
      </c>
      <c r="B660" s="1">
        <f>DATE(2011,5,1) + TIME(9,8,30)</f>
        <v>40664.380902777775</v>
      </c>
      <c r="C660">
        <v>2400</v>
      </c>
      <c r="D660">
        <v>0</v>
      </c>
      <c r="E660">
        <v>0</v>
      </c>
      <c r="F660">
        <v>2400</v>
      </c>
      <c r="G660">
        <v>1401.1092529</v>
      </c>
      <c r="H660">
        <v>1382.4455565999999</v>
      </c>
      <c r="I660">
        <v>1286.9987793</v>
      </c>
      <c r="J660">
        <v>1268.0788574000001</v>
      </c>
      <c r="K660">
        <v>80</v>
      </c>
      <c r="L660">
        <v>61.298118590999998</v>
      </c>
      <c r="M660">
        <v>50</v>
      </c>
      <c r="N660">
        <v>49.844551086000003</v>
      </c>
    </row>
    <row r="661" spans="1:14" x14ac:dyDescent="0.25">
      <c r="A661">
        <v>365.41053199999999</v>
      </c>
      <c r="B661" s="1">
        <f>DATE(2011,5,1) + TIME(9,51,9)</f>
        <v>40664.410520833335</v>
      </c>
      <c r="C661">
        <v>2400</v>
      </c>
      <c r="D661">
        <v>0</v>
      </c>
      <c r="E661">
        <v>0</v>
      </c>
      <c r="F661">
        <v>2400</v>
      </c>
      <c r="G661">
        <v>1400.8311768000001</v>
      </c>
      <c r="H661">
        <v>1382.3449707</v>
      </c>
      <c r="I661">
        <v>1286.9993896000001</v>
      </c>
      <c r="J661">
        <v>1268.0788574000001</v>
      </c>
      <c r="K661">
        <v>80</v>
      </c>
      <c r="L661">
        <v>62.041568755999997</v>
      </c>
      <c r="M661">
        <v>50</v>
      </c>
      <c r="N661">
        <v>49.838069916000002</v>
      </c>
    </row>
    <row r="662" spans="1:14" x14ac:dyDescent="0.25">
      <c r="A662">
        <v>365.44094200000001</v>
      </c>
      <c r="B662" s="1">
        <f>DATE(2011,5,1) + TIME(10,34,57)</f>
        <v>40664.440937500003</v>
      </c>
      <c r="C662">
        <v>2400</v>
      </c>
      <c r="D662">
        <v>0</v>
      </c>
      <c r="E662">
        <v>0</v>
      </c>
      <c r="F662">
        <v>2400</v>
      </c>
      <c r="G662">
        <v>1400.5615233999999</v>
      </c>
      <c r="H662">
        <v>1382.2467041</v>
      </c>
      <c r="I662">
        <v>1286.9996338000001</v>
      </c>
      <c r="J662">
        <v>1268.0783690999999</v>
      </c>
      <c r="K662">
        <v>80</v>
      </c>
      <c r="L662">
        <v>62.774639129999997</v>
      </c>
      <c r="M662">
        <v>50</v>
      </c>
      <c r="N662">
        <v>49.831474303999997</v>
      </c>
    </row>
    <row r="663" spans="1:14" x14ac:dyDescent="0.25">
      <c r="A663">
        <v>365.47218500000002</v>
      </c>
      <c r="B663" s="1">
        <f>DATE(2011,5,1) + TIME(11,19,56)</f>
        <v>40664.472175925926</v>
      </c>
      <c r="C663">
        <v>2400</v>
      </c>
      <c r="D663">
        <v>0</v>
      </c>
      <c r="E663">
        <v>0</v>
      </c>
      <c r="F663">
        <v>2400</v>
      </c>
      <c r="G663">
        <v>1400.300293</v>
      </c>
      <c r="H663">
        <v>1382.1506348</v>
      </c>
      <c r="I663">
        <v>1286.9995117000001</v>
      </c>
      <c r="J663">
        <v>1268.0776367000001</v>
      </c>
      <c r="K663">
        <v>80</v>
      </c>
      <c r="L663">
        <v>63.497207641999999</v>
      </c>
      <c r="M663">
        <v>50</v>
      </c>
      <c r="N663">
        <v>49.824756622000002</v>
      </c>
    </row>
    <row r="664" spans="1:14" x14ac:dyDescent="0.25">
      <c r="A664">
        <v>365.50431099999997</v>
      </c>
      <c r="B664" s="1">
        <f>DATE(2011,5,1) + TIME(12,6,12)</f>
        <v>40664.504305555558</v>
      </c>
      <c r="C664">
        <v>2400</v>
      </c>
      <c r="D664">
        <v>0</v>
      </c>
      <c r="E664">
        <v>0</v>
      </c>
      <c r="F664">
        <v>2400</v>
      </c>
      <c r="G664">
        <v>1400.046875</v>
      </c>
      <c r="H664">
        <v>1382.0567627</v>
      </c>
      <c r="I664">
        <v>1286.9992675999999</v>
      </c>
      <c r="J664">
        <v>1268.0767822</v>
      </c>
      <c r="K664">
        <v>80</v>
      </c>
      <c r="L664">
        <v>64.209136963000006</v>
      </c>
      <c r="M664">
        <v>50</v>
      </c>
      <c r="N664">
        <v>49.817913054999998</v>
      </c>
    </row>
    <row r="665" spans="1:14" x14ac:dyDescent="0.25">
      <c r="A665">
        <v>365.53737699999999</v>
      </c>
      <c r="B665" s="1">
        <f>DATE(2011,5,1) + TIME(12,53,49)</f>
        <v>40664.537372685183</v>
      </c>
      <c r="C665">
        <v>2400</v>
      </c>
      <c r="D665">
        <v>0</v>
      </c>
      <c r="E665">
        <v>0</v>
      </c>
      <c r="F665">
        <v>2400</v>
      </c>
      <c r="G665">
        <v>1399.8010254000001</v>
      </c>
      <c r="H665">
        <v>1381.9649658000001</v>
      </c>
      <c r="I665">
        <v>1286.9989014</v>
      </c>
      <c r="J665">
        <v>1268.0756836</v>
      </c>
      <c r="K665">
        <v>80</v>
      </c>
      <c r="L665">
        <v>64.910270690999994</v>
      </c>
      <c r="M665">
        <v>50</v>
      </c>
      <c r="N665">
        <v>49.810932158999996</v>
      </c>
    </row>
    <row r="666" spans="1:14" x14ac:dyDescent="0.25">
      <c r="A666">
        <v>365.57144099999999</v>
      </c>
      <c r="B666" s="1">
        <f>DATE(2011,5,1) + TIME(13,42,52)</f>
        <v>40664.571435185186</v>
      </c>
      <c r="C666">
        <v>2400</v>
      </c>
      <c r="D666">
        <v>0</v>
      </c>
      <c r="E666">
        <v>0</v>
      </c>
      <c r="F666">
        <v>2400</v>
      </c>
      <c r="G666">
        <v>1399.5625</v>
      </c>
      <c r="H666">
        <v>1381.875</v>
      </c>
      <c r="I666">
        <v>1286.9985352000001</v>
      </c>
      <c r="J666">
        <v>1268.0745850000001</v>
      </c>
      <c r="K666">
        <v>80</v>
      </c>
      <c r="L666">
        <v>65.600601196</v>
      </c>
      <c r="M666">
        <v>50</v>
      </c>
      <c r="N666">
        <v>49.803810120000001</v>
      </c>
    </row>
    <row r="667" spans="1:14" x14ac:dyDescent="0.25">
      <c r="A667">
        <v>365.60656899999998</v>
      </c>
      <c r="B667" s="1">
        <f>DATE(2011,5,1) + TIME(14,33,27)</f>
        <v>40664.606562499997</v>
      </c>
      <c r="C667">
        <v>2400</v>
      </c>
      <c r="D667">
        <v>0</v>
      </c>
      <c r="E667">
        <v>0</v>
      </c>
      <c r="F667">
        <v>2400</v>
      </c>
      <c r="G667">
        <v>1399.3308105000001</v>
      </c>
      <c r="H667">
        <v>1381.7866211</v>
      </c>
      <c r="I667">
        <v>1286.9979248</v>
      </c>
      <c r="J667">
        <v>1268.0732422000001</v>
      </c>
      <c r="K667">
        <v>80</v>
      </c>
      <c r="L667">
        <v>66.279808044000006</v>
      </c>
      <c r="M667">
        <v>50</v>
      </c>
      <c r="N667">
        <v>49.796531676999997</v>
      </c>
    </row>
    <row r="668" spans="1:14" x14ac:dyDescent="0.25">
      <c r="A668">
        <v>365.64284300000003</v>
      </c>
      <c r="B668" s="1">
        <f>DATE(2011,5,1) + TIME(15,25,41)</f>
        <v>40664.642835648148</v>
      </c>
      <c r="C668">
        <v>2400</v>
      </c>
      <c r="D668">
        <v>0</v>
      </c>
      <c r="E668">
        <v>0</v>
      </c>
      <c r="F668">
        <v>2400</v>
      </c>
      <c r="G668">
        <v>1399.1054687999999</v>
      </c>
      <c r="H668">
        <v>1381.6998291</v>
      </c>
      <c r="I668">
        <v>1286.9973144999999</v>
      </c>
      <c r="J668">
        <v>1268.0718993999999</v>
      </c>
      <c r="K668">
        <v>80</v>
      </c>
      <c r="L668">
        <v>66.947868346999996</v>
      </c>
      <c r="M668">
        <v>50</v>
      </c>
      <c r="N668">
        <v>49.789085387999997</v>
      </c>
    </row>
    <row r="669" spans="1:14" x14ac:dyDescent="0.25">
      <c r="A669">
        <v>365.680339</v>
      </c>
      <c r="B669" s="1">
        <f>DATE(2011,5,1) + TIME(16,19,41)</f>
        <v>40664.680335648147</v>
      </c>
      <c r="C669">
        <v>2400</v>
      </c>
      <c r="D669">
        <v>0</v>
      </c>
      <c r="E669">
        <v>0</v>
      </c>
      <c r="F669">
        <v>2400</v>
      </c>
      <c r="G669">
        <v>1398.8863524999999</v>
      </c>
      <c r="H669">
        <v>1381.6143798999999</v>
      </c>
      <c r="I669">
        <v>1286.996582</v>
      </c>
      <c r="J669">
        <v>1268.0704346</v>
      </c>
      <c r="K669">
        <v>80</v>
      </c>
      <c r="L669">
        <v>67.604499817000004</v>
      </c>
      <c r="M669">
        <v>50</v>
      </c>
      <c r="N669">
        <v>49.781459808000001</v>
      </c>
    </row>
    <row r="670" spans="1:14" x14ac:dyDescent="0.25">
      <c r="A670">
        <v>365.71913899999998</v>
      </c>
      <c r="B670" s="1">
        <f>DATE(2011,5,1) + TIME(17,15,33)</f>
        <v>40664.719131944446</v>
      </c>
      <c r="C670">
        <v>2400</v>
      </c>
      <c r="D670">
        <v>0</v>
      </c>
      <c r="E670">
        <v>0</v>
      </c>
      <c r="F670">
        <v>2400</v>
      </c>
      <c r="G670">
        <v>1398.6730957</v>
      </c>
      <c r="H670">
        <v>1381.5301514</v>
      </c>
      <c r="I670">
        <v>1286.9958495999999</v>
      </c>
      <c r="J670">
        <v>1268.0689697</v>
      </c>
      <c r="K670">
        <v>80</v>
      </c>
      <c r="L670">
        <v>68.249359131000006</v>
      </c>
      <c r="M670">
        <v>50</v>
      </c>
      <c r="N670">
        <v>49.773643493999998</v>
      </c>
    </row>
    <row r="671" spans="1:14" x14ac:dyDescent="0.25">
      <c r="A671">
        <v>365.75933900000001</v>
      </c>
      <c r="B671" s="1">
        <f>DATE(2011,5,1) + TIME(18,13,26)</f>
        <v>40664.759328703702</v>
      </c>
      <c r="C671">
        <v>2400</v>
      </c>
      <c r="D671">
        <v>0</v>
      </c>
      <c r="E671">
        <v>0</v>
      </c>
      <c r="F671">
        <v>2400</v>
      </c>
      <c r="G671">
        <v>1398.4654541</v>
      </c>
      <c r="H671">
        <v>1381.4468993999999</v>
      </c>
      <c r="I671">
        <v>1286.9949951000001</v>
      </c>
      <c r="J671">
        <v>1268.0673827999999</v>
      </c>
      <c r="K671">
        <v>80</v>
      </c>
      <c r="L671">
        <v>68.88218689</v>
      </c>
      <c r="M671">
        <v>50</v>
      </c>
      <c r="N671">
        <v>49.765625</v>
      </c>
    </row>
    <row r="672" spans="1:14" x14ac:dyDescent="0.25">
      <c r="A672">
        <v>365.80104399999999</v>
      </c>
      <c r="B672" s="1">
        <f>DATE(2011,5,1) + TIME(19,13,30)</f>
        <v>40664.801041666666</v>
      </c>
      <c r="C672">
        <v>2400</v>
      </c>
      <c r="D672">
        <v>0</v>
      </c>
      <c r="E672">
        <v>0</v>
      </c>
      <c r="F672">
        <v>2400</v>
      </c>
      <c r="G672">
        <v>1398.2629394999999</v>
      </c>
      <c r="H672">
        <v>1381.3643798999999</v>
      </c>
      <c r="I672">
        <v>1286.9941406</v>
      </c>
      <c r="J672">
        <v>1268.0656738</v>
      </c>
      <c r="K672">
        <v>80</v>
      </c>
      <c r="L672">
        <v>69.502708435000002</v>
      </c>
      <c r="M672">
        <v>50</v>
      </c>
      <c r="N672">
        <v>49.757385253999999</v>
      </c>
    </row>
    <row r="673" spans="1:14" x14ac:dyDescent="0.25">
      <c r="A673">
        <v>365.84437300000002</v>
      </c>
      <c r="B673" s="1">
        <f>DATE(2011,5,1) + TIME(20,15,53)</f>
        <v>40664.844363425924</v>
      </c>
      <c r="C673">
        <v>2400</v>
      </c>
      <c r="D673">
        <v>0</v>
      </c>
      <c r="E673">
        <v>0</v>
      </c>
      <c r="F673">
        <v>2400</v>
      </c>
      <c r="G673">
        <v>1398.0653076000001</v>
      </c>
      <c r="H673">
        <v>1381.2824707</v>
      </c>
      <c r="I673">
        <v>1286.9931641000001</v>
      </c>
      <c r="J673">
        <v>1268.0639647999999</v>
      </c>
      <c r="K673">
        <v>80</v>
      </c>
      <c r="L673">
        <v>70.110565186000002</v>
      </c>
      <c r="M673">
        <v>50</v>
      </c>
      <c r="N673">
        <v>49.748908997000001</v>
      </c>
    </row>
    <row r="674" spans="1:14" x14ac:dyDescent="0.25">
      <c r="A674">
        <v>365.88945999999999</v>
      </c>
      <c r="B674" s="1">
        <f>DATE(2011,5,1) + TIME(21,20,49)</f>
        <v>40664.889456018522</v>
      </c>
      <c r="C674">
        <v>2400</v>
      </c>
      <c r="D674">
        <v>0</v>
      </c>
      <c r="E674">
        <v>0</v>
      </c>
      <c r="F674">
        <v>2400</v>
      </c>
      <c r="G674">
        <v>1397.8723144999999</v>
      </c>
      <c r="H674">
        <v>1381.2010498</v>
      </c>
      <c r="I674">
        <v>1286.9921875</v>
      </c>
      <c r="J674">
        <v>1268.0620117000001</v>
      </c>
      <c r="K674">
        <v>80</v>
      </c>
      <c r="L674">
        <v>70.705162048000005</v>
      </c>
      <c r="M674">
        <v>50</v>
      </c>
      <c r="N674">
        <v>49.740173339999998</v>
      </c>
    </row>
    <row r="675" spans="1:14" x14ac:dyDescent="0.25">
      <c r="A675">
        <v>365.93645199999997</v>
      </c>
      <c r="B675" s="1">
        <f>DATE(2011,5,1) + TIME(22,28,29)</f>
        <v>40664.93644675926</v>
      </c>
      <c r="C675">
        <v>2400</v>
      </c>
      <c r="D675">
        <v>0</v>
      </c>
      <c r="E675">
        <v>0</v>
      </c>
      <c r="F675">
        <v>2400</v>
      </c>
      <c r="G675">
        <v>1397.6835937999999</v>
      </c>
      <c r="H675">
        <v>1381.1198730000001</v>
      </c>
      <c r="I675">
        <v>1286.9910889</v>
      </c>
      <c r="J675">
        <v>1268.0600586</v>
      </c>
      <c r="K675">
        <v>80</v>
      </c>
      <c r="L675">
        <v>71.286514281999999</v>
      </c>
      <c r="M675">
        <v>50</v>
      </c>
      <c r="N675">
        <v>49.731163025000001</v>
      </c>
    </row>
    <row r="676" spans="1:14" x14ac:dyDescent="0.25">
      <c r="A676">
        <v>365.98551700000002</v>
      </c>
      <c r="B676" s="1">
        <f>DATE(2011,5,1) + TIME(23,39,8)</f>
        <v>40664.985509259262</v>
      </c>
      <c r="C676">
        <v>2400</v>
      </c>
      <c r="D676">
        <v>0</v>
      </c>
      <c r="E676">
        <v>0</v>
      </c>
      <c r="F676">
        <v>2400</v>
      </c>
      <c r="G676">
        <v>1397.4989014</v>
      </c>
      <c r="H676">
        <v>1381.0386963000001</v>
      </c>
      <c r="I676">
        <v>1286.9898682</v>
      </c>
      <c r="J676">
        <v>1268.0581055</v>
      </c>
      <c r="K676">
        <v>80</v>
      </c>
      <c r="L676">
        <v>71.854270935000002</v>
      </c>
      <c r="M676">
        <v>50</v>
      </c>
      <c r="N676">
        <v>49.721851348999998</v>
      </c>
    </row>
    <row r="677" spans="1:14" x14ac:dyDescent="0.25">
      <c r="A677">
        <v>366.03684600000003</v>
      </c>
      <c r="B677" s="1">
        <f>DATE(2011,5,2) + TIME(0,53,3)</f>
        <v>40665.036840277775</v>
      </c>
      <c r="C677">
        <v>2400</v>
      </c>
      <c r="D677">
        <v>0</v>
      </c>
      <c r="E677">
        <v>0</v>
      </c>
      <c r="F677">
        <v>2400</v>
      </c>
      <c r="G677">
        <v>1397.3178711</v>
      </c>
      <c r="H677">
        <v>1380.9573975000001</v>
      </c>
      <c r="I677">
        <v>1286.9886475000001</v>
      </c>
      <c r="J677">
        <v>1268.0559082</v>
      </c>
      <c r="K677">
        <v>80</v>
      </c>
      <c r="L677">
        <v>72.408050536999994</v>
      </c>
      <c r="M677">
        <v>50</v>
      </c>
      <c r="N677">
        <v>49.712207794000001</v>
      </c>
    </row>
    <row r="678" spans="1:14" x14ac:dyDescent="0.25">
      <c r="A678">
        <v>366.09066300000001</v>
      </c>
      <c r="B678" s="1">
        <f>DATE(2011,5,2) + TIME(2,10,33)</f>
        <v>40665.09065972222</v>
      </c>
      <c r="C678">
        <v>2400</v>
      </c>
      <c r="D678">
        <v>0</v>
      </c>
      <c r="E678">
        <v>0</v>
      </c>
      <c r="F678">
        <v>2400</v>
      </c>
      <c r="G678">
        <v>1397.1402588000001</v>
      </c>
      <c r="H678">
        <v>1380.8757324000001</v>
      </c>
      <c r="I678">
        <v>1286.9873047000001</v>
      </c>
      <c r="J678">
        <v>1268.0537108999999</v>
      </c>
      <c r="K678">
        <v>80</v>
      </c>
      <c r="L678">
        <v>72.947540282999995</v>
      </c>
      <c r="M678">
        <v>50</v>
      </c>
      <c r="N678">
        <v>49.702205657999997</v>
      </c>
    </row>
    <row r="679" spans="1:14" x14ac:dyDescent="0.25">
      <c r="A679">
        <v>366.14724200000001</v>
      </c>
      <c r="B679" s="1">
        <f>DATE(2011,5,2) + TIME(3,32,1)</f>
        <v>40665.147233796299</v>
      </c>
      <c r="C679">
        <v>2400</v>
      </c>
      <c r="D679">
        <v>0</v>
      </c>
      <c r="E679">
        <v>0</v>
      </c>
      <c r="F679">
        <v>2400</v>
      </c>
      <c r="G679">
        <v>1396.9654541</v>
      </c>
      <c r="H679">
        <v>1380.7933350000001</v>
      </c>
      <c r="I679">
        <v>1286.9859618999999</v>
      </c>
      <c r="J679">
        <v>1268.0513916</v>
      </c>
      <c r="K679">
        <v>80</v>
      </c>
      <c r="L679">
        <v>73.472526549999998</v>
      </c>
      <c r="M679">
        <v>50</v>
      </c>
      <c r="N679">
        <v>49.691802979000002</v>
      </c>
    </row>
    <row r="680" spans="1:14" x14ac:dyDescent="0.25">
      <c r="A680">
        <v>366.20684199999999</v>
      </c>
      <c r="B680" s="1">
        <f>DATE(2011,5,2) + TIME(4,57,51)</f>
        <v>40665.20684027778</v>
      </c>
      <c r="C680">
        <v>2400</v>
      </c>
      <c r="D680">
        <v>0</v>
      </c>
      <c r="E680">
        <v>0</v>
      </c>
      <c r="F680">
        <v>2400</v>
      </c>
      <c r="G680">
        <v>1396.793457</v>
      </c>
      <c r="H680">
        <v>1380.7102050999999</v>
      </c>
      <c r="I680">
        <v>1286.9844971</v>
      </c>
      <c r="J680">
        <v>1268.0489502</v>
      </c>
      <c r="K680">
        <v>80</v>
      </c>
      <c r="L680">
        <v>73.982269286999994</v>
      </c>
      <c r="M680">
        <v>50</v>
      </c>
      <c r="N680">
        <v>49.680961609000001</v>
      </c>
    </row>
    <row r="681" spans="1:14" x14ac:dyDescent="0.25">
      <c r="A681">
        <v>366.26979599999999</v>
      </c>
      <c r="B681" s="1">
        <f>DATE(2011,5,2) + TIME(6,28,30)</f>
        <v>40665.269791666666</v>
      </c>
      <c r="C681">
        <v>2400</v>
      </c>
      <c r="D681">
        <v>0</v>
      </c>
      <c r="E681">
        <v>0</v>
      </c>
      <c r="F681">
        <v>2400</v>
      </c>
      <c r="G681">
        <v>1396.6237793</v>
      </c>
      <c r="H681">
        <v>1380.6258545000001</v>
      </c>
      <c r="I681">
        <v>1286.9829102000001</v>
      </c>
      <c r="J681">
        <v>1268.0462646000001</v>
      </c>
      <c r="K681">
        <v>80</v>
      </c>
      <c r="L681">
        <v>74.476295471</v>
      </c>
      <c r="M681">
        <v>50</v>
      </c>
      <c r="N681">
        <v>49.669639586999999</v>
      </c>
    </row>
    <row r="682" spans="1:14" x14ac:dyDescent="0.25">
      <c r="A682">
        <v>366.33649400000002</v>
      </c>
      <c r="B682" s="1">
        <f>DATE(2011,5,2) + TIME(8,4,33)</f>
        <v>40665.336493055554</v>
      </c>
      <c r="C682">
        <v>2400</v>
      </c>
      <c r="D682">
        <v>0</v>
      </c>
      <c r="E682">
        <v>0</v>
      </c>
      <c r="F682">
        <v>2400</v>
      </c>
      <c r="G682">
        <v>1396.4561768000001</v>
      </c>
      <c r="H682">
        <v>1380.5401611</v>
      </c>
      <c r="I682">
        <v>1286.9813231999999</v>
      </c>
      <c r="J682">
        <v>1268.0435791</v>
      </c>
      <c r="K682">
        <v>80</v>
      </c>
      <c r="L682">
        <v>74.954093932999996</v>
      </c>
      <c r="M682">
        <v>50</v>
      </c>
      <c r="N682">
        <v>49.657779693999998</v>
      </c>
    </row>
    <row r="683" spans="1:14" x14ac:dyDescent="0.25">
      <c r="A683">
        <v>366.40739600000001</v>
      </c>
      <c r="B683" s="1">
        <f>DATE(2011,5,2) + TIME(9,46,39)</f>
        <v>40665.407395833332</v>
      </c>
      <c r="C683">
        <v>2400</v>
      </c>
      <c r="D683">
        <v>0</v>
      </c>
      <c r="E683">
        <v>0</v>
      </c>
      <c r="F683">
        <v>2400</v>
      </c>
      <c r="G683">
        <v>1396.2902832</v>
      </c>
      <c r="H683">
        <v>1380.4527588000001</v>
      </c>
      <c r="I683">
        <v>1286.9794922000001</v>
      </c>
      <c r="J683">
        <v>1268.0406493999999</v>
      </c>
      <c r="K683">
        <v>80</v>
      </c>
      <c r="L683">
        <v>75.414787292</v>
      </c>
      <c r="M683">
        <v>50</v>
      </c>
      <c r="N683">
        <v>49.645317077999998</v>
      </c>
    </row>
    <row r="684" spans="1:14" x14ac:dyDescent="0.25">
      <c r="A684">
        <v>366.48303299999998</v>
      </c>
      <c r="B684" s="1">
        <f>DATE(2011,5,2) + TIME(11,35,34)</f>
        <v>40665.483032407406</v>
      </c>
      <c r="C684">
        <v>2400</v>
      </c>
      <c r="D684">
        <v>0</v>
      </c>
      <c r="E684">
        <v>0</v>
      </c>
      <c r="F684">
        <v>2400</v>
      </c>
      <c r="G684">
        <v>1396.1256103999999</v>
      </c>
      <c r="H684">
        <v>1380.3632812000001</v>
      </c>
      <c r="I684">
        <v>1286.9776611</v>
      </c>
      <c r="J684">
        <v>1268.0375977000001</v>
      </c>
      <c r="K684">
        <v>80</v>
      </c>
      <c r="L684">
        <v>75.857978821000003</v>
      </c>
      <c r="M684">
        <v>50</v>
      </c>
      <c r="N684">
        <v>49.63218689</v>
      </c>
    </row>
    <row r="685" spans="1:14" x14ac:dyDescent="0.25">
      <c r="A685">
        <v>366.56407300000001</v>
      </c>
      <c r="B685" s="1">
        <f>DATE(2011,5,2) + TIME(13,32,15)</f>
        <v>40665.564062500001</v>
      </c>
      <c r="C685">
        <v>2400</v>
      </c>
      <c r="D685">
        <v>0</v>
      </c>
      <c r="E685">
        <v>0</v>
      </c>
      <c r="F685">
        <v>2400</v>
      </c>
      <c r="G685">
        <v>1395.9616699000001</v>
      </c>
      <c r="H685">
        <v>1380.2713623</v>
      </c>
      <c r="I685">
        <v>1286.9755858999999</v>
      </c>
      <c r="J685">
        <v>1268.0344238</v>
      </c>
      <c r="K685">
        <v>80</v>
      </c>
      <c r="L685">
        <v>76.283157349000007</v>
      </c>
      <c r="M685">
        <v>50</v>
      </c>
      <c r="N685">
        <v>49.618289947999997</v>
      </c>
    </row>
    <row r="686" spans="1:14" x14ac:dyDescent="0.25">
      <c r="A686">
        <v>366.651319</v>
      </c>
      <c r="B686" s="1">
        <f>DATE(2011,5,2) + TIME(15,37,53)</f>
        <v>40665.651307870372</v>
      </c>
      <c r="C686">
        <v>2400</v>
      </c>
      <c r="D686">
        <v>0</v>
      </c>
      <c r="E686">
        <v>0</v>
      </c>
      <c r="F686">
        <v>2400</v>
      </c>
      <c r="G686">
        <v>1395.7980957</v>
      </c>
      <c r="H686">
        <v>1380.1766356999999</v>
      </c>
      <c r="I686">
        <v>1286.9733887</v>
      </c>
      <c r="J686">
        <v>1268.0310059000001</v>
      </c>
      <c r="K686">
        <v>80</v>
      </c>
      <c r="L686">
        <v>76.689666747999993</v>
      </c>
      <c r="M686">
        <v>50</v>
      </c>
      <c r="N686">
        <v>49.603523254000002</v>
      </c>
    </row>
    <row r="687" spans="1:14" x14ac:dyDescent="0.25">
      <c r="A687">
        <v>366.74575700000003</v>
      </c>
      <c r="B687" s="1">
        <f>DATE(2011,5,2) + TIME(17,53,53)</f>
        <v>40665.745752314811</v>
      </c>
      <c r="C687">
        <v>2400</v>
      </c>
      <c r="D687">
        <v>0</v>
      </c>
      <c r="E687">
        <v>0</v>
      </c>
      <c r="F687">
        <v>2400</v>
      </c>
      <c r="G687">
        <v>1395.6341553</v>
      </c>
      <c r="H687">
        <v>1380.0784911999999</v>
      </c>
      <c r="I687">
        <v>1286.9710693</v>
      </c>
      <c r="J687">
        <v>1268.0272216999999</v>
      </c>
      <c r="K687">
        <v>80</v>
      </c>
      <c r="L687">
        <v>77.076805114999999</v>
      </c>
      <c r="M687">
        <v>50</v>
      </c>
      <c r="N687">
        <v>49.587757111000002</v>
      </c>
    </row>
    <row r="688" spans="1:14" x14ac:dyDescent="0.25">
      <c r="A688">
        <v>366.84304600000002</v>
      </c>
      <c r="B688" s="1">
        <f>DATE(2011,5,2) + TIME(20,13,59)</f>
        <v>40665.843043981484</v>
      </c>
      <c r="C688">
        <v>2400</v>
      </c>
      <c r="D688">
        <v>0</v>
      </c>
      <c r="E688">
        <v>0</v>
      </c>
      <c r="F688">
        <v>2400</v>
      </c>
      <c r="G688">
        <v>1395.4761963000001</v>
      </c>
      <c r="H688">
        <v>1379.9793701000001</v>
      </c>
      <c r="I688">
        <v>1286.9683838000001</v>
      </c>
      <c r="J688">
        <v>1268.0233154</v>
      </c>
      <c r="K688">
        <v>80</v>
      </c>
      <c r="L688">
        <v>77.426376343000001</v>
      </c>
      <c r="M688">
        <v>50</v>
      </c>
      <c r="N688">
        <v>49.571651459000002</v>
      </c>
    </row>
    <row r="689" spans="1:14" x14ac:dyDescent="0.25">
      <c r="A689">
        <v>366.94085699999999</v>
      </c>
      <c r="B689" s="1">
        <f>DATE(2011,5,2) + TIME(22,34,50)</f>
        <v>40665.94085648148</v>
      </c>
      <c r="C689">
        <v>2400</v>
      </c>
      <c r="D689">
        <v>0</v>
      </c>
      <c r="E689">
        <v>0</v>
      </c>
      <c r="F689">
        <v>2400</v>
      </c>
      <c r="G689">
        <v>1395.3271483999999</v>
      </c>
      <c r="H689">
        <v>1379.8822021000001</v>
      </c>
      <c r="I689">
        <v>1286.9655762</v>
      </c>
      <c r="J689">
        <v>1268.0191649999999</v>
      </c>
      <c r="K689">
        <v>80</v>
      </c>
      <c r="L689">
        <v>77.734191894999995</v>
      </c>
      <c r="M689">
        <v>50</v>
      </c>
      <c r="N689">
        <v>49.555549622000001</v>
      </c>
    </row>
    <row r="690" spans="1:14" x14ac:dyDescent="0.25">
      <c r="A690">
        <v>367.03952900000002</v>
      </c>
      <c r="B690" s="1">
        <f>DATE(2011,5,3) + TIME(0,56,55)</f>
        <v>40666.039525462962</v>
      </c>
      <c r="C690">
        <v>2400</v>
      </c>
      <c r="D690">
        <v>0</v>
      </c>
      <c r="E690">
        <v>0</v>
      </c>
      <c r="F690">
        <v>2400</v>
      </c>
      <c r="G690">
        <v>1395.1860352000001</v>
      </c>
      <c r="H690">
        <v>1379.7875977000001</v>
      </c>
      <c r="I690">
        <v>1286.9627685999999</v>
      </c>
      <c r="J690">
        <v>1268.0151367000001</v>
      </c>
      <c r="K690">
        <v>80</v>
      </c>
      <c r="L690">
        <v>78.005828856999997</v>
      </c>
      <c r="M690">
        <v>50</v>
      </c>
      <c r="N690">
        <v>49.539398192999997</v>
      </c>
    </row>
    <row r="691" spans="1:14" x14ac:dyDescent="0.25">
      <c r="A691">
        <v>367.13928299999998</v>
      </c>
      <c r="B691" s="1">
        <f>DATE(2011,5,3) + TIME(3,20,34)</f>
        <v>40666.139282407406</v>
      </c>
      <c r="C691">
        <v>2400</v>
      </c>
      <c r="D691">
        <v>0</v>
      </c>
      <c r="E691">
        <v>0</v>
      </c>
      <c r="F691">
        <v>2400</v>
      </c>
      <c r="G691">
        <v>1395.0517577999999</v>
      </c>
      <c r="H691">
        <v>1379.6951904</v>
      </c>
      <c r="I691">
        <v>1286.9599608999999</v>
      </c>
      <c r="J691">
        <v>1268.0109863</v>
      </c>
      <c r="K691">
        <v>80</v>
      </c>
      <c r="L691">
        <v>78.245704650999997</v>
      </c>
      <c r="M691">
        <v>50</v>
      </c>
      <c r="N691">
        <v>49.523170471</v>
      </c>
    </row>
    <row r="692" spans="1:14" x14ac:dyDescent="0.25">
      <c r="A692">
        <v>367.24034399999999</v>
      </c>
      <c r="B692" s="1">
        <f>DATE(2011,5,3) + TIME(5,46,5)</f>
        <v>40666.240335648145</v>
      </c>
      <c r="C692">
        <v>2400</v>
      </c>
      <c r="D692">
        <v>0</v>
      </c>
      <c r="E692">
        <v>0</v>
      </c>
      <c r="F692">
        <v>2400</v>
      </c>
      <c r="G692">
        <v>1394.9235839999999</v>
      </c>
      <c r="H692">
        <v>1379.6047363</v>
      </c>
      <c r="I692">
        <v>1286.9570312000001</v>
      </c>
      <c r="J692">
        <v>1268.0068358999999</v>
      </c>
      <c r="K692">
        <v>80</v>
      </c>
      <c r="L692">
        <v>78.457618713000002</v>
      </c>
      <c r="M692">
        <v>50</v>
      </c>
      <c r="N692">
        <v>49.506824493000003</v>
      </c>
    </row>
    <row r="693" spans="1:14" x14ac:dyDescent="0.25">
      <c r="A693">
        <v>367.34293300000002</v>
      </c>
      <c r="B693" s="1">
        <f>DATE(2011,5,3) + TIME(8,13,49)</f>
        <v>40666.342928240738</v>
      </c>
      <c r="C693">
        <v>2400</v>
      </c>
      <c r="D693">
        <v>0</v>
      </c>
      <c r="E693">
        <v>0</v>
      </c>
      <c r="F693">
        <v>2400</v>
      </c>
      <c r="G693">
        <v>1394.8005370999999</v>
      </c>
      <c r="H693">
        <v>1379.5157471</v>
      </c>
      <c r="I693">
        <v>1286.9541016000001</v>
      </c>
      <c r="J693">
        <v>1268.0026855000001</v>
      </c>
      <c r="K693">
        <v>80</v>
      </c>
      <c r="L693">
        <v>78.644844054999993</v>
      </c>
      <c r="M693">
        <v>50</v>
      </c>
      <c r="N693">
        <v>49.490333557</v>
      </c>
    </row>
    <row r="694" spans="1:14" x14ac:dyDescent="0.25">
      <c r="A694">
        <v>367.447113</v>
      </c>
      <c r="B694" s="1">
        <f>DATE(2011,5,3) + TIME(10,43,50)</f>
        <v>40666.447106481479</v>
      </c>
      <c r="C694">
        <v>2400</v>
      </c>
      <c r="D694">
        <v>0</v>
      </c>
      <c r="E694">
        <v>0</v>
      </c>
      <c r="F694">
        <v>2400</v>
      </c>
      <c r="G694">
        <v>1394.6821289</v>
      </c>
      <c r="H694">
        <v>1379.4283447</v>
      </c>
      <c r="I694">
        <v>1286.9511719</v>
      </c>
      <c r="J694">
        <v>1267.9984131000001</v>
      </c>
      <c r="K694">
        <v>80</v>
      </c>
      <c r="L694">
        <v>78.809982300000001</v>
      </c>
      <c r="M694">
        <v>50</v>
      </c>
      <c r="N694">
        <v>49.473682404000002</v>
      </c>
    </row>
    <row r="695" spans="1:14" x14ac:dyDescent="0.25">
      <c r="A695">
        <v>367.55294500000002</v>
      </c>
      <c r="B695" s="1">
        <f>DATE(2011,5,3) + TIME(13,16,14)</f>
        <v>40666.552939814814</v>
      </c>
      <c r="C695">
        <v>2400</v>
      </c>
      <c r="D695">
        <v>0</v>
      </c>
      <c r="E695">
        <v>0</v>
      </c>
      <c r="F695">
        <v>2400</v>
      </c>
      <c r="G695">
        <v>1394.5678711</v>
      </c>
      <c r="H695">
        <v>1379.3421631000001</v>
      </c>
      <c r="I695">
        <v>1286.9481201000001</v>
      </c>
      <c r="J695">
        <v>1267.9940185999999</v>
      </c>
      <c r="K695">
        <v>80</v>
      </c>
      <c r="L695">
        <v>78.955406189000001</v>
      </c>
      <c r="M695">
        <v>50</v>
      </c>
      <c r="N695">
        <v>49.456867217999999</v>
      </c>
    </row>
    <row r="696" spans="1:14" x14ac:dyDescent="0.25">
      <c r="A696">
        <v>367.66064699999998</v>
      </c>
      <c r="B696" s="1">
        <f>DATE(2011,5,3) + TIME(15,51,19)</f>
        <v>40666.660636574074</v>
      </c>
      <c r="C696">
        <v>2400</v>
      </c>
      <c r="D696">
        <v>0</v>
      </c>
      <c r="E696">
        <v>0</v>
      </c>
      <c r="F696">
        <v>2400</v>
      </c>
      <c r="G696">
        <v>1394.4571533000001</v>
      </c>
      <c r="H696">
        <v>1379.2572021000001</v>
      </c>
      <c r="I696">
        <v>1286.9450684000001</v>
      </c>
      <c r="J696">
        <v>1267.989624</v>
      </c>
      <c r="K696">
        <v>80</v>
      </c>
      <c r="L696">
        <v>79.083396911999998</v>
      </c>
      <c r="M696">
        <v>50</v>
      </c>
      <c r="N696">
        <v>49.439853667999998</v>
      </c>
    </row>
    <row r="697" spans="1:14" x14ac:dyDescent="0.25">
      <c r="A697">
        <v>367.77043800000001</v>
      </c>
      <c r="B697" s="1">
        <f>DATE(2011,5,3) + TIME(18,29,25)</f>
        <v>40666.770428240743</v>
      </c>
      <c r="C697">
        <v>2400</v>
      </c>
      <c r="D697">
        <v>0</v>
      </c>
      <c r="E697">
        <v>0</v>
      </c>
      <c r="F697">
        <v>2400</v>
      </c>
      <c r="G697">
        <v>1394.3497314000001</v>
      </c>
      <c r="H697">
        <v>1379.1733397999999</v>
      </c>
      <c r="I697">
        <v>1286.9418945</v>
      </c>
      <c r="J697">
        <v>1267.9851074000001</v>
      </c>
      <c r="K697">
        <v>80</v>
      </c>
      <c r="L697">
        <v>79.195960998999993</v>
      </c>
      <c r="M697">
        <v>50</v>
      </c>
      <c r="N697">
        <v>49.422611236999998</v>
      </c>
    </row>
    <row r="698" spans="1:14" x14ac:dyDescent="0.25">
      <c r="A698">
        <v>367.882588</v>
      </c>
      <c r="B698" s="1">
        <f>DATE(2011,5,3) + TIME(21,10,55)</f>
        <v>40666.882581018515</v>
      </c>
      <c r="C698">
        <v>2400</v>
      </c>
      <c r="D698">
        <v>0</v>
      </c>
      <c r="E698">
        <v>0</v>
      </c>
      <c r="F698">
        <v>2400</v>
      </c>
      <c r="G698">
        <v>1394.2451172000001</v>
      </c>
      <c r="H698">
        <v>1379.090332</v>
      </c>
      <c r="I698">
        <v>1286.9385986</v>
      </c>
      <c r="J698">
        <v>1267.9804687999999</v>
      </c>
      <c r="K698">
        <v>80</v>
      </c>
      <c r="L698">
        <v>79.294891356999997</v>
      </c>
      <c r="M698">
        <v>50</v>
      </c>
      <c r="N698">
        <v>49.405101776000002</v>
      </c>
    </row>
    <row r="699" spans="1:14" x14ac:dyDescent="0.25">
      <c r="A699">
        <v>367.99731300000002</v>
      </c>
      <c r="B699" s="1">
        <f>DATE(2011,5,3) + TIME(23,56,7)</f>
        <v>40666.997303240743</v>
      </c>
      <c r="C699">
        <v>2400</v>
      </c>
      <c r="D699">
        <v>0</v>
      </c>
      <c r="E699">
        <v>0</v>
      </c>
      <c r="F699">
        <v>2400</v>
      </c>
      <c r="G699">
        <v>1394.1427002</v>
      </c>
      <c r="H699">
        <v>1379.0080565999999</v>
      </c>
      <c r="I699">
        <v>1286.9353027</v>
      </c>
      <c r="J699">
        <v>1267.9758300999999</v>
      </c>
      <c r="K699">
        <v>80</v>
      </c>
      <c r="L699">
        <v>79.381698607999994</v>
      </c>
      <c r="M699">
        <v>50</v>
      </c>
      <c r="N699">
        <v>49.387298584</v>
      </c>
    </row>
    <row r="700" spans="1:14" x14ac:dyDescent="0.25">
      <c r="A700">
        <v>368.11486600000001</v>
      </c>
      <c r="B700" s="1">
        <f>DATE(2011,5,4) + TIME(2,45,24)</f>
        <v>40667.114861111113</v>
      </c>
      <c r="C700">
        <v>2400</v>
      </c>
      <c r="D700">
        <v>0</v>
      </c>
      <c r="E700">
        <v>0</v>
      </c>
      <c r="F700">
        <v>2400</v>
      </c>
      <c r="G700">
        <v>1394.0424805</v>
      </c>
      <c r="H700">
        <v>1378.9262695</v>
      </c>
      <c r="I700">
        <v>1286.9318848</v>
      </c>
      <c r="J700">
        <v>1267.9710693</v>
      </c>
      <c r="K700">
        <v>80</v>
      </c>
      <c r="L700">
        <v>79.457740783999995</v>
      </c>
      <c r="M700">
        <v>50</v>
      </c>
      <c r="N700">
        <v>49.369167328000003</v>
      </c>
    </row>
    <row r="701" spans="1:14" x14ac:dyDescent="0.25">
      <c r="A701">
        <v>368.23552699999999</v>
      </c>
      <c r="B701" s="1">
        <f>DATE(2011,5,4) + TIME(5,39,9)</f>
        <v>40667.235520833332</v>
      </c>
      <c r="C701">
        <v>2400</v>
      </c>
      <c r="D701">
        <v>0</v>
      </c>
      <c r="E701">
        <v>0</v>
      </c>
      <c r="F701">
        <v>2400</v>
      </c>
      <c r="G701">
        <v>1393.9438477000001</v>
      </c>
      <c r="H701">
        <v>1378.8450928</v>
      </c>
      <c r="I701">
        <v>1286.9283447</v>
      </c>
      <c r="J701">
        <v>1267.9660644999999</v>
      </c>
      <c r="K701">
        <v>80</v>
      </c>
      <c r="L701">
        <v>79.524246215999995</v>
      </c>
      <c r="M701">
        <v>50</v>
      </c>
      <c r="N701">
        <v>49.350666046000001</v>
      </c>
    </row>
    <row r="702" spans="1:14" x14ac:dyDescent="0.25">
      <c r="A702">
        <v>368.359601</v>
      </c>
      <c r="B702" s="1">
        <f>DATE(2011,5,4) + TIME(8,37,49)</f>
        <v>40667.359594907408</v>
      </c>
      <c r="C702">
        <v>2400</v>
      </c>
      <c r="D702">
        <v>0</v>
      </c>
      <c r="E702">
        <v>0</v>
      </c>
      <c r="F702">
        <v>2400</v>
      </c>
      <c r="G702">
        <v>1393.8466797000001</v>
      </c>
      <c r="H702">
        <v>1378.7640381000001</v>
      </c>
      <c r="I702">
        <v>1286.9248047000001</v>
      </c>
      <c r="J702">
        <v>1267.9610596</v>
      </c>
      <c r="K702">
        <v>80</v>
      </c>
      <c r="L702">
        <v>79.582290649000001</v>
      </c>
      <c r="M702">
        <v>50</v>
      </c>
      <c r="N702">
        <v>49.331764221</v>
      </c>
    </row>
    <row r="703" spans="1:14" x14ac:dyDescent="0.25">
      <c r="A703">
        <v>368.48742299999998</v>
      </c>
      <c r="B703" s="1">
        <f>DATE(2011,5,4) + TIME(11,41,53)</f>
        <v>40667.48741898148</v>
      </c>
      <c r="C703">
        <v>2400</v>
      </c>
      <c r="D703">
        <v>0</v>
      </c>
      <c r="E703">
        <v>0</v>
      </c>
      <c r="F703">
        <v>2400</v>
      </c>
      <c r="G703">
        <v>1393.7504882999999</v>
      </c>
      <c r="H703">
        <v>1378.6832274999999</v>
      </c>
      <c r="I703">
        <v>1286.9210204999999</v>
      </c>
      <c r="J703">
        <v>1267.9558105000001</v>
      </c>
      <c r="K703">
        <v>80</v>
      </c>
      <c r="L703">
        <v>79.632835388000004</v>
      </c>
      <c r="M703">
        <v>50</v>
      </c>
      <c r="N703">
        <v>49.312408447000003</v>
      </c>
    </row>
    <row r="704" spans="1:14" x14ac:dyDescent="0.25">
      <c r="A704">
        <v>368.61935999999997</v>
      </c>
      <c r="B704" s="1">
        <f>DATE(2011,5,4) + TIME(14,51,52)</f>
        <v>40667.619351851848</v>
      </c>
      <c r="C704">
        <v>2400</v>
      </c>
      <c r="D704">
        <v>0</v>
      </c>
      <c r="E704">
        <v>0</v>
      </c>
      <c r="F704">
        <v>2400</v>
      </c>
      <c r="G704">
        <v>1393.6552733999999</v>
      </c>
      <c r="H704">
        <v>1378.6024170000001</v>
      </c>
      <c r="I704">
        <v>1286.9172363</v>
      </c>
      <c r="J704">
        <v>1267.9504394999999</v>
      </c>
      <c r="K704">
        <v>80</v>
      </c>
      <c r="L704">
        <v>79.676734924000002</v>
      </c>
      <c r="M704">
        <v>50</v>
      </c>
      <c r="N704">
        <v>49.292560577000003</v>
      </c>
    </row>
    <row r="705" spans="1:14" x14ac:dyDescent="0.25">
      <c r="A705">
        <v>368.75582100000003</v>
      </c>
      <c r="B705" s="1">
        <f>DATE(2011,5,4) + TIME(18,8,22)</f>
        <v>40667.755810185183</v>
      </c>
      <c r="C705">
        <v>2400</v>
      </c>
      <c r="D705">
        <v>0</v>
      </c>
      <c r="E705">
        <v>0</v>
      </c>
      <c r="F705">
        <v>2400</v>
      </c>
      <c r="G705">
        <v>1393.5606689000001</v>
      </c>
      <c r="H705">
        <v>1378.5214844</v>
      </c>
      <c r="I705">
        <v>1286.9132079999999</v>
      </c>
      <c r="J705">
        <v>1267.9449463000001</v>
      </c>
      <c r="K705">
        <v>80</v>
      </c>
      <c r="L705">
        <v>79.714759826999995</v>
      </c>
      <c r="M705">
        <v>50</v>
      </c>
      <c r="N705">
        <v>49.272163390999999</v>
      </c>
    </row>
    <row r="706" spans="1:14" x14ac:dyDescent="0.25">
      <c r="A706">
        <v>368.89726000000002</v>
      </c>
      <c r="B706" s="1">
        <f>DATE(2011,5,4) + TIME(21,32,3)</f>
        <v>40667.897256944445</v>
      </c>
      <c r="C706">
        <v>2400</v>
      </c>
      <c r="D706">
        <v>0</v>
      </c>
      <c r="E706">
        <v>0</v>
      </c>
      <c r="F706">
        <v>2400</v>
      </c>
      <c r="G706">
        <v>1393.4663086</v>
      </c>
      <c r="H706">
        <v>1378.4403076000001</v>
      </c>
      <c r="I706">
        <v>1286.9090576000001</v>
      </c>
      <c r="J706">
        <v>1267.9392089999999</v>
      </c>
      <c r="K706">
        <v>80</v>
      </c>
      <c r="L706">
        <v>79.747596740999995</v>
      </c>
      <c r="M706">
        <v>50</v>
      </c>
      <c r="N706">
        <v>49.251163482999999</v>
      </c>
    </row>
    <row r="707" spans="1:14" x14ac:dyDescent="0.25">
      <c r="A707">
        <v>369.04419200000001</v>
      </c>
      <c r="B707" s="1">
        <f>DATE(2011,5,5) + TIME(1,3,38)</f>
        <v>40668.044189814813</v>
      </c>
      <c r="C707">
        <v>2400</v>
      </c>
      <c r="D707">
        <v>0</v>
      </c>
      <c r="E707">
        <v>0</v>
      </c>
      <c r="F707">
        <v>2400</v>
      </c>
      <c r="G707">
        <v>1393.3720702999999</v>
      </c>
      <c r="H707">
        <v>1378.3586425999999</v>
      </c>
      <c r="I707">
        <v>1286.9047852000001</v>
      </c>
      <c r="J707">
        <v>1267.9332274999999</v>
      </c>
      <c r="K707">
        <v>80</v>
      </c>
      <c r="L707">
        <v>79.775856017999999</v>
      </c>
      <c r="M707">
        <v>50</v>
      </c>
      <c r="N707">
        <v>49.229496001999998</v>
      </c>
    </row>
    <row r="708" spans="1:14" x14ac:dyDescent="0.25">
      <c r="A708">
        <v>369.197247</v>
      </c>
      <c r="B708" s="1">
        <f>DATE(2011,5,5) + TIME(4,44,2)</f>
        <v>40668.197245370371</v>
      </c>
      <c r="C708">
        <v>2400</v>
      </c>
      <c r="D708">
        <v>0</v>
      </c>
      <c r="E708">
        <v>0</v>
      </c>
      <c r="F708">
        <v>2400</v>
      </c>
      <c r="G708">
        <v>1393.2775879000001</v>
      </c>
      <c r="H708">
        <v>1378.2764893000001</v>
      </c>
      <c r="I708">
        <v>1286.9003906</v>
      </c>
      <c r="J708">
        <v>1267.9270019999999</v>
      </c>
      <c r="K708">
        <v>80</v>
      </c>
      <c r="L708">
        <v>79.800086974999999</v>
      </c>
      <c r="M708">
        <v>50</v>
      </c>
      <c r="N708">
        <v>49.207080841</v>
      </c>
    </row>
    <row r="709" spans="1:14" x14ac:dyDescent="0.25">
      <c r="A709">
        <v>369.35709700000001</v>
      </c>
      <c r="B709" s="1">
        <f>DATE(2011,5,5) + TIME(8,34,13)</f>
        <v>40668.357094907406</v>
      </c>
      <c r="C709">
        <v>2400</v>
      </c>
      <c r="D709">
        <v>0</v>
      </c>
      <c r="E709">
        <v>0</v>
      </c>
      <c r="F709">
        <v>2400</v>
      </c>
      <c r="G709">
        <v>1393.1826172000001</v>
      </c>
      <c r="H709">
        <v>1378.1933594</v>
      </c>
      <c r="I709">
        <v>1286.8956298999999</v>
      </c>
      <c r="J709">
        <v>1267.9205322</v>
      </c>
      <c r="K709">
        <v>80</v>
      </c>
      <c r="L709">
        <v>79.820793151999993</v>
      </c>
      <c r="M709">
        <v>50</v>
      </c>
      <c r="N709">
        <v>49.183845519999998</v>
      </c>
    </row>
    <row r="710" spans="1:14" x14ac:dyDescent="0.25">
      <c r="A710">
        <v>369.52445399999999</v>
      </c>
      <c r="B710" s="1">
        <f>DATE(2011,5,5) + TIME(12,35,12)</f>
        <v>40668.524444444447</v>
      </c>
      <c r="C710">
        <v>2400</v>
      </c>
      <c r="D710">
        <v>0</v>
      </c>
      <c r="E710">
        <v>0</v>
      </c>
      <c r="F710">
        <v>2400</v>
      </c>
      <c r="G710">
        <v>1393.0869141000001</v>
      </c>
      <c r="H710">
        <v>1378.109375</v>
      </c>
      <c r="I710">
        <v>1286.8907471</v>
      </c>
      <c r="J710">
        <v>1267.9138184000001</v>
      </c>
      <c r="K710">
        <v>80</v>
      </c>
      <c r="L710">
        <v>79.838401794000006</v>
      </c>
      <c r="M710">
        <v>50</v>
      </c>
      <c r="N710">
        <v>49.159694672000001</v>
      </c>
    </row>
    <row r="711" spans="1:14" x14ac:dyDescent="0.25">
      <c r="A711">
        <v>369.69824599999998</v>
      </c>
      <c r="B711" s="1">
        <f>DATE(2011,5,5) + TIME(16,45,28)</f>
        <v>40668.698240740741</v>
      </c>
      <c r="C711">
        <v>2400</v>
      </c>
      <c r="D711">
        <v>0</v>
      </c>
      <c r="E711">
        <v>0</v>
      </c>
      <c r="F711">
        <v>2400</v>
      </c>
      <c r="G711">
        <v>1392.9902344</v>
      </c>
      <c r="H711">
        <v>1378.0242920000001</v>
      </c>
      <c r="I711">
        <v>1286.8856201000001</v>
      </c>
      <c r="J711">
        <v>1267.9067382999999</v>
      </c>
      <c r="K711">
        <v>80</v>
      </c>
      <c r="L711">
        <v>79.853172302000004</v>
      </c>
      <c r="M711">
        <v>50</v>
      </c>
      <c r="N711">
        <v>49.134765625</v>
      </c>
    </row>
    <row r="712" spans="1:14" x14ac:dyDescent="0.25">
      <c r="A712">
        <v>369.878806</v>
      </c>
      <c r="B712" s="1">
        <f>DATE(2011,5,5) + TIME(21,5,28)</f>
        <v>40668.878796296296</v>
      </c>
      <c r="C712">
        <v>2400</v>
      </c>
      <c r="D712">
        <v>0</v>
      </c>
      <c r="E712">
        <v>0</v>
      </c>
      <c r="F712">
        <v>2400</v>
      </c>
      <c r="G712">
        <v>1392.8933105000001</v>
      </c>
      <c r="H712">
        <v>1377.9387207</v>
      </c>
      <c r="I712">
        <v>1286.880249</v>
      </c>
      <c r="J712">
        <v>1267.8995361</v>
      </c>
      <c r="K712">
        <v>80</v>
      </c>
      <c r="L712">
        <v>79.865501404</v>
      </c>
      <c r="M712">
        <v>50</v>
      </c>
      <c r="N712">
        <v>49.109016418000003</v>
      </c>
    </row>
    <row r="713" spans="1:14" x14ac:dyDescent="0.25">
      <c r="A713">
        <v>370.06685399999998</v>
      </c>
      <c r="B713" s="1">
        <f>DATE(2011,5,6) + TIME(1,36,16)</f>
        <v>40669.066851851851</v>
      </c>
      <c r="C713">
        <v>2400</v>
      </c>
      <c r="D713">
        <v>0</v>
      </c>
      <c r="E713">
        <v>0</v>
      </c>
      <c r="F713">
        <v>2400</v>
      </c>
      <c r="G713">
        <v>1392.7958983999999</v>
      </c>
      <c r="H713">
        <v>1377.8526611</v>
      </c>
      <c r="I713">
        <v>1286.8746338000001</v>
      </c>
      <c r="J713">
        <v>1267.8918457</v>
      </c>
      <c r="K713">
        <v>80</v>
      </c>
      <c r="L713">
        <v>79.875755310000002</v>
      </c>
      <c r="M713">
        <v>50</v>
      </c>
      <c r="N713">
        <v>49.082370758000003</v>
      </c>
    </row>
    <row r="714" spans="1:14" x14ac:dyDescent="0.25">
      <c r="A714">
        <v>370.26327199999997</v>
      </c>
      <c r="B714" s="1">
        <f>DATE(2011,5,6) + TIME(6,19,6)</f>
        <v>40669.26326388889</v>
      </c>
      <c r="C714">
        <v>2400</v>
      </c>
      <c r="D714">
        <v>0</v>
      </c>
      <c r="E714">
        <v>0</v>
      </c>
      <c r="F714">
        <v>2400</v>
      </c>
      <c r="G714">
        <v>1392.697876</v>
      </c>
      <c r="H714">
        <v>1377.7658690999999</v>
      </c>
      <c r="I714">
        <v>1286.8688964999999</v>
      </c>
      <c r="J714">
        <v>1267.8839111</v>
      </c>
      <c r="K714">
        <v>80</v>
      </c>
      <c r="L714">
        <v>79.884254455999994</v>
      </c>
      <c r="M714">
        <v>50</v>
      </c>
      <c r="N714">
        <v>49.054721831999998</v>
      </c>
    </row>
    <row r="715" spans="1:14" x14ac:dyDescent="0.25">
      <c r="A715">
        <v>370.46304800000001</v>
      </c>
      <c r="B715" s="1">
        <f>DATE(2011,5,6) + TIME(11,6,47)</f>
        <v>40669.463043981479</v>
      </c>
      <c r="C715">
        <v>2400</v>
      </c>
      <c r="D715">
        <v>0</v>
      </c>
      <c r="E715">
        <v>0</v>
      </c>
      <c r="F715">
        <v>2400</v>
      </c>
      <c r="G715">
        <v>1392.598999</v>
      </c>
      <c r="H715">
        <v>1377.6781006000001</v>
      </c>
      <c r="I715">
        <v>1286.8626709</v>
      </c>
      <c r="J715">
        <v>1267.8757324000001</v>
      </c>
      <c r="K715">
        <v>80</v>
      </c>
      <c r="L715">
        <v>79.891120911000002</v>
      </c>
      <c r="M715">
        <v>50</v>
      </c>
      <c r="N715">
        <v>49.02664566</v>
      </c>
    </row>
    <row r="716" spans="1:14" x14ac:dyDescent="0.25">
      <c r="A716">
        <v>370.663838</v>
      </c>
      <c r="B716" s="1">
        <f>DATE(2011,5,6) + TIME(15,55,55)</f>
        <v>40669.663831018515</v>
      </c>
      <c r="C716">
        <v>2400</v>
      </c>
      <c r="D716">
        <v>0</v>
      </c>
      <c r="E716">
        <v>0</v>
      </c>
      <c r="F716">
        <v>2400</v>
      </c>
      <c r="G716">
        <v>1392.5017089999999</v>
      </c>
      <c r="H716">
        <v>1377.5917969</v>
      </c>
      <c r="I716">
        <v>1286.8563231999999</v>
      </c>
      <c r="J716">
        <v>1267.8673096</v>
      </c>
      <c r="K716">
        <v>80</v>
      </c>
      <c r="L716">
        <v>79.896614075000002</v>
      </c>
      <c r="M716">
        <v>50</v>
      </c>
      <c r="N716">
        <v>48.998424530000001</v>
      </c>
    </row>
    <row r="717" spans="1:14" x14ac:dyDescent="0.25">
      <c r="A717">
        <v>370.86615</v>
      </c>
      <c r="B717" s="1">
        <f>DATE(2011,5,6) + TIME(20,47,15)</f>
        <v>40669.86614583333</v>
      </c>
      <c r="C717">
        <v>2400</v>
      </c>
      <c r="D717">
        <v>0</v>
      </c>
      <c r="E717">
        <v>0</v>
      </c>
      <c r="F717">
        <v>2400</v>
      </c>
      <c r="G717">
        <v>1392.4069824000001</v>
      </c>
      <c r="H717">
        <v>1377.5076904</v>
      </c>
      <c r="I717">
        <v>1286.8499756000001</v>
      </c>
      <c r="J717">
        <v>1267.8588867000001</v>
      </c>
      <c r="K717">
        <v>80</v>
      </c>
      <c r="L717">
        <v>79.901023864999999</v>
      </c>
      <c r="M717">
        <v>50</v>
      </c>
      <c r="N717">
        <v>48.970027924</v>
      </c>
    </row>
    <row r="718" spans="1:14" x14ac:dyDescent="0.25">
      <c r="A718">
        <v>371.07050900000002</v>
      </c>
      <c r="B718" s="1">
        <f>DATE(2011,5,7) + TIME(1,41,31)</f>
        <v>40670.070497685185</v>
      </c>
      <c r="C718">
        <v>2400</v>
      </c>
      <c r="D718">
        <v>0</v>
      </c>
      <c r="E718">
        <v>0</v>
      </c>
      <c r="F718">
        <v>2400</v>
      </c>
      <c r="G718">
        <v>1392.3143310999999</v>
      </c>
      <c r="H718">
        <v>1377.4256591999999</v>
      </c>
      <c r="I718">
        <v>1286.8436279</v>
      </c>
      <c r="J718">
        <v>1267.8503418</v>
      </c>
      <c r="K718">
        <v>80</v>
      </c>
      <c r="L718">
        <v>79.904586792000003</v>
      </c>
      <c r="M718">
        <v>50</v>
      </c>
      <c r="N718">
        <v>48.941413879000002</v>
      </c>
    </row>
    <row r="719" spans="1:14" x14ac:dyDescent="0.25">
      <c r="A719">
        <v>371.27739700000001</v>
      </c>
      <c r="B719" s="1">
        <f>DATE(2011,5,7) + TIME(6,39,27)</f>
        <v>40670.277395833335</v>
      </c>
      <c r="C719">
        <v>2400</v>
      </c>
      <c r="D719">
        <v>0</v>
      </c>
      <c r="E719">
        <v>0</v>
      </c>
      <c r="F719">
        <v>2400</v>
      </c>
      <c r="G719">
        <v>1392.2236327999999</v>
      </c>
      <c r="H719">
        <v>1377.3450928</v>
      </c>
      <c r="I719">
        <v>1286.8371582</v>
      </c>
      <c r="J719">
        <v>1267.8416748</v>
      </c>
      <c r="K719">
        <v>80</v>
      </c>
      <c r="L719">
        <v>79.907478333</v>
      </c>
      <c r="M719">
        <v>50</v>
      </c>
      <c r="N719">
        <v>48.912540436</v>
      </c>
    </row>
    <row r="720" spans="1:14" x14ac:dyDescent="0.25">
      <c r="A720">
        <v>371.48724800000002</v>
      </c>
      <c r="B720" s="1">
        <f>DATE(2011,5,7) + TIME(11,41,38)</f>
        <v>40670.487245370372</v>
      </c>
      <c r="C720">
        <v>2400</v>
      </c>
      <c r="D720">
        <v>0</v>
      </c>
      <c r="E720">
        <v>0</v>
      </c>
      <c r="F720">
        <v>2400</v>
      </c>
      <c r="G720">
        <v>1392.1343993999999</v>
      </c>
      <c r="H720">
        <v>1377.2659911999999</v>
      </c>
      <c r="I720">
        <v>1286.8306885</v>
      </c>
      <c r="J720">
        <v>1267.8330077999999</v>
      </c>
      <c r="K720">
        <v>80</v>
      </c>
      <c r="L720">
        <v>79.909835814999994</v>
      </c>
      <c r="M720">
        <v>50</v>
      </c>
      <c r="N720">
        <v>48.883377074999999</v>
      </c>
    </row>
    <row r="721" spans="1:14" x14ac:dyDescent="0.25">
      <c r="A721">
        <v>371.70055200000002</v>
      </c>
      <c r="B721" s="1">
        <f>DATE(2011,5,7) + TIME(16,48,47)</f>
        <v>40670.700543981482</v>
      </c>
      <c r="C721">
        <v>2400</v>
      </c>
      <c r="D721">
        <v>0</v>
      </c>
      <c r="E721">
        <v>0</v>
      </c>
      <c r="F721">
        <v>2400</v>
      </c>
      <c r="G721">
        <v>1392.0463867000001</v>
      </c>
      <c r="H721">
        <v>1377.1881103999999</v>
      </c>
      <c r="I721">
        <v>1286.8239745999999</v>
      </c>
      <c r="J721">
        <v>1267.8240966999999</v>
      </c>
      <c r="K721">
        <v>80</v>
      </c>
      <c r="L721">
        <v>79.911766052000004</v>
      </c>
      <c r="M721">
        <v>50</v>
      </c>
      <c r="N721">
        <v>48.853866576999998</v>
      </c>
    </row>
    <row r="722" spans="1:14" x14ac:dyDescent="0.25">
      <c r="A722">
        <v>371.917777</v>
      </c>
      <c r="B722" s="1">
        <f>DATE(2011,5,7) + TIME(22,1,35)</f>
        <v>40670.917766203704</v>
      </c>
      <c r="C722">
        <v>2400</v>
      </c>
      <c r="D722">
        <v>0</v>
      </c>
      <c r="E722">
        <v>0</v>
      </c>
      <c r="F722">
        <v>2400</v>
      </c>
      <c r="G722">
        <v>1391.9593506000001</v>
      </c>
      <c r="H722">
        <v>1377.1110839999999</v>
      </c>
      <c r="I722">
        <v>1286.8172606999999</v>
      </c>
      <c r="J722">
        <v>1267.8150635</v>
      </c>
      <c r="K722">
        <v>80</v>
      </c>
      <c r="L722">
        <v>79.913345336999996</v>
      </c>
      <c r="M722">
        <v>50</v>
      </c>
      <c r="N722">
        <v>48.823963165000002</v>
      </c>
    </row>
    <row r="723" spans="1:14" x14ac:dyDescent="0.25">
      <c r="A723">
        <v>372.13843500000002</v>
      </c>
      <c r="B723" s="1">
        <f>DATE(2011,5,8) + TIME(3,19,20)</f>
        <v>40671.138425925928</v>
      </c>
      <c r="C723">
        <v>2400</v>
      </c>
      <c r="D723">
        <v>0</v>
      </c>
      <c r="E723">
        <v>0</v>
      </c>
      <c r="F723">
        <v>2400</v>
      </c>
      <c r="G723">
        <v>1391.8731689000001</v>
      </c>
      <c r="H723">
        <v>1377.0347899999999</v>
      </c>
      <c r="I723">
        <v>1286.8104248</v>
      </c>
      <c r="J723">
        <v>1267.8059082</v>
      </c>
      <c r="K723">
        <v>80</v>
      </c>
      <c r="L723">
        <v>79.914649963000002</v>
      </c>
      <c r="M723">
        <v>50</v>
      </c>
      <c r="N723">
        <v>48.793727875000002</v>
      </c>
    </row>
    <row r="724" spans="1:14" x14ac:dyDescent="0.25">
      <c r="A724">
        <v>372.36302000000001</v>
      </c>
      <c r="B724" s="1">
        <f>DATE(2011,5,8) + TIME(8,42,44)</f>
        <v>40671.363009259258</v>
      </c>
      <c r="C724">
        <v>2400</v>
      </c>
      <c r="D724">
        <v>0</v>
      </c>
      <c r="E724">
        <v>0</v>
      </c>
      <c r="F724">
        <v>2400</v>
      </c>
      <c r="G724">
        <v>1391.7878418</v>
      </c>
      <c r="H724">
        <v>1376.9594727000001</v>
      </c>
      <c r="I724">
        <v>1286.8033447</v>
      </c>
      <c r="J724">
        <v>1267.7965088000001</v>
      </c>
      <c r="K724">
        <v>80</v>
      </c>
      <c r="L724">
        <v>79.915733337000006</v>
      </c>
      <c r="M724">
        <v>50</v>
      </c>
      <c r="N724">
        <v>48.763107300000001</v>
      </c>
    </row>
    <row r="725" spans="1:14" x14ac:dyDescent="0.25">
      <c r="A725">
        <v>372.59204899999997</v>
      </c>
      <c r="B725" s="1">
        <f>DATE(2011,5,8) + TIME(14,12,33)</f>
        <v>40671.592048611114</v>
      </c>
      <c r="C725">
        <v>2400</v>
      </c>
      <c r="D725">
        <v>0</v>
      </c>
      <c r="E725">
        <v>0</v>
      </c>
      <c r="F725">
        <v>2400</v>
      </c>
      <c r="G725">
        <v>1391.7032471</v>
      </c>
      <c r="H725">
        <v>1376.8848877</v>
      </c>
      <c r="I725">
        <v>1286.7962646000001</v>
      </c>
      <c r="J725">
        <v>1267.7869873</v>
      </c>
      <c r="K725">
        <v>80</v>
      </c>
      <c r="L725">
        <v>79.916633606000005</v>
      </c>
      <c r="M725">
        <v>50</v>
      </c>
      <c r="N725">
        <v>48.732051849000001</v>
      </c>
    </row>
    <row r="726" spans="1:14" x14ac:dyDescent="0.25">
      <c r="A726">
        <v>372.82607200000001</v>
      </c>
      <c r="B726" s="1">
        <f>DATE(2011,5,8) + TIME(19,49,32)</f>
        <v>40671.826064814813</v>
      </c>
      <c r="C726">
        <v>2400</v>
      </c>
      <c r="D726">
        <v>0</v>
      </c>
      <c r="E726">
        <v>0</v>
      </c>
      <c r="F726">
        <v>2400</v>
      </c>
      <c r="G726">
        <v>1391.6192627</v>
      </c>
      <c r="H726">
        <v>1376.8107910000001</v>
      </c>
      <c r="I726">
        <v>1286.7889404</v>
      </c>
      <c r="J726">
        <v>1267.7773437999999</v>
      </c>
      <c r="K726">
        <v>80</v>
      </c>
      <c r="L726">
        <v>79.917381286999998</v>
      </c>
      <c r="M726">
        <v>50</v>
      </c>
      <c r="N726">
        <v>48.700500488000003</v>
      </c>
    </row>
    <row r="727" spans="1:14" x14ac:dyDescent="0.25">
      <c r="A727">
        <v>373.06568099999998</v>
      </c>
      <c r="B727" s="1">
        <f>DATE(2011,5,9) + TIME(1,34,34)</f>
        <v>40672.065671296295</v>
      </c>
      <c r="C727">
        <v>2400</v>
      </c>
      <c r="D727">
        <v>0</v>
      </c>
      <c r="E727">
        <v>0</v>
      </c>
      <c r="F727">
        <v>2400</v>
      </c>
      <c r="G727">
        <v>1391.5356445</v>
      </c>
      <c r="H727">
        <v>1376.7370605000001</v>
      </c>
      <c r="I727">
        <v>1286.7814940999999</v>
      </c>
      <c r="J727">
        <v>1267.7673339999999</v>
      </c>
      <c r="K727">
        <v>80</v>
      </c>
      <c r="L727">
        <v>79.918014525999993</v>
      </c>
      <c r="M727">
        <v>50</v>
      </c>
      <c r="N727">
        <v>48.668388366999999</v>
      </c>
    </row>
    <row r="728" spans="1:14" x14ac:dyDescent="0.25">
      <c r="A728">
        <v>373.31151999999997</v>
      </c>
      <c r="B728" s="1">
        <f>DATE(2011,5,9) + TIME(7,28,35)</f>
        <v>40672.311516203707</v>
      </c>
      <c r="C728">
        <v>2400</v>
      </c>
      <c r="D728">
        <v>0</v>
      </c>
      <c r="E728">
        <v>0</v>
      </c>
      <c r="F728">
        <v>2400</v>
      </c>
      <c r="G728">
        <v>1391.4521483999999</v>
      </c>
      <c r="H728">
        <v>1376.6636963000001</v>
      </c>
      <c r="I728">
        <v>1286.7739257999999</v>
      </c>
      <c r="J728">
        <v>1267.7572021000001</v>
      </c>
      <c r="K728">
        <v>80</v>
      </c>
      <c r="L728">
        <v>79.918548584000007</v>
      </c>
      <c r="M728">
        <v>50</v>
      </c>
      <c r="N728">
        <v>48.635654449</v>
      </c>
    </row>
    <row r="729" spans="1:14" x14ac:dyDescent="0.25">
      <c r="A729">
        <v>373.56429800000001</v>
      </c>
      <c r="B729" s="1">
        <f>DATE(2011,5,9) + TIME(13,32,35)</f>
        <v>40672.564293981479</v>
      </c>
      <c r="C729">
        <v>2400</v>
      </c>
      <c r="D729">
        <v>0</v>
      </c>
      <c r="E729">
        <v>0</v>
      </c>
      <c r="F729">
        <v>2400</v>
      </c>
      <c r="G729">
        <v>1391.3685303</v>
      </c>
      <c r="H729">
        <v>1376.5902100000001</v>
      </c>
      <c r="I729">
        <v>1286.7659911999999</v>
      </c>
      <c r="J729">
        <v>1267.7467041</v>
      </c>
      <c r="K729">
        <v>80</v>
      </c>
      <c r="L729">
        <v>79.919006347999996</v>
      </c>
      <c r="M729">
        <v>50</v>
      </c>
      <c r="N729">
        <v>48.602214813000003</v>
      </c>
    </row>
    <row r="730" spans="1:14" x14ac:dyDescent="0.25">
      <c r="A730">
        <v>373.82479599999999</v>
      </c>
      <c r="B730" s="1">
        <f>DATE(2011,5,9) + TIME(19,47,42)</f>
        <v>40672.824791666666</v>
      </c>
      <c r="C730">
        <v>2400</v>
      </c>
      <c r="D730">
        <v>0</v>
      </c>
      <c r="E730">
        <v>0</v>
      </c>
      <c r="F730">
        <v>2400</v>
      </c>
      <c r="G730">
        <v>1391.2847899999999</v>
      </c>
      <c r="H730">
        <v>1376.5166016000001</v>
      </c>
      <c r="I730">
        <v>1286.7579346</v>
      </c>
      <c r="J730">
        <v>1267.7359618999999</v>
      </c>
      <c r="K730">
        <v>80</v>
      </c>
      <c r="L730">
        <v>79.919395446999999</v>
      </c>
      <c r="M730">
        <v>50</v>
      </c>
      <c r="N730">
        <v>48.567989349000001</v>
      </c>
    </row>
    <row r="731" spans="1:14" x14ac:dyDescent="0.25">
      <c r="A731">
        <v>374.09388999999999</v>
      </c>
      <c r="B731" s="1">
        <f>DATE(2011,5,10) + TIME(2,15,12)</f>
        <v>40673.093888888892</v>
      </c>
      <c r="C731">
        <v>2400</v>
      </c>
      <c r="D731">
        <v>0</v>
      </c>
      <c r="E731">
        <v>0</v>
      </c>
      <c r="F731">
        <v>2400</v>
      </c>
      <c r="G731">
        <v>1391.2005615</v>
      </c>
      <c r="H731">
        <v>1376.442749</v>
      </c>
      <c r="I731">
        <v>1286.7496338000001</v>
      </c>
      <c r="J731">
        <v>1267.7249756000001</v>
      </c>
      <c r="K731">
        <v>80</v>
      </c>
      <c r="L731">
        <v>79.919731139999996</v>
      </c>
      <c r="M731">
        <v>50</v>
      </c>
      <c r="N731">
        <v>48.532886505</v>
      </c>
    </row>
    <row r="732" spans="1:14" x14ac:dyDescent="0.25">
      <c r="A732">
        <v>374.37269600000002</v>
      </c>
      <c r="B732" s="1">
        <f>DATE(2011,5,10) + TIME(8,56,40)</f>
        <v>40673.372685185182</v>
      </c>
      <c r="C732">
        <v>2400</v>
      </c>
      <c r="D732">
        <v>0</v>
      </c>
      <c r="E732">
        <v>0</v>
      </c>
      <c r="F732">
        <v>2400</v>
      </c>
      <c r="G732">
        <v>1391.1157227000001</v>
      </c>
      <c r="H732">
        <v>1376.3685303</v>
      </c>
      <c r="I732">
        <v>1286.7409668</v>
      </c>
      <c r="J732">
        <v>1267.713501</v>
      </c>
      <c r="K732">
        <v>80</v>
      </c>
      <c r="L732">
        <v>79.920013428000004</v>
      </c>
      <c r="M732">
        <v>50</v>
      </c>
      <c r="N732">
        <v>48.496788025000001</v>
      </c>
    </row>
    <row r="733" spans="1:14" x14ac:dyDescent="0.25">
      <c r="A733">
        <v>374.66228899999999</v>
      </c>
      <c r="B733" s="1">
        <f>DATE(2011,5,10) + TIME(15,53,41)</f>
        <v>40673.662280092591</v>
      </c>
      <c r="C733">
        <v>2400</v>
      </c>
      <c r="D733">
        <v>0</v>
      </c>
      <c r="E733">
        <v>0</v>
      </c>
      <c r="F733">
        <v>2400</v>
      </c>
      <c r="G733">
        <v>1391.0300293</v>
      </c>
      <c r="H733">
        <v>1376.293457</v>
      </c>
      <c r="I733">
        <v>1286.7320557</v>
      </c>
      <c r="J733">
        <v>1267.7016602000001</v>
      </c>
      <c r="K733">
        <v>80</v>
      </c>
      <c r="L733">
        <v>79.920257567999997</v>
      </c>
      <c r="M733">
        <v>50</v>
      </c>
      <c r="N733">
        <v>48.459583281999997</v>
      </c>
    </row>
    <row r="734" spans="1:14" x14ac:dyDescent="0.25">
      <c r="A734">
        <v>374.96095100000002</v>
      </c>
      <c r="B734" s="1">
        <f>DATE(2011,5,10) + TIME(23,3,46)</f>
        <v>40673.960949074077</v>
      </c>
      <c r="C734">
        <v>2400</v>
      </c>
      <c r="D734">
        <v>0</v>
      </c>
      <c r="E734">
        <v>0</v>
      </c>
      <c r="F734">
        <v>2400</v>
      </c>
      <c r="G734">
        <v>1390.9432373</v>
      </c>
      <c r="H734">
        <v>1376.2175293</v>
      </c>
      <c r="I734">
        <v>1286.7227783000001</v>
      </c>
      <c r="J734">
        <v>1267.6893310999999</v>
      </c>
      <c r="K734">
        <v>80</v>
      </c>
      <c r="L734">
        <v>79.920471191000004</v>
      </c>
      <c r="M734">
        <v>50</v>
      </c>
      <c r="N734">
        <v>48.421421051000003</v>
      </c>
    </row>
    <row r="735" spans="1:14" x14ac:dyDescent="0.25">
      <c r="A735">
        <v>375.26862399999999</v>
      </c>
      <c r="B735" s="1">
        <f>DATE(2011,5,11) + TIME(6,26,49)</f>
        <v>40674.268622685187</v>
      </c>
      <c r="C735">
        <v>2400</v>
      </c>
      <c r="D735">
        <v>0</v>
      </c>
      <c r="E735">
        <v>0</v>
      </c>
      <c r="F735">
        <v>2400</v>
      </c>
      <c r="G735">
        <v>1390.855957</v>
      </c>
      <c r="H735">
        <v>1376.1413574000001</v>
      </c>
      <c r="I735">
        <v>1286.7130127</v>
      </c>
      <c r="J735">
        <v>1267.6766356999999</v>
      </c>
      <c r="K735">
        <v>80</v>
      </c>
      <c r="L735">
        <v>79.920654296999999</v>
      </c>
      <c r="M735">
        <v>50</v>
      </c>
      <c r="N735">
        <v>48.382312775000003</v>
      </c>
    </row>
    <row r="736" spans="1:14" x14ac:dyDescent="0.25">
      <c r="A736">
        <v>375.579767</v>
      </c>
      <c r="B736" s="1">
        <f>DATE(2011,5,11) + TIME(13,54,51)</f>
        <v>40674.579756944448</v>
      </c>
      <c r="C736">
        <v>2400</v>
      </c>
      <c r="D736">
        <v>0</v>
      </c>
      <c r="E736">
        <v>0</v>
      </c>
      <c r="F736">
        <v>2400</v>
      </c>
      <c r="G736">
        <v>1390.7683105000001</v>
      </c>
      <c r="H736">
        <v>1376.0648193</v>
      </c>
      <c r="I736">
        <v>1286.7030029</v>
      </c>
      <c r="J736">
        <v>1267.6634521000001</v>
      </c>
      <c r="K736">
        <v>80</v>
      </c>
      <c r="L736">
        <v>79.920799255000006</v>
      </c>
      <c r="M736">
        <v>50</v>
      </c>
      <c r="N736">
        <v>48.342781066999997</v>
      </c>
    </row>
    <row r="737" spans="1:14" x14ac:dyDescent="0.25">
      <c r="A737">
        <v>375.89259500000003</v>
      </c>
      <c r="B737" s="1">
        <f>DATE(2011,5,11) + TIME(21,25,20)</f>
        <v>40674.892592592594</v>
      </c>
      <c r="C737">
        <v>2400</v>
      </c>
      <c r="D737">
        <v>0</v>
      </c>
      <c r="E737">
        <v>0</v>
      </c>
      <c r="F737">
        <v>2400</v>
      </c>
      <c r="G737">
        <v>1390.6817627</v>
      </c>
      <c r="H737">
        <v>1375.9895019999999</v>
      </c>
      <c r="I737">
        <v>1286.6928711</v>
      </c>
      <c r="J737">
        <v>1267.6502685999999</v>
      </c>
      <c r="K737">
        <v>80</v>
      </c>
      <c r="L737">
        <v>79.920928954999994</v>
      </c>
      <c r="M737">
        <v>50</v>
      </c>
      <c r="N737">
        <v>48.30304718</v>
      </c>
    </row>
    <row r="738" spans="1:14" x14ac:dyDescent="0.25">
      <c r="A738">
        <v>376.20794999999998</v>
      </c>
      <c r="B738" s="1">
        <f>DATE(2011,5,12) + TIME(4,59,26)</f>
        <v>40675.207939814813</v>
      </c>
      <c r="C738">
        <v>2400</v>
      </c>
      <c r="D738">
        <v>0</v>
      </c>
      <c r="E738">
        <v>0</v>
      </c>
      <c r="F738">
        <v>2400</v>
      </c>
      <c r="G738">
        <v>1390.5970459</v>
      </c>
      <c r="H738">
        <v>1375.9155272999999</v>
      </c>
      <c r="I738">
        <v>1286.6826172000001</v>
      </c>
      <c r="J738">
        <v>1267.6368408000001</v>
      </c>
      <c r="K738">
        <v>80</v>
      </c>
      <c r="L738">
        <v>79.921028136999993</v>
      </c>
      <c r="M738">
        <v>50</v>
      </c>
      <c r="N738">
        <v>48.263084411999998</v>
      </c>
    </row>
    <row r="739" spans="1:14" x14ac:dyDescent="0.25">
      <c r="A739">
        <v>376.52650399999999</v>
      </c>
      <c r="B739" s="1">
        <f>DATE(2011,5,12) + TIME(12,38,9)</f>
        <v>40675.526493055557</v>
      </c>
      <c r="C739">
        <v>2400</v>
      </c>
      <c r="D739">
        <v>0</v>
      </c>
      <c r="E739">
        <v>0</v>
      </c>
      <c r="F739">
        <v>2400</v>
      </c>
      <c r="G739">
        <v>1390.5135498</v>
      </c>
      <c r="H739">
        <v>1375.8430175999999</v>
      </c>
      <c r="I739">
        <v>1286.6723632999999</v>
      </c>
      <c r="J739">
        <v>1267.6234131000001</v>
      </c>
      <c r="K739">
        <v>80</v>
      </c>
      <c r="L739">
        <v>79.921119689999998</v>
      </c>
      <c r="M739">
        <v>50</v>
      </c>
      <c r="N739">
        <v>48.222862243999998</v>
      </c>
    </row>
    <row r="740" spans="1:14" x14ac:dyDescent="0.25">
      <c r="A740">
        <v>376.84902499999998</v>
      </c>
      <c r="B740" s="1">
        <f>DATE(2011,5,12) + TIME(20,22,35)</f>
        <v>40675.849016203705</v>
      </c>
      <c r="C740">
        <v>2400</v>
      </c>
      <c r="D740">
        <v>0</v>
      </c>
      <c r="E740">
        <v>0</v>
      </c>
      <c r="F740">
        <v>2400</v>
      </c>
      <c r="G740">
        <v>1390.4311522999999</v>
      </c>
      <c r="H740">
        <v>1375.7713623</v>
      </c>
      <c r="I740">
        <v>1286.6618652</v>
      </c>
      <c r="J740">
        <v>1267.6097411999999</v>
      </c>
      <c r="K740">
        <v>80</v>
      </c>
      <c r="L740">
        <v>79.921188353999995</v>
      </c>
      <c r="M740">
        <v>50</v>
      </c>
      <c r="N740">
        <v>48.182334900000001</v>
      </c>
    </row>
    <row r="741" spans="1:14" x14ac:dyDescent="0.25">
      <c r="A741">
        <v>377.17629199999999</v>
      </c>
      <c r="B741" s="1">
        <f>DATE(2011,5,13) + TIME(4,13,51)</f>
        <v>40676.17628472222</v>
      </c>
      <c r="C741">
        <v>2400</v>
      </c>
      <c r="D741">
        <v>0</v>
      </c>
      <c r="E741">
        <v>0</v>
      </c>
      <c r="F741">
        <v>2400</v>
      </c>
      <c r="G741">
        <v>1390.3497314000001</v>
      </c>
      <c r="H741">
        <v>1375.7006836</v>
      </c>
      <c r="I741">
        <v>1286.6513672000001</v>
      </c>
      <c r="J741">
        <v>1267.5959473</v>
      </c>
      <c r="K741">
        <v>80</v>
      </c>
      <c r="L741">
        <v>79.92124939</v>
      </c>
      <c r="M741">
        <v>50</v>
      </c>
      <c r="N741">
        <v>48.141441344999997</v>
      </c>
    </row>
    <row r="742" spans="1:14" x14ac:dyDescent="0.25">
      <c r="A742">
        <v>377.509118</v>
      </c>
      <c r="B742" s="1">
        <f>DATE(2011,5,13) + TIME(12,13,7)</f>
        <v>40676.509108796294</v>
      </c>
      <c r="C742">
        <v>2400</v>
      </c>
      <c r="D742">
        <v>0</v>
      </c>
      <c r="E742">
        <v>0</v>
      </c>
      <c r="F742">
        <v>2400</v>
      </c>
      <c r="G742">
        <v>1390.2689209</v>
      </c>
      <c r="H742">
        <v>1375.6304932</v>
      </c>
      <c r="I742">
        <v>1286.640625</v>
      </c>
      <c r="J742">
        <v>1267.5817870999999</v>
      </c>
      <c r="K742">
        <v>80</v>
      </c>
      <c r="L742">
        <v>79.921302795000003</v>
      </c>
      <c r="M742">
        <v>50</v>
      </c>
      <c r="N742">
        <v>48.100105286000002</v>
      </c>
    </row>
    <row r="743" spans="1:14" x14ac:dyDescent="0.25">
      <c r="A743">
        <v>377.84835700000002</v>
      </c>
      <c r="B743" s="1">
        <f>DATE(2011,5,13) + TIME(20,21,38)</f>
        <v>40676.848356481481</v>
      </c>
      <c r="C743">
        <v>2400</v>
      </c>
      <c r="D743">
        <v>0</v>
      </c>
      <c r="E743">
        <v>0</v>
      </c>
      <c r="F743">
        <v>2400</v>
      </c>
      <c r="G743">
        <v>1390.1885986</v>
      </c>
      <c r="H743">
        <v>1375.5609131000001</v>
      </c>
      <c r="I743">
        <v>1286.6296387</v>
      </c>
      <c r="J743">
        <v>1267.5675048999999</v>
      </c>
      <c r="K743">
        <v>80</v>
      </c>
      <c r="L743">
        <v>79.921340942</v>
      </c>
      <c r="M743">
        <v>50</v>
      </c>
      <c r="N743">
        <v>48.058254241999997</v>
      </c>
    </row>
    <row r="744" spans="1:14" x14ac:dyDescent="0.25">
      <c r="A744">
        <v>378.19492000000002</v>
      </c>
      <c r="B744" s="1">
        <f>DATE(2011,5,14) + TIME(4,40,41)</f>
        <v>40677.194918981484</v>
      </c>
      <c r="C744">
        <v>2400</v>
      </c>
      <c r="D744">
        <v>0</v>
      </c>
      <c r="E744">
        <v>0</v>
      </c>
      <c r="F744">
        <v>2400</v>
      </c>
      <c r="G744">
        <v>1390.1085204999999</v>
      </c>
      <c r="H744">
        <v>1375.4915771000001</v>
      </c>
      <c r="I744">
        <v>1286.6185303</v>
      </c>
      <c r="J744">
        <v>1267.5528564000001</v>
      </c>
      <c r="K744">
        <v>80</v>
      </c>
      <c r="L744">
        <v>79.921379088999998</v>
      </c>
      <c r="M744">
        <v>50</v>
      </c>
      <c r="N744">
        <v>48.015800476000003</v>
      </c>
    </row>
    <row r="745" spans="1:14" x14ac:dyDescent="0.25">
      <c r="A745">
        <v>378.54776600000002</v>
      </c>
      <c r="B745" s="1">
        <f>DATE(2011,5,14) + TIME(13,8,46)</f>
        <v>40677.547754629632</v>
      </c>
      <c r="C745">
        <v>2400</v>
      </c>
      <c r="D745">
        <v>0</v>
      </c>
      <c r="E745">
        <v>0</v>
      </c>
      <c r="F745">
        <v>2400</v>
      </c>
      <c r="G745">
        <v>1390.0285644999999</v>
      </c>
      <c r="H745">
        <v>1375.4222411999999</v>
      </c>
      <c r="I745">
        <v>1286.6070557</v>
      </c>
      <c r="J745">
        <v>1267.5379639</v>
      </c>
      <c r="K745">
        <v>80</v>
      </c>
      <c r="L745">
        <v>79.921401978000006</v>
      </c>
      <c r="M745">
        <v>50</v>
      </c>
      <c r="N745">
        <v>47.972816467000001</v>
      </c>
    </row>
    <row r="746" spans="1:14" x14ac:dyDescent="0.25">
      <c r="A746">
        <v>378.907577</v>
      </c>
      <c r="B746" s="1">
        <f>DATE(2011,5,14) + TIME(21,46,54)</f>
        <v>40677.907569444447</v>
      </c>
      <c r="C746">
        <v>2400</v>
      </c>
      <c r="D746">
        <v>0</v>
      </c>
      <c r="E746">
        <v>0</v>
      </c>
      <c r="F746">
        <v>2400</v>
      </c>
      <c r="G746">
        <v>1389.9488524999999</v>
      </c>
      <c r="H746">
        <v>1375.3533935999999</v>
      </c>
      <c r="I746">
        <v>1286.5953368999999</v>
      </c>
      <c r="J746">
        <v>1267.5227050999999</v>
      </c>
      <c r="K746">
        <v>80</v>
      </c>
      <c r="L746">
        <v>79.921424865999995</v>
      </c>
      <c r="M746">
        <v>50</v>
      </c>
      <c r="N746">
        <v>47.929256439</v>
      </c>
    </row>
    <row r="747" spans="1:14" x14ac:dyDescent="0.25">
      <c r="A747">
        <v>379.27530000000002</v>
      </c>
      <c r="B747" s="1">
        <f>DATE(2011,5,15) + TIME(6,36,25)</f>
        <v>40678.275289351855</v>
      </c>
      <c r="C747">
        <v>2400</v>
      </c>
      <c r="D747">
        <v>0</v>
      </c>
      <c r="E747">
        <v>0</v>
      </c>
      <c r="F747">
        <v>2400</v>
      </c>
      <c r="G747">
        <v>1389.8693848</v>
      </c>
      <c r="H747">
        <v>1375.284668</v>
      </c>
      <c r="I747">
        <v>1286.5834961</v>
      </c>
      <c r="J747">
        <v>1267.5070800999999</v>
      </c>
      <c r="K747">
        <v>80</v>
      </c>
      <c r="L747">
        <v>79.921447753999999</v>
      </c>
      <c r="M747">
        <v>50</v>
      </c>
      <c r="N747">
        <v>47.885036468999999</v>
      </c>
    </row>
    <row r="748" spans="1:14" x14ac:dyDescent="0.25">
      <c r="A748">
        <v>379.65196400000002</v>
      </c>
      <c r="B748" s="1">
        <f>DATE(2011,5,15) + TIME(15,38,49)</f>
        <v>40678.651956018519</v>
      </c>
      <c r="C748">
        <v>2400</v>
      </c>
      <c r="D748">
        <v>0</v>
      </c>
      <c r="E748">
        <v>0</v>
      </c>
      <c r="F748">
        <v>2400</v>
      </c>
      <c r="G748">
        <v>1389.7899170000001</v>
      </c>
      <c r="H748">
        <v>1375.2159423999999</v>
      </c>
      <c r="I748">
        <v>1286.5711670000001</v>
      </c>
      <c r="J748">
        <v>1267.4912108999999</v>
      </c>
      <c r="K748">
        <v>80</v>
      </c>
      <c r="L748">
        <v>79.921463012999993</v>
      </c>
      <c r="M748">
        <v>50</v>
      </c>
      <c r="N748">
        <v>47.840061188</v>
      </c>
    </row>
    <row r="749" spans="1:14" x14ac:dyDescent="0.25">
      <c r="A749">
        <v>380.03869099999997</v>
      </c>
      <c r="B749" s="1">
        <f>DATE(2011,5,16) + TIME(0,55,42)</f>
        <v>40679.038680555554</v>
      </c>
      <c r="C749">
        <v>2400</v>
      </c>
      <c r="D749">
        <v>0</v>
      </c>
      <c r="E749">
        <v>0</v>
      </c>
      <c r="F749">
        <v>2400</v>
      </c>
      <c r="G749">
        <v>1389.7102050999999</v>
      </c>
      <c r="H749">
        <v>1375.1472168</v>
      </c>
      <c r="I749">
        <v>1286.5587158000001</v>
      </c>
      <c r="J749">
        <v>1267.4748535000001</v>
      </c>
      <c r="K749">
        <v>80</v>
      </c>
      <c r="L749">
        <v>79.921470642000003</v>
      </c>
      <c r="M749">
        <v>50</v>
      </c>
      <c r="N749">
        <v>47.794231414999999</v>
      </c>
    </row>
    <row r="750" spans="1:14" x14ac:dyDescent="0.25">
      <c r="A750">
        <v>380.43672700000002</v>
      </c>
      <c r="B750" s="1">
        <f>DATE(2011,5,16) + TIME(10,28,53)</f>
        <v>40679.436724537038</v>
      </c>
      <c r="C750">
        <v>2400</v>
      </c>
      <c r="D750">
        <v>0</v>
      </c>
      <c r="E750">
        <v>0</v>
      </c>
      <c r="F750">
        <v>2400</v>
      </c>
      <c r="G750">
        <v>1389.6301269999999</v>
      </c>
      <c r="H750">
        <v>1375.078125</v>
      </c>
      <c r="I750">
        <v>1286.5457764</v>
      </c>
      <c r="J750">
        <v>1267.4580077999999</v>
      </c>
      <c r="K750">
        <v>80</v>
      </c>
      <c r="L750">
        <v>79.921478270999998</v>
      </c>
      <c r="M750">
        <v>50</v>
      </c>
      <c r="N750">
        <v>47.747428894000002</v>
      </c>
    </row>
    <row r="751" spans="1:14" x14ac:dyDescent="0.25">
      <c r="A751">
        <v>380.84746899999999</v>
      </c>
      <c r="B751" s="1">
        <f>DATE(2011,5,16) + TIME(20,20,21)</f>
        <v>40679.84746527778</v>
      </c>
      <c r="C751">
        <v>2400</v>
      </c>
      <c r="D751">
        <v>0</v>
      </c>
      <c r="E751">
        <v>0</v>
      </c>
      <c r="F751">
        <v>2400</v>
      </c>
      <c r="G751">
        <v>1389.5494385</v>
      </c>
      <c r="H751">
        <v>1375.0085449000001</v>
      </c>
      <c r="I751">
        <v>1286.5324707</v>
      </c>
      <c r="J751">
        <v>1267.4405518000001</v>
      </c>
      <c r="K751">
        <v>80</v>
      </c>
      <c r="L751">
        <v>79.921485900999997</v>
      </c>
      <c r="M751">
        <v>50</v>
      </c>
      <c r="N751">
        <v>47.699523925999998</v>
      </c>
    </row>
    <row r="752" spans="1:14" x14ac:dyDescent="0.25">
      <c r="A752">
        <v>381.27138200000002</v>
      </c>
      <c r="B752" s="1">
        <f>DATE(2011,5,17) + TIME(6,30,47)</f>
        <v>40680.271377314813</v>
      </c>
      <c r="C752">
        <v>2400</v>
      </c>
      <c r="D752">
        <v>0</v>
      </c>
      <c r="E752">
        <v>0</v>
      </c>
      <c r="F752">
        <v>2400</v>
      </c>
      <c r="G752">
        <v>1389.4680175999999</v>
      </c>
      <c r="H752">
        <v>1374.9383545000001</v>
      </c>
      <c r="I752">
        <v>1286.5186768000001</v>
      </c>
      <c r="J752">
        <v>1267.4226074000001</v>
      </c>
      <c r="K752">
        <v>80</v>
      </c>
      <c r="L752">
        <v>79.921485900999997</v>
      </c>
      <c r="M752">
        <v>50</v>
      </c>
      <c r="N752">
        <v>47.650463104000004</v>
      </c>
    </row>
    <row r="753" spans="1:14" x14ac:dyDescent="0.25">
      <c r="A753">
        <v>381.695607</v>
      </c>
      <c r="B753" s="1">
        <f>DATE(2011,5,17) + TIME(16,41,40)</f>
        <v>40680.695601851854</v>
      </c>
      <c r="C753">
        <v>2400</v>
      </c>
      <c r="D753">
        <v>0</v>
      </c>
      <c r="E753">
        <v>0</v>
      </c>
      <c r="F753">
        <v>2400</v>
      </c>
      <c r="G753">
        <v>1389.3857422000001</v>
      </c>
      <c r="H753">
        <v>1374.8675536999999</v>
      </c>
      <c r="I753">
        <v>1286.5042725000001</v>
      </c>
      <c r="J753">
        <v>1267.4041748</v>
      </c>
      <c r="K753">
        <v>80</v>
      </c>
      <c r="L753">
        <v>79.921485900999997</v>
      </c>
      <c r="M753">
        <v>50</v>
      </c>
      <c r="N753">
        <v>47.601222991999997</v>
      </c>
    </row>
    <row r="754" spans="1:14" x14ac:dyDescent="0.25">
      <c r="A754">
        <v>382.12118700000002</v>
      </c>
      <c r="B754" s="1">
        <f>DATE(2011,5,18) + TIME(2,54,30)</f>
        <v>40681.121180555558</v>
      </c>
      <c r="C754">
        <v>2400</v>
      </c>
      <c r="D754">
        <v>0</v>
      </c>
      <c r="E754">
        <v>0</v>
      </c>
      <c r="F754">
        <v>2400</v>
      </c>
      <c r="G754">
        <v>1389.3050536999999</v>
      </c>
      <c r="H754">
        <v>1374.7980957</v>
      </c>
      <c r="I754">
        <v>1286.4898682</v>
      </c>
      <c r="J754">
        <v>1267.3854980000001</v>
      </c>
      <c r="K754">
        <v>80</v>
      </c>
      <c r="L754">
        <v>79.921485900999997</v>
      </c>
      <c r="M754">
        <v>50</v>
      </c>
      <c r="N754">
        <v>47.551864623999997</v>
      </c>
    </row>
    <row r="755" spans="1:14" x14ac:dyDescent="0.25">
      <c r="A755">
        <v>382.54928100000001</v>
      </c>
      <c r="B755" s="1">
        <f>DATE(2011,5,18) + TIME(13,10,57)</f>
        <v>40681.549270833333</v>
      </c>
      <c r="C755">
        <v>2400</v>
      </c>
      <c r="D755">
        <v>0</v>
      </c>
      <c r="E755">
        <v>0</v>
      </c>
      <c r="F755">
        <v>2400</v>
      </c>
      <c r="G755">
        <v>1389.2259521000001</v>
      </c>
      <c r="H755">
        <v>1374.7299805</v>
      </c>
      <c r="I755">
        <v>1286.4753418</v>
      </c>
      <c r="J755">
        <v>1267.3668213000001</v>
      </c>
      <c r="K755">
        <v>80</v>
      </c>
      <c r="L755">
        <v>79.921485900999997</v>
      </c>
      <c r="M755">
        <v>50</v>
      </c>
      <c r="N755">
        <v>47.502384186</v>
      </c>
    </row>
    <row r="756" spans="1:14" x14ac:dyDescent="0.25">
      <c r="A756">
        <v>382.98083800000001</v>
      </c>
      <c r="B756" s="1">
        <f>DATE(2011,5,18) + TIME(23,32,24)</f>
        <v>40681.980833333335</v>
      </c>
      <c r="C756">
        <v>2400</v>
      </c>
      <c r="D756">
        <v>0</v>
      </c>
      <c r="E756">
        <v>0</v>
      </c>
      <c r="F756">
        <v>2400</v>
      </c>
      <c r="G756">
        <v>1389.1479492000001</v>
      </c>
      <c r="H756">
        <v>1374.6629639</v>
      </c>
      <c r="I756">
        <v>1286.4606934000001</v>
      </c>
      <c r="J756">
        <v>1267.3479004000001</v>
      </c>
      <c r="K756">
        <v>80</v>
      </c>
      <c r="L756">
        <v>79.921485900999997</v>
      </c>
      <c r="M756">
        <v>50</v>
      </c>
      <c r="N756">
        <v>47.452751159999998</v>
      </c>
    </row>
    <row r="757" spans="1:14" x14ac:dyDescent="0.25">
      <c r="A757">
        <v>383.41680300000002</v>
      </c>
      <c r="B757" s="1">
        <f>DATE(2011,5,19) + TIME(10,0,11)</f>
        <v>40682.41679398148</v>
      </c>
      <c r="C757">
        <v>2400</v>
      </c>
      <c r="D757">
        <v>0</v>
      </c>
      <c r="E757">
        <v>0</v>
      </c>
      <c r="F757">
        <v>2400</v>
      </c>
      <c r="G757">
        <v>1389.0708007999999</v>
      </c>
      <c r="H757">
        <v>1374.5966797000001</v>
      </c>
      <c r="I757">
        <v>1286.4459228999999</v>
      </c>
      <c r="J757">
        <v>1267.3287353999999</v>
      </c>
      <c r="K757">
        <v>80</v>
      </c>
      <c r="L757">
        <v>79.921485900999997</v>
      </c>
      <c r="M757">
        <v>50</v>
      </c>
      <c r="N757">
        <v>47.402912139999998</v>
      </c>
    </row>
    <row r="758" spans="1:14" x14ac:dyDescent="0.25">
      <c r="A758">
        <v>383.85819300000003</v>
      </c>
      <c r="B758" s="1">
        <f>DATE(2011,5,19) + TIME(20,35,47)</f>
        <v>40682.858182870368</v>
      </c>
      <c r="C758">
        <v>2400</v>
      </c>
      <c r="D758">
        <v>0</v>
      </c>
      <c r="E758">
        <v>0</v>
      </c>
      <c r="F758">
        <v>2400</v>
      </c>
      <c r="G758">
        <v>1388.9945068</v>
      </c>
      <c r="H758">
        <v>1374.5311279</v>
      </c>
      <c r="I758">
        <v>1286.4309082</v>
      </c>
      <c r="J758">
        <v>1267.3093262</v>
      </c>
      <c r="K758">
        <v>80</v>
      </c>
      <c r="L758">
        <v>79.921485900999997</v>
      </c>
      <c r="M758">
        <v>50</v>
      </c>
      <c r="N758">
        <v>47.352790833</v>
      </c>
    </row>
    <row r="759" spans="1:14" x14ac:dyDescent="0.25">
      <c r="A759">
        <v>384.30606</v>
      </c>
      <c r="B759" s="1">
        <f>DATE(2011,5,20) + TIME(7,20,43)</f>
        <v>40683.30605324074</v>
      </c>
      <c r="C759">
        <v>2400</v>
      </c>
      <c r="D759">
        <v>0</v>
      </c>
      <c r="E759">
        <v>0</v>
      </c>
      <c r="F759">
        <v>2400</v>
      </c>
      <c r="G759">
        <v>1388.9187012</v>
      </c>
      <c r="H759">
        <v>1374.4660644999999</v>
      </c>
      <c r="I759">
        <v>1286.4156493999999</v>
      </c>
      <c r="J759">
        <v>1267.2895507999999</v>
      </c>
      <c r="K759">
        <v>80</v>
      </c>
      <c r="L759">
        <v>79.921478270999998</v>
      </c>
      <c r="M759">
        <v>50</v>
      </c>
      <c r="N759">
        <v>47.302299499999997</v>
      </c>
    </row>
    <row r="760" spans="1:14" x14ac:dyDescent="0.25">
      <c r="A760">
        <v>384.76149700000002</v>
      </c>
      <c r="B760" s="1">
        <f>DATE(2011,5,20) + TIME(18,16,33)</f>
        <v>40683.761493055557</v>
      </c>
      <c r="C760">
        <v>2400</v>
      </c>
      <c r="D760">
        <v>0</v>
      </c>
      <c r="E760">
        <v>0</v>
      </c>
      <c r="F760">
        <v>2400</v>
      </c>
      <c r="G760">
        <v>1388.8433838000001</v>
      </c>
      <c r="H760">
        <v>1374.4013672000001</v>
      </c>
      <c r="I760">
        <v>1286.4002685999999</v>
      </c>
      <c r="J760">
        <v>1267.2695312000001</v>
      </c>
      <c r="K760">
        <v>80</v>
      </c>
      <c r="L760">
        <v>79.921478270999998</v>
      </c>
      <c r="M760">
        <v>50</v>
      </c>
      <c r="N760">
        <v>47.251346587999997</v>
      </c>
    </row>
    <row r="761" spans="1:14" x14ac:dyDescent="0.25">
      <c r="A761">
        <v>385.22566599999999</v>
      </c>
      <c r="B761" s="1">
        <f>DATE(2011,5,21) + TIME(5,24,57)</f>
        <v>40684.225659722222</v>
      </c>
      <c r="C761">
        <v>2400</v>
      </c>
      <c r="D761">
        <v>0</v>
      </c>
      <c r="E761">
        <v>0</v>
      </c>
      <c r="F761">
        <v>2400</v>
      </c>
      <c r="G761">
        <v>1388.7681885</v>
      </c>
      <c r="H761">
        <v>1374.3367920000001</v>
      </c>
      <c r="I761">
        <v>1286.3843993999999</v>
      </c>
      <c r="J761">
        <v>1267.2490233999999</v>
      </c>
      <c r="K761">
        <v>80</v>
      </c>
      <c r="L761">
        <v>79.921478270999998</v>
      </c>
      <c r="M761">
        <v>50</v>
      </c>
      <c r="N761">
        <v>47.199821471999996</v>
      </c>
    </row>
    <row r="762" spans="1:14" x14ac:dyDescent="0.25">
      <c r="A762">
        <v>385.699815</v>
      </c>
      <c r="B762" s="1">
        <f>DATE(2011,5,21) + TIME(16,47,44)</f>
        <v>40684.699814814812</v>
      </c>
      <c r="C762">
        <v>2400</v>
      </c>
      <c r="D762">
        <v>0</v>
      </c>
      <c r="E762">
        <v>0</v>
      </c>
      <c r="F762">
        <v>2400</v>
      </c>
      <c r="G762">
        <v>1388.6929932</v>
      </c>
      <c r="H762">
        <v>1374.2723389</v>
      </c>
      <c r="I762">
        <v>1286.3682861</v>
      </c>
      <c r="J762">
        <v>1267.2281493999999</v>
      </c>
      <c r="K762">
        <v>80</v>
      </c>
      <c r="L762">
        <v>79.921478270999998</v>
      </c>
      <c r="M762">
        <v>50</v>
      </c>
      <c r="N762">
        <v>47.147617339999996</v>
      </c>
    </row>
    <row r="763" spans="1:14" x14ac:dyDescent="0.25">
      <c r="A763">
        <v>386.18529599999999</v>
      </c>
      <c r="B763" s="1">
        <f>DATE(2011,5,22) + TIME(4,26,49)</f>
        <v>40685.185289351852</v>
      </c>
      <c r="C763">
        <v>2400</v>
      </c>
      <c r="D763">
        <v>0</v>
      </c>
      <c r="E763">
        <v>0</v>
      </c>
      <c r="F763">
        <v>2400</v>
      </c>
      <c r="G763">
        <v>1388.6175536999999</v>
      </c>
      <c r="H763">
        <v>1374.2076416</v>
      </c>
      <c r="I763">
        <v>1286.3516846</v>
      </c>
      <c r="J763">
        <v>1267.2066649999999</v>
      </c>
      <c r="K763">
        <v>80</v>
      </c>
      <c r="L763">
        <v>79.921478270999998</v>
      </c>
      <c r="M763">
        <v>50</v>
      </c>
      <c r="N763">
        <v>47.094604492000002</v>
      </c>
    </row>
    <row r="764" spans="1:14" x14ac:dyDescent="0.25">
      <c r="A764">
        <v>386.68359800000002</v>
      </c>
      <c r="B764" s="1">
        <f>DATE(2011,5,22) + TIME(16,24,22)</f>
        <v>40685.683587962965</v>
      </c>
      <c r="C764">
        <v>2400</v>
      </c>
      <c r="D764">
        <v>0</v>
      </c>
      <c r="E764">
        <v>0</v>
      </c>
      <c r="F764">
        <v>2400</v>
      </c>
      <c r="G764">
        <v>1388.5418701000001</v>
      </c>
      <c r="H764">
        <v>1374.1428223</v>
      </c>
      <c r="I764">
        <v>1286.3345947</v>
      </c>
      <c r="J764">
        <v>1267.1845702999999</v>
      </c>
      <c r="K764">
        <v>80</v>
      </c>
      <c r="L764">
        <v>79.921478270999998</v>
      </c>
      <c r="M764">
        <v>50</v>
      </c>
      <c r="N764">
        <v>47.040657043000003</v>
      </c>
    </row>
    <row r="765" spans="1:14" x14ac:dyDescent="0.25">
      <c r="A765">
        <v>387.19379900000001</v>
      </c>
      <c r="B765" s="1">
        <f>DATE(2011,5,23) + TIME(4,39,4)</f>
        <v>40686.193796296298</v>
      </c>
      <c r="C765">
        <v>2400</v>
      </c>
      <c r="D765">
        <v>0</v>
      </c>
      <c r="E765">
        <v>0</v>
      </c>
      <c r="F765">
        <v>2400</v>
      </c>
      <c r="G765">
        <v>1388.4656981999999</v>
      </c>
      <c r="H765">
        <v>1374.0773925999999</v>
      </c>
      <c r="I765">
        <v>1286.3170166</v>
      </c>
      <c r="J765">
        <v>1267.1618652</v>
      </c>
      <c r="K765">
        <v>80</v>
      </c>
      <c r="L765">
        <v>79.921478270999998</v>
      </c>
      <c r="M765">
        <v>50</v>
      </c>
      <c r="N765">
        <v>46.985797882</v>
      </c>
    </row>
    <row r="766" spans="1:14" x14ac:dyDescent="0.25">
      <c r="A766">
        <v>387.71561400000002</v>
      </c>
      <c r="B766" s="1">
        <f>DATE(2011,5,23) + TIME(17,10,29)</f>
        <v>40686.715613425928</v>
      </c>
      <c r="C766">
        <v>2400</v>
      </c>
      <c r="D766">
        <v>0</v>
      </c>
      <c r="E766">
        <v>0</v>
      </c>
      <c r="F766">
        <v>2400</v>
      </c>
      <c r="G766">
        <v>1388.3890381000001</v>
      </c>
      <c r="H766">
        <v>1374.0118408000001</v>
      </c>
      <c r="I766">
        <v>1286.2989502</v>
      </c>
      <c r="J766">
        <v>1267.1384277</v>
      </c>
      <c r="K766">
        <v>80</v>
      </c>
      <c r="L766">
        <v>79.921485900999997</v>
      </c>
      <c r="M766">
        <v>50</v>
      </c>
      <c r="N766">
        <v>46.930046081999997</v>
      </c>
    </row>
    <row r="767" spans="1:14" x14ac:dyDescent="0.25">
      <c r="A767">
        <v>388.25062400000002</v>
      </c>
      <c r="B767" s="1">
        <f>DATE(2011,5,24) + TIME(6,0,53)</f>
        <v>40687.250613425924</v>
      </c>
      <c r="C767">
        <v>2400</v>
      </c>
      <c r="D767">
        <v>0</v>
      </c>
      <c r="E767">
        <v>0</v>
      </c>
      <c r="F767">
        <v>2400</v>
      </c>
      <c r="G767">
        <v>1388.3122559000001</v>
      </c>
      <c r="H767">
        <v>1373.9460449000001</v>
      </c>
      <c r="I767">
        <v>1286.2803954999999</v>
      </c>
      <c r="J767">
        <v>1267.1143798999999</v>
      </c>
      <c r="K767">
        <v>80</v>
      </c>
      <c r="L767">
        <v>79.921485900999997</v>
      </c>
      <c r="M767">
        <v>50</v>
      </c>
      <c r="N767">
        <v>46.873298644999998</v>
      </c>
    </row>
    <row r="768" spans="1:14" x14ac:dyDescent="0.25">
      <c r="A768">
        <v>388.79335800000001</v>
      </c>
      <c r="B768" s="1">
        <f>DATE(2011,5,24) + TIME(19,2,26)</f>
        <v>40687.793356481481</v>
      </c>
      <c r="C768">
        <v>2400</v>
      </c>
      <c r="D768">
        <v>0</v>
      </c>
      <c r="E768">
        <v>0</v>
      </c>
      <c r="F768">
        <v>2400</v>
      </c>
      <c r="G768">
        <v>1388.2349853999999</v>
      </c>
      <c r="H768">
        <v>1373.8797606999999</v>
      </c>
      <c r="I768">
        <v>1286.2611084</v>
      </c>
      <c r="J768">
        <v>1267.0897216999999</v>
      </c>
      <c r="K768">
        <v>80</v>
      </c>
      <c r="L768">
        <v>79.921493530000006</v>
      </c>
      <c r="M768">
        <v>50</v>
      </c>
      <c r="N768">
        <v>46.815910338999998</v>
      </c>
    </row>
    <row r="769" spans="1:14" x14ac:dyDescent="0.25">
      <c r="A769">
        <v>389.33702099999999</v>
      </c>
      <c r="B769" s="1">
        <f>DATE(2011,5,25) + TIME(8,5,18)</f>
        <v>40688.337013888886</v>
      </c>
      <c r="C769">
        <v>2400</v>
      </c>
      <c r="D769">
        <v>0</v>
      </c>
      <c r="E769">
        <v>0</v>
      </c>
      <c r="F769">
        <v>2400</v>
      </c>
      <c r="G769">
        <v>1388.1579589999999</v>
      </c>
      <c r="H769">
        <v>1373.8139647999999</v>
      </c>
      <c r="I769">
        <v>1286.2414550999999</v>
      </c>
      <c r="J769">
        <v>1267.0644531</v>
      </c>
      <c r="K769">
        <v>80</v>
      </c>
      <c r="L769">
        <v>79.921493530000006</v>
      </c>
      <c r="M769">
        <v>50</v>
      </c>
      <c r="N769">
        <v>46.758388519</v>
      </c>
    </row>
    <row r="770" spans="1:14" x14ac:dyDescent="0.25">
      <c r="A770">
        <v>389.88306899999998</v>
      </c>
      <c r="B770" s="1">
        <f>DATE(2011,5,25) + TIME(21,11,37)</f>
        <v>40688.883067129631</v>
      </c>
      <c r="C770">
        <v>2400</v>
      </c>
      <c r="D770">
        <v>0</v>
      </c>
      <c r="E770">
        <v>0</v>
      </c>
      <c r="F770">
        <v>2400</v>
      </c>
      <c r="G770">
        <v>1388.0823975000001</v>
      </c>
      <c r="H770">
        <v>1373.7491454999999</v>
      </c>
      <c r="I770">
        <v>1286.2218018000001</v>
      </c>
      <c r="J770">
        <v>1267.0390625</v>
      </c>
      <c r="K770">
        <v>80</v>
      </c>
      <c r="L770">
        <v>79.921501160000005</v>
      </c>
      <c r="M770">
        <v>50</v>
      </c>
      <c r="N770">
        <v>46.700798034999998</v>
      </c>
    </row>
    <row r="771" spans="1:14" x14ac:dyDescent="0.25">
      <c r="A771">
        <v>390.43279699999999</v>
      </c>
      <c r="B771" s="1">
        <f>DATE(2011,5,26) + TIME(10,23,13)</f>
        <v>40689.432789351849</v>
      </c>
      <c r="C771">
        <v>2400</v>
      </c>
      <c r="D771">
        <v>0</v>
      </c>
      <c r="E771">
        <v>0</v>
      </c>
      <c r="F771">
        <v>2400</v>
      </c>
      <c r="G771">
        <v>1388.0078125</v>
      </c>
      <c r="H771">
        <v>1373.6853027</v>
      </c>
      <c r="I771">
        <v>1286.2017822</v>
      </c>
      <c r="J771">
        <v>1267.0133057</v>
      </c>
      <c r="K771">
        <v>80</v>
      </c>
      <c r="L771">
        <v>79.921508789000001</v>
      </c>
      <c r="M771">
        <v>50</v>
      </c>
      <c r="N771">
        <v>46.643123627000001</v>
      </c>
    </row>
    <row r="772" spans="1:14" x14ac:dyDescent="0.25">
      <c r="A772">
        <v>390.98739899999998</v>
      </c>
      <c r="B772" s="1">
        <f>DATE(2011,5,26) + TIME(23,41,51)</f>
        <v>40689.987395833334</v>
      </c>
      <c r="C772">
        <v>2400</v>
      </c>
      <c r="D772">
        <v>0</v>
      </c>
      <c r="E772">
        <v>0</v>
      </c>
      <c r="F772">
        <v>2400</v>
      </c>
      <c r="G772">
        <v>1387.9339600000001</v>
      </c>
      <c r="H772">
        <v>1373.6221923999999</v>
      </c>
      <c r="I772">
        <v>1286.1816406</v>
      </c>
      <c r="J772">
        <v>1266.9873047000001</v>
      </c>
      <c r="K772">
        <v>80</v>
      </c>
      <c r="L772">
        <v>79.921516417999996</v>
      </c>
      <c r="M772">
        <v>50</v>
      </c>
      <c r="N772">
        <v>46.585308075</v>
      </c>
    </row>
    <row r="773" spans="1:14" x14ac:dyDescent="0.25">
      <c r="A773">
        <v>391.548182</v>
      </c>
      <c r="B773" s="1">
        <f>DATE(2011,5,27) + TIME(13,9,22)</f>
        <v>40690.548171296294</v>
      </c>
      <c r="C773">
        <v>2400</v>
      </c>
      <c r="D773">
        <v>0</v>
      </c>
      <c r="E773">
        <v>0</v>
      </c>
      <c r="F773">
        <v>2400</v>
      </c>
      <c r="G773">
        <v>1387.8609618999999</v>
      </c>
      <c r="H773">
        <v>1373.5595702999999</v>
      </c>
      <c r="I773">
        <v>1286.1612548999999</v>
      </c>
      <c r="J773">
        <v>1266.9608154</v>
      </c>
      <c r="K773">
        <v>80</v>
      </c>
      <c r="L773">
        <v>79.921524047999995</v>
      </c>
      <c r="M773">
        <v>50</v>
      </c>
      <c r="N773">
        <v>46.527267455999997</v>
      </c>
    </row>
    <row r="774" spans="1:14" x14ac:dyDescent="0.25">
      <c r="A774">
        <v>392.11648600000001</v>
      </c>
      <c r="B774" s="1">
        <f>DATE(2011,5,28) + TIME(2,47,44)</f>
        <v>40691.116481481484</v>
      </c>
      <c r="C774">
        <v>2400</v>
      </c>
      <c r="D774">
        <v>0</v>
      </c>
      <c r="E774">
        <v>0</v>
      </c>
      <c r="F774">
        <v>2400</v>
      </c>
      <c r="G774">
        <v>1387.7883300999999</v>
      </c>
      <c r="H774">
        <v>1373.4974365</v>
      </c>
      <c r="I774">
        <v>1286.1403809000001</v>
      </c>
      <c r="J774">
        <v>1266.9339600000001</v>
      </c>
      <c r="K774">
        <v>80</v>
      </c>
      <c r="L774">
        <v>79.921531677000004</v>
      </c>
      <c r="M774">
        <v>50</v>
      </c>
      <c r="N774">
        <v>46.468902587999999</v>
      </c>
    </row>
    <row r="775" spans="1:14" x14ac:dyDescent="0.25">
      <c r="A775">
        <v>392.69370600000002</v>
      </c>
      <c r="B775" s="1">
        <f>DATE(2011,5,28) + TIME(16,38,56)</f>
        <v>40691.693703703706</v>
      </c>
      <c r="C775">
        <v>2400</v>
      </c>
      <c r="D775">
        <v>0</v>
      </c>
      <c r="E775">
        <v>0</v>
      </c>
      <c r="F775">
        <v>2400</v>
      </c>
      <c r="G775">
        <v>1387.7159423999999</v>
      </c>
      <c r="H775">
        <v>1373.4355469</v>
      </c>
      <c r="I775">
        <v>1286.1192627</v>
      </c>
      <c r="J775">
        <v>1266.9064940999999</v>
      </c>
      <c r="K775">
        <v>80</v>
      </c>
      <c r="L775">
        <v>79.921539307000003</v>
      </c>
      <c r="M775">
        <v>50</v>
      </c>
      <c r="N775">
        <v>46.410095214999998</v>
      </c>
    </row>
    <row r="776" spans="1:14" x14ac:dyDescent="0.25">
      <c r="A776">
        <v>393.28131999999999</v>
      </c>
      <c r="B776" s="1">
        <f>DATE(2011,5,29) + TIME(6,45,6)</f>
        <v>40692.281319444446</v>
      </c>
      <c r="C776">
        <v>2400</v>
      </c>
      <c r="D776">
        <v>0</v>
      </c>
      <c r="E776">
        <v>0</v>
      </c>
      <c r="F776">
        <v>2400</v>
      </c>
      <c r="G776">
        <v>1387.6437988</v>
      </c>
      <c r="H776">
        <v>1373.3737793</v>
      </c>
      <c r="I776">
        <v>1286.0975341999999</v>
      </c>
      <c r="J776">
        <v>1266.878418</v>
      </c>
      <c r="K776">
        <v>80</v>
      </c>
      <c r="L776">
        <v>79.921554564999994</v>
      </c>
      <c r="M776">
        <v>50</v>
      </c>
      <c r="N776">
        <v>46.350719452</v>
      </c>
    </row>
    <row r="777" spans="1:14" x14ac:dyDescent="0.25">
      <c r="A777">
        <v>393.88090799999998</v>
      </c>
      <c r="B777" s="1">
        <f>DATE(2011,5,29) + TIME(21,8,30)</f>
        <v>40692.880902777775</v>
      </c>
      <c r="C777">
        <v>2400</v>
      </c>
      <c r="D777">
        <v>0</v>
      </c>
      <c r="E777">
        <v>0</v>
      </c>
      <c r="F777">
        <v>2400</v>
      </c>
      <c r="G777">
        <v>1387.5715332</v>
      </c>
      <c r="H777">
        <v>1373.3120117000001</v>
      </c>
      <c r="I777">
        <v>1286.0753173999999</v>
      </c>
      <c r="J777">
        <v>1266.8496094</v>
      </c>
      <c r="K777">
        <v>80</v>
      </c>
      <c r="L777">
        <v>79.921562195000007</v>
      </c>
      <c r="M777">
        <v>50</v>
      </c>
      <c r="N777">
        <v>46.290637969999999</v>
      </c>
    </row>
    <row r="778" spans="1:14" x14ac:dyDescent="0.25">
      <c r="A778">
        <v>394.494167</v>
      </c>
      <c r="B778" s="1">
        <f>DATE(2011,5,30) + TIME(11,51,36)</f>
        <v>40693.494166666664</v>
      </c>
      <c r="C778">
        <v>2400</v>
      </c>
      <c r="D778">
        <v>0</v>
      </c>
      <c r="E778">
        <v>0</v>
      </c>
      <c r="F778">
        <v>2400</v>
      </c>
      <c r="G778">
        <v>1387.4991454999999</v>
      </c>
      <c r="H778">
        <v>1373.25</v>
      </c>
      <c r="I778">
        <v>1286.0524902</v>
      </c>
      <c r="J778">
        <v>1266.8199463000001</v>
      </c>
      <c r="K778">
        <v>80</v>
      </c>
      <c r="L778">
        <v>79.921577454000001</v>
      </c>
      <c r="M778">
        <v>50</v>
      </c>
      <c r="N778">
        <v>46.229709624999998</v>
      </c>
    </row>
    <row r="779" spans="1:14" x14ac:dyDescent="0.25">
      <c r="A779">
        <v>395.12296300000003</v>
      </c>
      <c r="B779" s="1">
        <f>DATE(2011,5,31) + TIME(2,57,4)</f>
        <v>40694.12296296296</v>
      </c>
      <c r="C779">
        <v>2400</v>
      </c>
      <c r="D779">
        <v>0</v>
      </c>
      <c r="E779">
        <v>0</v>
      </c>
      <c r="F779">
        <v>2400</v>
      </c>
      <c r="G779">
        <v>1387.4262695</v>
      </c>
      <c r="H779">
        <v>1373.1876221</v>
      </c>
      <c r="I779">
        <v>1286.0290527</v>
      </c>
      <c r="J779">
        <v>1266.7894286999999</v>
      </c>
      <c r="K779">
        <v>80</v>
      </c>
      <c r="L779">
        <v>79.921592712000006</v>
      </c>
      <c r="M779">
        <v>50</v>
      </c>
      <c r="N779">
        <v>46.167778015000003</v>
      </c>
    </row>
    <row r="780" spans="1:14" x14ac:dyDescent="0.25">
      <c r="A780">
        <v>395.76917500000002</v>
      </c>
      <c r="B780" s="1">
        <f>DATE(2011,5,31) + TIME(18,27,36)</f>
        <v>40694.769166666665</v>
      </c>
      <c r="C780">
        <v>2400</v>
      </c>
      <c r="D780">
        <v>0</v>
      </c>
      <c r="E780">
        <v>0</v>
      </c>
      <c r="F780">
        <v>2400</v>
      </c>
      <c r="G780">
        <v>1387.3529053</v>
      </c>
      <c r="H780">
        <v>1373.1248779</v>
      </c>
      <c r="I780">
        <v>1286.0047606999999</v>
      </c>
      <c r="J780">
        <v>1266.7578125</v>
      </c>
      <c r="K780">
        <v>80</v>
      </c>
      <c r="L780">
        <v>79.921607971</v>
      </c>
      <c r="M780">
        <v>50</v>
      </c>
      <c r="N780">
        <v>46.104679107999999</v>
      </c>
    </row>
    <row r="781" spans="1:14" x14ac:dyDescent="0.25">
      <c r="A781">
        <v>396</v>
      </c>
      <c r="B781" s="1">
        <f>DATE(2011,6,1) + TIME(0,0,0)</f>
        <v>40695</v>
      </c>
      <c r="C781">
        <v>2400</v>
      </c>
      <c r="D781">
        <v>0</v>
      </c>
      <c r="E781">
        <v>0</v>
      </c>
      <c r="F781">
        <v>2400</v>
      </c>
      <c r="G781">
        <v>1387.2788086</v>
      </c>
      <c r="H781">
        <v>1373.0614014</v>
      </c>
      <c r="I781">
        <v>1285.9759521000001</v>
      </c>
      <c r="J781">
        <v>1266.7285156</v>
      </c>
      <c r="K781">
        <v>80</v>
      </c>
      <c r="L781">
        <v>79.921600342000005</v>
      </c>
      <c r="M781">
        <v>50</v>
      </c>
      <c r="N781">
        <v>46.073684692</v>
      </c>
    </row>
    <row r="782" spans="1:14" x14ac:dyDescent="0.25">
      <c r="A782">
        <v>396.66245800000002</v>
      </c>
      <c r="B782" s="1">
        <f>DATE(2011,6,1) + TIME(15,53,56)</f>
        <v>40695.662453703706</v>
      </c>
      <c r="C782">
        <v>2400</v>
      </c>
      <c r="D782">
        <v>0</v>
      </c>
      <c r="E782">
        <v>0</v>
      </c>
      <c r="F782">
        <v>2400</v>
      </c>
      <c r="G782">
        <v>1387.2523193</v>
      </c>
      <c r="H782">
        <v>1373.0386963000001</v>
      </c>
      <c r="I782">
        <v>1285.9707031</v>
      </c>
      <c r="J782">
        <v>1266.7126464999999</v>
      </c>
      <c r="K782">
        <v>80</v>
      </c>
      <c r="L782">
        <v>79.921630859000004</v>
      </c>
      <c r="M782">
        <v>50</v>
      </c>
      <c r="N782">
        <v>46.012992859000001</v>
      </c>
    </row>
    <row r="783" spans="1:14" x14ac:dyDescent="0.25">
      <c r="A783">
        <v>397.337513</v>
      </c>
      <c r="B783" s="1">
        <f>DATE(2011,6,2) + TIME(8,6,1)</f>
        <v>40696.337511574071</v>
      </c>
      <c r="C783">
        <v>2400</v>
      </c>
      <c r="D783">
        <v>0</v>
      </c>
      <c r="E783">
        <v>0</v>
      </c>
      <c r="F783">
        <v>2400</v>
      </c>
      <c r="G783">
        <v>1387.1783447</v>
      </c>
      <c r="H783">
        <v>1372.9753418</v>
      </c>
      <c r="I783">
        <v>1285.9445800999999</v>
      </c>
      <c r="J783">
        <v>1266.6790771000001</v>
      </c>
      <c r="K783">
        <v>80</v>
      </c>
      <c r="L783">
        <v>79.921646117999998</v>
      </c>
      <c r="M783">
        <v>50</v>
      </c>
      <c r="N783">
        <v>45.949897765999999</v>
      </c>
    </row>
    <row r="784" spans="1:14" x14ac:dyDescent="0.25">
      <c r="A784">
        <v>398.01356099999998</v>
      </c>
      <c r="B784" s="1">
        <f>DATE(2011,6,3) + TIME(0,19,31)</f>
        <v>40697.013553240744</v>
      </c>
      <c r="C784">
        <v>2400</v>
      </c>
      <c r="D784">
        <v>0</v>
      </c>
      <c r="E784">
        <v>0</v>
      </c>
      <c r="F784">
        <v>2400</v>
      </c>
      <c r="G784">
        <v>1387.1040039</v>
      </c>
      <c r="H784">
        <v>1372.9117432</v>
      </c>
      <c r="I784">
        <v>1285.9174805</v>
      </c>
      <c r="J784">
        <v>1266.6444091999999</v>
      </c>
      <c r="K784">
        <v>80</v>
      </c>
      <c r="L784">
        <v>79.921669006000002</v>
      </c>
      <c r="M784">
        <v>50</v>
      </c>
      <c r="N784">
        <v>45.885681151999997</v>
      </c>
    </row>
    <row r="785" spans="1:14" x14ac:dyDescent="0.25">
      <c r="A785">
        <v>398.69242200000002</v>
      </c>
      <c r="B785" s="1">
        <f>DATE(2011,6,3) + TIME(16,37,5)</f>
        <v>40697.692418981482</v>
      </c>
      <c r="C785">
        <v>2400</v>
      </c>
      <c r="D785">
        <v>0</v>
      </c>
      <c r="E785">
        <v>0</v>
      </c>
      <c r="F785">
        <v>2400</v>
      </c>
      <c r="G785">
        <v>1387.0307617000001</v>
      </c>
      <c r="H785">
        <v>1372.848999</v>
      </c>
      <c r="I785">
        <v>1285.8902588000001</v>
      </c>
      <c r="J785">
        <v>1266.6091309000001</v>
      </c>
      <c r="K785">
        <v>80</v>
      </c>
      <c r="L785">
        <v>79.921691894999995</v>
      </c>
      <c r="M785">
        <v>50</v>
      </c>
      <c r="N785">
        <v>45.820861815999997</v>
      </c>
    </row>
    <row r="786" spans="1:14" x14ac:dyDescent="0.25">
      <c r="A786">
        <v>399.37573099999997</v>
      </c>
      <c r="B786" s="1">
        <f>DATE(2011,6,4) + TIME(9,1,3)</f>
        <v>40698.37572916667</v>
      </c>
      <c r="C786">
        <v>2400</v>
      </c>
      <c r="D786">
        <v>0</v>
      </c>
      <c r="E786">
        <v>0</v>
      </c>
      <c r="F786">
        <v>2400</v>
      </c>
      <c r="G786">
        <v>1386.958374</v>
      </c>
      <c r="H786">
        <v>1372.7869873</v>
      </c>
      <c r="I786">
        <v>1285.8626709</v>
      </c>
      <c r="J786">
        <v>1266.5732422000001</v>
      </c>
      <c r="K786">
        <v>80</v>
      </c>
      <c r="L786">
        <v>79.921714782999999</v>
      </c>
      <c r="M786">
        <v>50</v>
      </c>
      <c r="N786">
        <v>45.755657196000001</v>
      </c>
    </row>
    <row r="787" spans="1:14" x14ac:dyDescent="0.25">
      <c r="A787">
        <v>400.06498099999999</v>
      </c>
      <c r="B787" s="1">
        <f>DATE(2011,6,5) + TIME(1,33,34)</f>
        <v>40699.064976851849</v>
      </c>
      <c r="C787">
        <v>2400</v>
      </c>
      <c r="D787">
        <v>0</v>
      </c>
      <c r="E787">
        <v>0</v>
      </c>
      <c r="F787">
        <v>2400</v>
      </c>
      <c r="G787">
        <v>1386.8868408000001</v>
      </c>
      <c r="H787">
        <v>1372.7257079999999</v>
      </c>
      <c r="I787">
        <v>1285.8347168</v>
      </c>
      <c r="J787">
        <v>1266.5368652</v>
      </c>
      <c r="K787">
        <v>80</v>
      </c>
      <c r="L787">
        <v>79.921737671000002</v>
      </c>
      <c r="M787">
        <v>50</v>
      </c>
      <c r="N787">
        <v>45.690135955999999</v>
      </c>
    </row>
    <row r="788" spans="1:14" x14ac:dyDescent="0.25">
      <c r="A788">
        <v>400.76183099999997</v>
      </c>
      <c r="B788" s="1">
        <f>DATE(2011,6,5) + TIME(18,17,2)</f>
        <v>40699.761828703704</v>
      </c>
      <c r="C788">
        <v>2400</v>
      </c>
      <c r="D788">
        <v>0</v>
      </c>
      <c r="E788">
        <v>0</v>
      </c>
      <c r="F788">
        <v>2400</v>
      </c>
      <c r="G788">
        <v>1386.8157959</v>
      </c>
      <c r="H788">
        <v>1372.6647949000001</v>
      </c>
      <c r="I788">
        <v>1285.8062743999999</v>
      </c>
      <c r="J788">
        <v>1266.4995117000001</v>
      </c>
      <c r="K788">
        <v>80</v>
      </c>
      <c r="L788">
        <v>79.921760559000006</v>
      </c>
      <c r="M788">
        <v>50</v>
      </c>
      <c r="N788">
        <v>45.624259948999999</v>
      </c>
    </row>
    <row r="789" spans="1:14" x14ac:dyDescent="0.25">
      <c r="A789">
        <v>401.46734900000001</v>
      </c>
      <c r="B789" s="1">
        <f>DATE(2011,6,6) + TIME(11,12,58)</f>
        <v>40700.46733796296</v>
      </c>
      <c r="C789">
        <v>2400</v>
      </c>
      <c r="D789">
        <v>0</v>
      </c>
      <c r="E789">
        <v>0</v>
      </c>
      <c r="F789">
        <v>2400</v>
      </c>
      <c r="G789">
        <v>1386.7451172000001</v>
      </c>
      <c r="H789">
        <v>1372.6042480000001</v>
      </c>
      <c r="I789">
        <v>1285.7772216999999</v>
      </c>
      <c r="J789">
        <v>1266.4615478999999</v>
      </c>
      <c r="K789">
        <v>80</v>
      </c>
      <c r="L789">
        <v>79.921783446999996</v>
      </c>
      <c r="M789">
        <v>50</v>
      </c>
      <c r="N789">
        <v>45.557979584000002</v>
      </c>
    </row>
    <row r="790" spans="1:14" x14ac:dyDescent="0.25">
      <c r="A790">
        <v>402.18189699999999</v>
      </c>
      <c r="B790" s="1">
        <f>DATE(2011,6,7) + TIME(4,21,55)</f>
        <v>40701.181886574072</v>
      </c>
      <c r="C790">
        <v>2400</v>
      </c>
      <c r="D790">
        <v>0</v>
      </c>
      <c r="E790">
        <v>0</v>
      </c>
      <c r="F790">
        <v>2400</v>
      </c>
      <c r="G790">
        <v>1386.6746826000001</v>
      </c>
      <c r="H790">
        <v>1372.5439452999999</v>
      </c>
      <c r="I790">
        <v>1285.7474365</v>
      </c>
      <c r="J790">
        <v>1266.4224853999999</v>
      </c>
      <c r="K790">
        <v>80</v>
      </c>
      <c r="L790">
        <v>79.921806334999999</v>
      </c>
      <c r="M790">
        <v>50</v>
      </c>
      <c r="N790">
        <v>45.491252899000003</v>
      </c>
    </row>
    <row r="791" spans="1:14" x14ac:dyDescent="0.25">
      <c r="A791">
        <v>402.90721400000001</v>
      </c>
      <c r="B791" s="1">
        <f>DATE(2011,6,7) + TIME(21,46,23)</f>
        <v>40701.907210648147</v>
      </c>
      <c r="C791">
        <v>2400</v>
      </c>
      <c r="D791">
        <v>0</v>
      </c>
      <c r="E791">
        <v>0</v>
      </c>
      <c r="F791">
        <v>2400</v>
      </c>
      <c r="G791">
        <v>1386.6043701000001</v>
      </c>
      <c r="H791">
        <v>1372.4836425999999</v>
      </c>
      <c r="I791">
        <v>1285.7170410000001</v>
      </c>
      <c r="J791">
        <v>1266.3824463000001</v>
      </c>
      <c r="K791">
        <v>80</v>
      </c>
      <c r="L791">
        <v>79.921836853000002</v>
      </c>
      <c r="M791">
        <v>50</v>
      </c>
      <c r="N791">
        <v>45.423980712999999</v>
      </c>
    </row>
    <row r="792" spans="1:14" x14ac:dyDescent="0.25">
      <c r="A792">
        <v>403.64511499999998</v>
      </c>
      <c r="B792" s="1">
        <f>DATE(2011,6,8) + TIME(15,28,57)</f>
        <v>40702.645104166666</v>
      </c>
      <c r="C792">
        <v>2400</v>
      </c>
      <c r="D792">
        <v>0</v>
      </c>
      <c r="E792">
        <v>0</v>
      </c>
      <c r="F792">
        <v>2400</v>
      </c>
      <c r="G792">
        <v>1386.5343018000001</v>
      </c>
      <c r="H792">
        <v>1372.4235839999999</v>
      </c>
      <c r="I792">
        <v>1285.6857910000001</v>
      </c>
      <c r="J792">
        <v>1266.3414307</v>
      </c>
      <c r="K792">
        <v>80</v>
      </c>
      <c r="L792">
        <v>79.921867371000005</v>
      </c>
      <c r="M792">
        <v>50</v>
      </c>
      <c r="N792">
        <v>45.356025696000003</v>
      </c>
    </row>
    <row r="793" spans="1:14" x14ac:dyDescent="0.25">
      <c r="A793">
        <v>404.397538</v>
      </c>
      <c r="B793" s="1">
        <f>DATE(2011,6,9) + TIME(9,32,27)</f>
        <v>40703.397534722222</v>
      </c>
      <c r="C793">
        <v>2400</v>
      </c>
      <c r="D793">
        <v>0</v>
      </c>
      <c r="E793">
        <v>0</v>
      </c>
      <c r="F793">
        <v>2400</v>
      </c>
      <c r="G793">
        <v>1386.4639893000001</v>
      </c>
      <c r="H793">
        <v>1372.3632812000001</v>
      </c>
      <c r="I793">
        <v>1285.6536865</v>
      </c>
      <c r="J793">
        <v>1266.2990723</v>
      </c>
      <c r="K793">
        <v>80</v>
      </c>
      <c r="L793">
        <v>79.921897888000004</v>
      </c>
      <c r="M793">
        <v>50</v>
      </c>
      <c r="N793">
        <v>45.287239075000002</v>
      </c>
    </row>
    <row r="794" spans="1:14" x14ac:dyDescent="0.25">
      <c r="A794">
        <v>405.16657500000002</v>
      </c>
      <c r="B794" s="1">
        <f>DATE(2011,6,10) + TIME(3,59,52)</f>
        <v>40704.166574074072</v>
      </c>
      <c r="C794">
        <v>2400</v>
      </c>
      <c r="D794">
        <v>0</v>
      </c>
      <c r="E794">
        <v>0</v>
      </c>
      <c r="F794">
        <v>2400</v>
      </c>
      <c r="G794">
        <v>1386.3934326000001</v>
      </c>
      <c r="H794">
        <v>1372.3027344</v>
      </c>
      <c r="I794">
        <v>1285.6206055</v>
      </c>
      <c r="J794">
        <v>1266.2553711</v>
      </c>
      <c r="K794">
        <v>80</v>
      </c>
      <c r="L794">
        <v>79.921928406000006</v>
      </c>
      <c r="M794">
        <v>50</v>
      </c>
      <c r="N794">
        <v>45.217453003000003</v>
      </c>
    </row>
    <row r="795" spans="1:14" x14ac:dyDescent="0.25">
      <c r="A795">
        <v>405.95452</v>
      </c>
      <c r="B795" s="1">
        <f>DATE(2011,6,10) + TIME(22,54,30)</f>
        <v>40704.954513888886</v>
      </c>
      <c r="C795">
        <v>2400</v>
      </c>
      <c r="D795">
        <v>0</v>
      </c>
      <c r="E795">
        <v>0</v>
      </c>
      <c r="F795">
        <v>2400</v>
      </c>
      <c r="G795">
        <v>1386.3225098</v>
      </c>
      <c r="H795">
        <v>1372.2419434000001</v>
      </c>
      <c r="I795">
        <v>1285.5864257999999</v>
      </c>
      <c r="J795">
        <v>1266.2100829999999</v>
      </c>
      <c r="K795">
        <v>80</v>
      </c>
      <c r="L795">
        <v>79.921958923000005</v>
      </c>
      <c r="M795">
        <v>50</v>
      </c>
      <c r="N795">
        <v>45.146484375</v>
      </c>
    </row>
    <row r="796" spans="1:14" x14ac:dyDescent="0.25">
      <c r="A796">
        <v>406.75546300000002</v>
      </c>
      <c r="B796" s="1">
        <f>DATE(2011,6,11) + TIME(18,7,52)</f>
        <v>40705.755462962959</v>
      </c>
      <c r="C796">
        <v>2400</v>
      </c>
      <c r="D796">
        <v>0</v>
      </c>
      <c r="E796">
        <v>0</v>
      </c>
      <c r="F796">
        <v>2400</v>
      </c>
      <c r="G796">
        <v>1386.2509766000001</v>
      </c>
      <c r="H796">
        <v>1372.1804199000001</v>
      </c>
      <c r="I796">
        <v>1285.5509033000001</v>
      </c>
      <c r="J796">
        <v>1266.1629639</v>
      </c>
      <c r="K796">
        <v>80</v>
      </c>
      <c r="L796">
        <v>79.921997070000003</v>
      </c>
      <c r="M796">
        <v>50</v>
      </c>
      <c r="N796">
        <v>45.074527740000001</v>
      </c>
    </row>
    <row r="797" spans="1:14" x14ac:dyDescent="0.25">
      <c r="A797">
        <v>407.561894</v>
      </c>
      <c r="B797" s="1">
        <f>DATE(2011,6,12) + TIME(13,29,7)</f>
        <v>40706.561886574076</v>
      </c>
      <c r="C797">
        <v>2400</v>
      </c>
      <c r="D797">
        <v>0</v>
      </c>
      <c r="E797">
        <v>0</v>
      </c>
      <c r="F797">
        <v>2400</v>
      </c>
      <c r="G797">
        <v>1386.1793213000001</v>
      </c>
      <c r="H797">
        <v>1372.1188964999999</v>
      </c>
      <c r="I797">
        <v>1285.5142822</v>
      </c>
      <c r="J797">
        <v>1266.1145019999999</v>
      </c>
      <c r="K797">
        <v>80</v>
      </c>
      <c r="L797">
        <v>79.922027588000006</v>
      </c>
      <c r="M797">
        <v>50</v>
      </c>
      <c r="N797">
        <v>45.002017975000001</v>
      </c>
    </row>
    <row r="798" spans="1:14" x14ac:dyDescent="0.25">
      <c r="A798">
        <v>408.37582200000003</v>
      </c>
      <c r="B798" s="1">
        <f>DATE(2011,6,13) + TIME(9,1,11)</f>
        <v>40707.375821759262</v>
      </c>
      <c r="C798">
        <v>2400</v>
      </c>
      <c r="D798">
        <v>0</v>
      </c>
      <c r="E798">
        <v>0</v>
      </c>
      <c r="F798">
        <v>2400</v>
      </c>
      <c r="G798">
        <v>1386.1082764</v>
      </c>
      <c r="H798">
        <v>1372.0579834</v>
      </c>
      <c r="I798">
        <v>1285.4770507999999</v>
      </c>
      <c r="J798">
        <v>1266.0649414</v>
      </c>
      <c r="K798">
        <v>80</v>
      </c>
      <c r="L798">
        <v>79.922065735000004</v>
      </c>
      <c r="M798">
        <v>50</v>
      </c>
      <c r="N798">
        <v>44.929035186999997</v>
      </c>
    </row>
    <row r="799" spans="1:14" x14ac:dyDescent="0.25">
      <c r="A799">
        <v>409.192633</v>
      </c>
      <c r="B799" s="1">
        <f>DATE(2011,6,14) + TIME(4,37,23)</f>
        <v>40708.192627314813</v>
      </c>
      <c r="C799">
        <v>2400</v>
      </c>
      <c r="D799">
        <v>0</v>
      </c>
      <c r="E799">
        <v>0</v>
      </c>
      <c r="F799">
        <v>2400</v>
      </c>
      <c r="G799">
        <v>1386.0377197</v>
      </c>
      <c r="H799">
        <v>1371.9973144999999</v>
      </c>
      <c r="I799">
        <v>1285.4389647999999</v>
      </c>
      <c r="J799">
        <v>1266.0140381000001</v>
      </c>
      <c r="K799">
        <v>80</v>
      </c>
      <c r="L799">
        <v>79.922103882000002</v>
      </c>
      <c r="M799">
        <v>50</v>
      </c>
      <c r="N799">
        <v>44.855854033999996</v>
      </c>
    </row>
    <row r="800" spans="1:14" x14ac:dyDescent="0.25">
      <c r="A800">
        <v>410.01452</v>
      </c>
      <c r="B800" s="1">
        <f>DATE(2011,6,15) + TIME(0,20,54)</f>
        <v>40709.014513888891</v>
      </c>
      <c r="C800">
        <v>2400</v>
      </c>
      <c r="D800">
        <v>0</v>
      </c>
      <c r="E800">
        <v>0</v>
      </c>
      <c r="F800">
        <v>2400</v>
      </c>
      <c r="G800">
        <v>1385.9680175999999</v>
      </c>
      <c r="H800">
        <v>1371.9373779</v>
      </c>
      <c r="I800">
        <v>1285.4001464999999</v>
      </c>
      <c r="J800">
        <v>1265.9622803</v>
      </c>
      <c r="K800">
        <v>80</v>
      </c>
      <c r="L800">
        <v>79.922142029</v>
      </c>
      <c r="M800">
        <v>50</v>
      </c>
      <c r="N800">
        <v>44.782482147000003</v>
      </c>
    </row>
    <row r="801" spans="1:14" x14ac:dyDescent="0.25">
      <c r="A801">
        <v>410.84312899999998</v>
      </c>
      <c r="B801" s="1">
        <f>DATE(2011,6,15) + TIME(20,14,6)</f>
        <v>40709.843124999999</v>
      </c>
      <c r="C801">
        <v>2400</v>
      </c>
      <c r="D801">
        <v>0</v>
      </c>
      <c r="E801">
        <v>0</v>
      </c>
      <c r="F801">
        <v>2400</v>
      </c>
      <c r="G801">
        <v>1385.8989257999999</v>
      </c>
      <c r="H801">
        <v>1371.8779297000001</v>
      </c>
      <c r="I801">
        <v>1285.3607178</v>
      </c>
      <c r="J801">
        <v>1265.9093018000001</v>
      </c>
      <c r="K801">
        <v>80</v>
      </c>
      <c r="L801">
        <v>79.922180175999998</v>
      </c>
      <c r="M801">
        <v>50</v>
      </c>
      <c r="N801">
        <v>44.708854674999998</v>
      </c>
    </row>
    <row r="802" spans="1:14" x14ac:dyDescent="0.25">
      <c r="A802">
        <v>411.68033500000001</v>
      </c>
      <c r="B802" s="1">
        <f>DATE(2011,6,16) + TIME(16,19,40)</f>
        <v>40710.680324074077</v>
      </c>
      <c r="C802">
        <v>2400</v>
      </c>
      <c r="D802">
        <v>0</v>
      </c>
      <c r="E802">
        <v>0</v>
      </c>
      <c r="F802">
        <v>2400</v>
      </c>
      <c r="G802">
        <v>1385.8302002</v>
      </c>
      <c r="H802">
        <v>1371.8188477000001</v>
      </c>
      <c r="I802">
        <v>1285.3203125</v>
      </c>
      <c r="J802">
        <v>1265.8549805</v>
      </c>
      <c r="K802">
        <v>80</v>
      </c>
      <c r="L802">
        <v>79.922218322999996</v>
      </c>
      <c r="M802">
        <v>50</v>
      </c>
      <c r="N802">
        <v>44.634845734000002</v>
      </c>
    </row>
    <row r="803" spans="1:14" x14ac:dyDescent="0.25">
      <c r="A803">
        <v>412.52810899999997</v>
      </c>
      <c r="B803" s="1">
        <f>DATE(2011,6,17) + TIME(12,40,28)</f>
        <v>40711.528101851851</v>
      </c>
      <c r="C803">
        <v>2400</v>
      </c>
      <c r="D803">
        <v>0</v>
      </c>
      <c r="E803">
        <v>0</v>
      </c>
      <c r="F803">
        <v>2400</v>
      </c>
      <c r="G803">
        <v>1385.7618408000001</v>
      </c>
      <c r="H803">
        <v>1371.7600098</v>
      </c>
      <c r="I803">
        <v>1285.2789307</v>
      </c>
      <c r="J803">
        <v>1265.7991943</v>
      </c>
      <c r="K803">
        <v>80</v>
      </c>
      <c r="L803">
        <v>79.922264099000003</v>
      </c>
      <c r="M803">
        <v>50</v>
      </c>
      <c r="N803">
        <v>44.560310364000003</v>
      </c>
    </row>
    <row r="804" spans="1:14" x14ac:dyDescent="0.25">
      <c r="A804">
        <v>413.388507</v>
      </c>
      <c r="B804" s="1">
        <f>DATE(2011,6,18) + TIME(9,19,26)</f>
        <v>40712.388495370367</v>
      </c>
      <c r="C804">
        <v>2400</v>
      </c>
      <c r="D804">
        <v>0</v>
      </c>
      <c r="E804">
        <v>0</v>
      </c>
      <c r="F804">
        <v>2400</v>
      </c>
      <c r="G804">
        <v>1385.6937256000001</v>
      </c>
      <c r="H804">
        <v>1371.7012939000001</v>
      </c>
      <c r="I804">
        <v>1285.2365723</v>
      </c>
      <c r="J804">
        <v>1265.7418213000001</v>
      </c>
      <c r="K804">
        <v>80</v>
      </c>
      <c r="L804">
        <v>79.922302246000001</v>
      </c>
      <c r="M804">
        <v>50</v>
      </c>
      <c r="N804">
        <v>44.485076904000003</v>
      </c>
    </row>
    <row r="805" spans="1:14" x14ac:dyDescent="0.25">
      <c r="A805">
        <v>414.26370600000001</v>
      </c>
      <c r="B805" s="1">
        <f>DATE(2011,6,19) + TIME(6,19,44)</f>
        <v>40713.263703703706</v>
      </c>
      <c r="C805">
        <v>2400</v>
      </c>
      <c r="D805">
        <v>0</v>
      </c>
      <c r="E805">
        <v>0</v>
      </c>
      <c r="F805">
        <v>2400</v>
      </c>
      <c r="G805">
        <v>1385.6254882999999</v>
      </c>
      <c r="H805">
        <v>1371.6424560999999</v>
      </c>
      <c r="I805">
        <v>1285.1928711</v>
      </c>
      <c r="J805">
        <v>1265.6826172000001</v>
      </c>
      <c r="K805">
        <v>80</v>
      </c>
      <c r="L805">
        <v>79.922348021999994</v>
      </c>
      <c r="M805">
        <v>50</v>
      </c>
      <c r="N805">
        <v>44.408954620000003</v>
      </c>
    </row>
    <row r="806" spans="1:14" x14ac:dyDescent="0.25">
      <c r="A806">
        <v>415.15603499999997</v>
      </c>
      <c r="B806" s="1">
        <f>DATE(2011,6,20) + TIME(3,44,41)</f>
        <v>40714.156030092592</v>
      </c>
      <c r="C806">
        <v>2400</v>
      </c>
      <c r="D806">
        <v>0</v>
      </c>
      <c r="E806">
        <v>0</v>
      </c>
      <c r="F806">
        <v>2400</v>
      </c>
      <c r="G806">
        <v>1385.5570068</v>
      </c>
      <c r="H806">
        <v>1371.5834961</v>
      </c>
      <c r="I806">
        <v>1285.1478271000001</v>
      </c>
      <c r="J806">
        <v>1265.6213379000001</v>
      </c>
      <c r="K806">
        <v>80</v>
      </c>
      <c r="L806">
        <v>79.922393799000005</v>
      </c>
      <c r="M806">
        <v>50</v>
      </c>
      <c r="N806">
        <v>44.331752776999998</v>
      </c>
    </row>
    <row r="807" spans="1:14" x14ac:dyDescent="0.25">
      <c r="A807">
        <v>416.06801300000001</v>
      </c>
      <c r="B807" s="1">
        <f>DATE(2011,6,21) + TIME(1,37,56)</f>
        <v>40715.068009259259</v>
      </c>
      <c r="C807">
        <v>2400</v>
      </c>
      <c r="D807">
        <v>0</v>
      </c>
      <c r="E807">
        <v>0</v>
      </c>
      <c r="F807">
        <v>2400</v>
      </c>
      <c r="G807">
        <v>1385.4882812000001</v>
      </c>
      <c r="H807">
        <v>1371.5242920000001</v>
      </c>
      <c r="I807">
        <v>1285.1011963000001</v>
      </c>
      <c r="J807">
        <v>1265.5578613</v>
      </c>
      <c r="K807">
        <v>80</v>
      </c>
      <c r="L807">
        <v>79.922439574999999</v>
      </c>
      <c r="M807">
        <v>50</v>
      </c>
      <c r="N807">
        <v>44.253253936999997</v>
      </c>
    </row>
    <row r="808" spans="1:14" x14ac:dyDescent="0.25">
      <c r="A808">
        <v>416.99815100000001</v>
      </c>
      <c r="B808" s="1">
        <f>DATE(2011,6,21) + TIME(23,57,20)</f>
        <v>40715.998148148145</v>
      </c>
      <c r="C808">
        <v>2400</v>
      </c>
      <c r="D808">
        <v>0</v>
      </c>
      <c r="E808">
        <v>0</v>
      </c>
      <c r="F808">
        <v>2400</v>
      </c>
      <c r="G808">
        <v>1385.4190673999999</v>
      </c>
      <c r="H808">
        <v>1371.4644774999999</v>
      </c>
      <c r="I808">
        <v>1285.0528564000001</v>
      </c>
      <c r="J808">
        <v>1265.4916992000001</v>
      </c>
      <c r="K808">
        <v>80</v>
      </c>
      <c r="L808">
        <v>79.922492981000005</v>
      </c>
      <c r="M808">
        <v>50</v>
      </c>
      <c r="N808">
        <v>44.173408508000001</v>
      </c>
    </row>
    <row r="809" spans="1:14" x14ac:dyDescent="0.25">
      <c r="A809">
        <v>417.934102</v>
      </c>
      <c r="B809" s="1">
        <f>DATE(2011,6,22) + TIME(22,25,6)</f>
        <v>40716.93409722222</v>
      </c>
      <c r="C809">
        <v>2400</v>
      </c>
      <c r="D809">
        <v>0</v>
      </c>
      <c r="E809">
        <v>0</v>
      </c>
      <c r="F809">
        <v>2400</v>
      </c>
      <c r="G809">
        <v>1385.3494873</v>
      </c>
      <c r="H809">
        <v>1371.4044189000001</v>
      </c>
      <c r="I809">
        <v>1285.0028076000001</v>
      </c>
      <c r="J809">
        <v>1265.4232178</v>
      </c>
      <c r="K809">
        <v>80</v>
      </c>
      <c r="L809">
        <v>79.922538756999998</v>
      </c>
      <c r="M809">
        <v>50</v>
      </c>
      <c r="N809">
        <v>44.092697143999999</v>
      </c>
    </row>
    <row r="810" spans="1:14" x14ac:dyDescent="0.25">
      <c r="A810">
        <v>418.878173</v>
      </c>
      <c r="B810" s="1">
        <f>DATE(2011,6,23) + TIME(21,4,34)</f>
        <v>40717.878171296295</v>
      </c>
      <c r="C810">
        <v>2400</v>
      </c>
      <c r="D810">
        <v>0</v>
      </c>
      <c r="E810">
        <v>0</v>
      </c>
      <c r="F810">
        <v>2400</v>
      </c>
      <c r="G810">
        <v>1385.2805175999999</v>
      </c>
      <c r="H810">
        <v>1371.3448486</v>
      </c>
      <c r="I810">
        <v>1284.9516602000001</v>
      </c>
      <c r="J810">
        <v>1265.3529053</v>
      </c>
      <c r="K810">
        <v>80</v>
      </c>
      <c r="L810">
        <v>79.922592163000004</v>
      </c>
      <c r="M810">
        <v>50</v>
      </c>
      <c r="N810">
        <v>44.011280059999997</v>
      </c>
    </row>
    <row r="811" spans="1:14" x14ac:dyDescent="0.25">
      <c r="A811">
        <v>419.832672</v>
      </c>
      <c r="B811" s="1">
        <f>DATE(2011,6,24) + TIME(19,59,2)</f>
        <v>40718.832662037035</v>
      </c>
      <c r="C811">
        <v>2400</v>
      </c>
      <c r="D811">
        <v>0</v>
      </c>
      <c r="E811">
        <v>0</v>
      </c>
      <c r="F811">
        <v>2400</v>
      </c>
      <c r="G811">
        <v>1385.2117920000001</v>
      </c>
      <c r="H811">
        <v>1371.2855225000001</v>
      </c>
      <c r="I811">
        <v>1284.8991699000001</v>
      </c>
      <c r="J811">
        <v>1265.2806396000001</v>
      </c>
      <c r="K811">
        <v>80</v>
      </c>
      <c r="L811">
        <v>79.922645568999997</v>
      </c>
      <c r="M811">
        <v>50</v>
      </c>
      <c r="N811">
        <v>43.929107666</v>
      </c>
    </row>
    <row r="812" spans="1:14" x14ac:dyDescent="0.25">
      <c r="A812">
        <v>420.79586399999999</v>
      </c>
      <c r="B812" s="1">
        <f>DATE(2011,6,25) + TIME(19,6,2)</f>
        <v>40719.795856481483</v>
      </c>
      <c r="C812">
        <v>2400</v>
      </c>
      <c r="D812">
        <v>0</v>
      </c>
      <c r="E812">
        <v>0</v>
      </c>
      <c r="F812">
        <v>2400</v>
      </c>
      <c r="G812">
        <v>1385.1434326000001</v>
      </c>
      <c r="H812">
        <v>1371.2264404</v>
      </c>
      <c r="I812">
        <v>1284.8453368999999</v>
      </c>
      <c r="J812">
        <v>1265.2061768000001</v>
      </c>
      <c r="K812">
        <v>80</v>
      </c>
      <c r="L812">
        <v>79.922698975000003</v>
      </c>
      <c r="M812">
        <v>50</v>
      </c>
      <c r="N812">
        <v>43.846229553000001</v>
      </c>
    </row>
    <row r="813" spans="1:14" x14ac:dyDescent="0.25">
      <c r="A813">
        <v>421.76610099999999</v>
      </c>
      <c r="B813" s="1">
        <f>DATE(2011,6,26) + TIME(18,23,11)</f>
        <v>40720.766099537039</v>
      </c>
      <c r="C813">
        <v>2400</v>
      </c>
      <c r="D813">
        <v>0</v>
      </c>
      <c r="E813">
        <v>0</v>
      </c>
      <c r="F813">
        <v>2400</v>
      </c>
      <c r="G813">
        <v>1385.0753173999999</v>
      </c>
      <c r="H813">
        <v>1371.1674805</v>
      </c>
      <c r="I813">
        <v>1284.7901611</v>
      </c>
      <c r="J813">
        <v>1265.1296387</v>
      </c>
      <c r="K813">
        <v>80</v>
      </c>
      <c r="L813">
        <v>79.922752380000006</v>
      </c>
      <c r="M813">
        <v>50</v>
      </c>
      <c r="N813">
        <v>43.762714385999999</v>
      </c>
    </row>
    <row r="814" spans="1:14" x14ac:dyDescent="0.25">
      <c r="A814">
        <v>422.745272</v>
      </c>
      <c r="B814" s="1">
        <f>DATE(2011,6,27) + TIME(17,53,11)</f>
        <v>40721.745266203703</v>
      </c>
      <c r="C814">
        <v>2400</v>
      </c>
      <c r="D814">
        <v>0</v>
      </c>
      <c r="E814">
        <v>0</v>
      </c>
      <c r="F814">
        <v>2400</v>
      </c>
      <c r="G814">
        <v>1385.0076904</v>
      </c>
      <c r="H814">
        <v>1371.1090088000001</v>
      </c>
      <c r="I814">
        <v>1284.7336425999999</v>
      </c>
      <c r="J814">
        <v>1265.0509033000001</v>
      </c>
      <c r="K814">
        <v>80</v>
      </c>
      <c r="L814">
        <v>79.922805785999998</v>
      </c>
      <c r="M814">
        <v>50</v>
      </c>
      <c r="N814">
        <v>43.678520202999998</v>
      </c>
    </row>
    <row r="815" spans="1:14" x14ac:dyDescent="0.25">
      <c r="A815">
        <v>423.73567600000001</v>
      </c>
      <c r="B815" s="1">
        <f>DATE(2011,6,28) + TIME(17,39,22)</f>
        <v>40722.735671296294</v>
      </c>
      <c r="C815">
        <v>2400</v>
      </c>
      <c r="D815">
        <v>0</v>
      </c>
      <c r="E815">
        <v>0</v>
      </c>
      <c r="F815">
        <v>2400</v>
      </c>
      <c r="G815">
        <v>1384.9404297000001</v>
      </c>
      <c r="H815">
        <v>1371.0506591999999</v>
      </c>
      <c r="I815">
        <v>1284.6757812000001</v>
      </c>
      <c r="J815">
        <v>1264.9700928</v>
      </c>
      <c r="K815">
        <v>80</v>
      </c>
      <c r="L815">
        <v>79.922866821</v>
      </c>
      <c r="M815">
        <v>50</v>
      </c>
      <c r="N815">
        <v>43.593502045000001</v>
      </c>
    </row>
    <row r="816" spans="1:14" x14ac:dyDescent="0.25">
      <c r="A816">
        <v>424.73971699999998</v>
      </c>
      <c r="B816" s="1">
        <f>DATE(2011,6,29) + TIME(17,45,11)</f>
        <v>40723.739710648151</v>
      </c>
      <c r="C816">
        <v>2400</v>
      </c>
      <c r="D816">
        <v>0</v>
      </c>
      <c r="E816">
        <v>0</v>
      </c>
      <c r="F816">
        <v>2400</v>
      </c>
      <c r="G816">
        <v>1384.8731689000001</v>
      </c>
      <c r="H816">
        <v>1370.9924315999999</v>
      </c>
      <c r="I816">
        <v>1284.6163329999999</v>
      </c>
      <c r="J816">
        <v>1264.8865966999999</v>
      </c>
      <c r="K816">
        <v>80</v>
      </c>
      <c r="L816">
        <v>79.922920227000006</v>
      </c>
      <c r="M816">
        <v>50</v>
      </c>
      <c r="N816">
        <v>43.507476807000003</v>
      </c>
    </row>
    <row r="817" spans="1:14" x14ac:dyDescent="0.25">
      <c r="A817">
        <v>425.75991299999998</v>
      </c>
      <c r="B817" s="1">
        <f>DATE(2011,6,30) + TIME(18,14,16)</f>
        <v>40724.75990740741</v>
      </c>
      <c r="C817">
        <v>2400</v>
      </c>
      <c r="D817">
        <v>0</v>
      </c>
      <c r="E817">
        <v>0</v>
      </c>
      <c r="F817">
        <v>2400</v>
      </c>
      <c r="G817">
        <v>1384.8060303</v>
      </c>
      <c r="H817">
        <v>1370.9342041</v>
      </c>
      <c r="I817">
        <v>1284.5550536999999</v>
      </c>
      <c r="J817">
        <v>1264.8004149999999</v>
      </c>
      <c r="K817">
        <v>80</v>
      </c>
      <c r="L817">
        <v>79.922981261999993</v>
      </c>
      <c r="M817">
        <v>50</v>
      </c>
      <c r="N817">
        <v>43.420227050999998</v>
      </c>
    </row>
    <row r="818" spans="1:14" x14ac:dyDescent="0.25">
      <c r="A818">
        <v>426</v>
      </c>
      <c r="B818" s="1">
        <f>DATE(2011,7,1) + TIME(0,0,0)</f>
        <v>40725</v>
      </c>
      <c r="C818">
        <v>2400</v>
      </c>
      <c r="D818">
        <v>0</v>
      </c>
      <c r="E818">
        <v>0</v>
      </c>
      <c r="F818">
        <v>2400</v>
      </c>
      <c r="G818">
        <v>1384.7392577999999</v>
      </c>
      <c r="H818">
        <v>1370.8763428</v>
      </c>
      <c r="I818">
        <v>1284.4899902</v>
      </c>
      <c r="J818">
        <v>1264.7253418</v>
      </c>
      <c r="K818">
        <v>80</v>
      </c>
      <c r="L818">
        <v>79.922981261999993</v>
      </c>
      <c r="M818">
        <v>50</v>
      </c>
      <c r="N818">
        <v>43.385532378999997</v>
      </c>
    </row>
    <row r="819" spans="1:14" x14ac:dyDescent="0.25">
      <c r="A819">
        <v>427.03902399999998</v>
      </c>
      <c r="B819" s="1">
        <f>DATE(2011,7,2) + TIME(0,56,11)</f>
        <v>40726.0390162037</v>
      </c>
      <c r="C819">
        <v>2400</v>
      </c>
      <c r="D819">
        <v>0</v>
      </c>
      <c r="E819">
        <v>0</v>
      </c>
      <c r="F819">
        <v>2400</v>
      </c>
      <c r="G819">
        <v>1384.7226562000001</v>
      </c>
      <c r="H819">
        <v>1370.8619385</v>
      </c>
      <c r="I819">
        <v>1284.4761963000001</v>
      </c>
      <c r="J819">
        <v>1264.6868896000001</v>
      </c>
      <c r="K819">
        <v>80</v>
      </c>
      <c r="L819">
        <v>79.923057556000003</v>
      </c>
      <c r="M819">
        <v>50</v>
      </c>
      <c r="N819">
        <v>43.304153442</v>
      </c>
    </row>
    <row r="820" spans="1:14" x14ac:dyDescent="0.25">
      <c r="A820">
        <v>428.10469499999999</v>
      </c>
      <c r="B820" s="1">
        <f>DATE(2011,7,3) + TIME(2,30,45)</f>
        <v>40727.104687500003</v>
      </c>
      <c r="C820">
        <v>2400</v>
      </c>
      <c r="D820">
        <v>0</v>
      </c>
      <c r="E820">
        <v>0</v>
      </c>
      <c r="F820">
        <v>2400</v>
      </c>
      <c r="G820">
        <v>1384.6556396000001</v>
      </c>
      <c r="H820">
        <v>1370.8037108999999</v>
      </c>
      <c r="I820">
        <v>1284.4108887</v>
      </c>
      <c r="J820">
        <v>1264.5954589999999</v>
      </c>
      <c r="K820">
        <v>80</v>
      </c>
      <c r="L820">
        <v>79.923118591000005</v>
      </c>
      <c r="M820">
        <v>50</v>
      </c>
      <c r="N820">
        <v>43.216953277999998</v>
      </c>
    </row>
    <row r="821" spans="1:14" x14ac:dyDescent="0.25">
      <c r="A821">
        <v>429.17686800000001</v>
      </c>
      <c r="B821" s="1">
        <f>DATE(2011,7,4) + TIME(4,14,41)</f>
        <v>40728.176863425928</v>
      </c>
      <c r="C821">
        <v>2400</v>
      </c>
      <c r="D821">
        <v>0</v>
      </c>
      <c r="E821">
        <v>0</v>
      </c>
      <c r="F821">
        <v>2400</v>
      </c>
      <c r="G821">
        <v>1384.5874022999999</v>
      </c>
      <c r="H821">
        <v>1370.7443848</v>
      </c>
      <c r="I821">
        <v>1284.3425293</v>
      </c>
      <c r="J821">
        <v>1264.4989014</v>
      </c>
      <c r="K821">
        <v>80</v>
      </c>
      <c r="L821">
        <v>79.923187256000006</v>
      </c>
      <c r="M821">
        <v>50</v>
      </c>
      <c r="N821">
        <v>43.126468658</v>
      </c>
    </row>
    <row r="822" spans="1:14" x14ac:dyDescent="0.25">
      <c r="A822">
        <v>430.25728600000002</v>
      </c>
      <c r="B822" s="1">
        <f>DATE(2011,7,5) + TIME(6,10,29)</f>
        <v>40729.257280092592</v>
      </c>
      <c r="C822">
        <v>2400</v>
      </c>
      <c r="D822">
        <v>0</v>
      </c>
      <c r="E822">
        <v>0</v>
      </c>
      <c r="F822">
        <v>2400</v>
      </c>
      <c r="G822">
        <v>1384.5196533000001</v>
      </c>
      <c r="H822">
        <v>1370.6855469</v>
      </c>
      <c r="I822">
        <v>1284.2724608999999</v>
      </c>
      <c r="J822">
        <v>1264.3994141000001</v>
      </c>
      <c r="K822">
        <v>80</v>
      </c>
      <c r="L822">
        <v>79.923248290999993</v>
      </c>
      <c r="M822">
        <v>50</v>
      </c>
      <c r="N822">
        <v>43.033977509000003</v>
      </c>
    </row>
    <row r="823" spans="1:14" x14ac:dyDescent="0.25">
      <c r="A823">
        <v>431.34855700000003</v>
      </c>
      <c r="B823" s="1">
        <f>DATE(2011,7,6) + TIME(8,21,55)</f>
        <v>40730.348553240743</v>
      </c>
      <c r="C823">
        <v>2400</v>
      </c>
      <c r="D823">
        <v>0</v>
      </c>
      <c r="E823">
        <v>0</v>
      </c>
      <c r="F823">
        <v>2400</v>
      </c>
      <c r="G823">
        <v>1384.4523925999999</v>
      </c>
      <c r="H823">
        <v>1370.6270752</v>
      </c>
      <c r="I823">
        <v>1284.2006836</v>
      </c>
      <c r="J823">
        <v>1264.2967529</v>
      </c>
      <c r="K823">
        <v>80</v>
      </c>
      <c r="L823">
        <v>79.923316955999994</v>
      </c>
      <c r="M823">
        <v>50</v>
      </c>
      <c r="N823">
        <v>42.939952849999997</v>
      </c>
    </row>
    <row r="824" spans="1:14" x14ac:dyDescent="0.25">
      <c r="A824">
        <v>432.45334800000001</v>
      </c>
      <c r="B824" s="1">
        <f>DATE(2011,7,7) + TIME(10,52,49)</f>
        <v>40731.453344907408</v>
      </c>
      <c r="C824">
        <v>2400</v>
      </c>
      <c r="D824">
        <v>0</v>
      </c>
      <c r="E824">
        <v>0</v>
      </c>
      <c r="F824">
        <v>2400</v>
      </c>
      <c r="G824">
        <v>1384.3852539</v>
      </c>
      <c r="H824">
        <v>1370.5686035000001</v>
      </c>
      <c r="I824">
        <v>1284.1270752</v>
      </c>
      <c r="J824">
        <v>1264.1910399999999</v>
      </c>
      <c r="K824">
        <v>80</v>
      </c>
      <c r="L824">
        <v>79.923385620000005</v>
      </c>
      <c r="M824">
        <v>50</v>
      </c>
      <c r="N824">
        <v>42.844451904000003</v>
      </c>
    </row>
    <row r="825" spans="1:14" x14ac:dyDescent="0.25">
      <c r="A825">
        <v>433.57039900000001</v>
      </c>
      <c r="B825" s="1">
        <f>DATE(2011,7,8) + TIME(13,41,22)</f>
        <v>40732.570393518516</v>
      </c>
      <c r="C825">
        <v>2400</v>
      </c>
      <c r="D825">
        <v>0</v>
      </c>
      <c r="E825">
        <v>0</v>
      </c>
      <c r="F825">
        <v>2400</v>
      </c>
      <c r="G825">
        <v>1384.3182373</v>
      </c>
      <c r="H825">
        <v>1370.5102539</v>
      </c>
      <c r="I825">
        <v>1284.0512695</v>
      </c>
      <c r="J825">
        <v>1264.0817870999999</v>
      </c>
      <c r="K825">
        <v>80</v>
      </c>
      <c r="L825">
        <v>79.923454285000005</v>
      </c>
      <c r="M825">
        <v>50</v>
      </c>
      <c r="N825">
        <v>42.747520446999999</v>
      </c>
    </row>
    <row r="826" spans="1:14" x14ac:dyDescent="0.25">
      <c r="A826">
        <v>434.70219800000001</v>
      </c>
      <c r="B826" s="1">
        <f>DATE(2011,7,9) + TIME(16,51,9)</f>
        <v>40733.702187499999</v>
      </c>
      <c r="C826">
        <v>2400</v>
      </c>
      <c r="D826">
        <v>0</v>
      </c>
      <c r="E826">
        <v>0</v>
      </c>
      <c r="F826">
        <v>2400</v>
      </c>
      <c r="G826">
        <v>1384.2513428</v>
      </c>
      <c r="H826">
        <v>1370.4519043</v>
      </c>
      <c r="I826">
        <v>1283.9733887</v>
      </c>
      <c r="J826">
        <v>1263.9691161999999</v>
      </c>
      <c r="K826">
        <v>80</v>
      </c>
      <c r="L826">
        <v>79.923522949000002</v>
      </c>
      <c r="M826">
        <v>50</v>
      </c>
      <c r="N826">
        <v>42.64906311</v>
      </c>
    </row>
    <row r="827" spans="1:14" x14ac:dyDescent="0.25">
      <c r="A827">
        <v>435.84625199999999</v>
      </c>
      <c r="B827" s="1">
        <f>DATE(2011,7,10) + TIME(20,18,36)</f>
        <v>40734.846250000002</v>
      </c>
      <c r="C827">
        <v>2400</v>
      </c>
      <c r="D827">
        <v>0</v>
      </c>
      <c r="E827">
        <v>0</v>
      </c>
      <c r="F827">
        <v>2400</v>
      </c>
      <c r="G827">
        <v>1384.1844481999999</v>
      </c>
      <c r="H827">
        <v>1370.3935547000001</v>
      </c>
      <c r="I827">
        <v>1283.8933105000001</v>
      </c>
      <c r="J827">
        <v>1263.8527832</v>
      </c>
      <c r="K827">
        <v>80</v>
      </c>
      <c r="L827">
        <v>79.923591614000003</v>
      </c>
      <c r="M827">
        <v>50</v>
      </c>
      <c r="N827">
        <v>42.549083709999998</v>
      </c>
    </row>
    <row r="828" spans="1:14" x14ac:dyDescent="0.25">
      <c r="A828">
        <v>437.00424900000002</v>
      </c>
      <c r="B828" s="1">
        <f>DATE(2011,7,12) + TIME(0,6,7)</f>
        <v>40736.004247685189</v>
      </c>
      <c r="C828">
        <v>2400</v>
      </c>
      <c r="D828">
        <v>0</v>
      </c>
      <c r="E828">
        <v>0</v>
      </c>
      <c r="F828">
        <v>2400</v>
      </c>
      <c r="G828">
        <v>1384.1176757999999</v>
      </c>
      <c r="H828">
        <v>1370.3353271000001</v>
      </c>
      <c r="I828">
        <v>1283.8110352000001</v>
      </c>
      <c r="J828">
        <v>1263.7329102000001</v>
      </c>
      <c r="K828">
        <v>80</v>
      </c>
      <c r="L828">
        <v>79.923667907999999</v>
      </c>
      <c r="M828">
        <v>50</v>
      </c>
      <c r="N828">
        <v>42.447525024000001</v>
      </c>
    </row>
    <row r="829" spans="1:14" x14ac:dyDescent="0.25">
      <c r="A829">
        <v>438.17907000000002</v>
      </c>
      <c r="B829" s="1">
        <f>DATE(2011,7,13) + TIME(4,17,51)</f>
        <v>40737.179062499999</v>
      </c>
      <c r="C829">
        <v>2400</v>
      </c>
      <c r="D829">
        <v>0</v>
      </c>
      <c r="E829">
        <v>0</v>
      </c>
      <c r="F829">
        <v>2400</v>
      </c>
      <c r="G829">
        <v>1384.0510254000001</v>
      </c>
      <c r="H829">
        <v>1370.2770995999999</v>
      </c>
      <c r="I829">
        <v>1283.7263184000001</v>
      </c>
      <c r="J829">
        <v>1263.6091309000001</v>
      </c>
      <c r="K829">
        <v>80</v>
      </c>
      <c r="L829">
        <v>79.923744201999995</v>
      </c>
      <c r="M829">
        <v>50</v>
      </c>
      <c r="N829">
        <v>42.344196320000002</v>
      </c>
    </row>
    <row r="830" spans="1:14" x14ac:dyDescent="0.25">
      <c r="A830">
        <v>439.370158</v>
      </c>
      <c r="B830" s="1">
        <f>DATE(2011,7,14) + TIME(8,53,1)</f>
        <v>40738.370150462964</v>
      </c>
      <c r="C830">
        <v>2400</v>
      </c>
      <c r="D830">
        <v>0</v>
      </c>
      <c r="E830">
        <v>0</v>
      </c>
      <c r="F830">
        <v>2400</v>
      </c>
      <c r="G830">
        <v>1383.9841309000001</v>
      </c>
      <c r="H830">
        <v>1370.21875</v>
      </c>
      <c r="I830">
        <v>1283.6391602000001</v>
      </c>
      <c r="J830">
        <v>1263.4810791</v>
      </c>
      <c r="K830">
        <v>80</v>
      </c>
      <c r="L830">
        <v>79.923820496000005</v>
      </c>
      <c r="M830">
        <v>50</v>
      </c>
      <c r="N830">
        <v>42.238983154000003</v>
      </c>
    </row>
    <row r="831" spans="1:14" x14ac:dyDescent="0.25">
      <c r="A831">
        <v>440.57893899999999</v>
      </c>
      <c r="B831" s="1">
        <f>DATE(2011,7,15) + TIME(13,53,40)</f>
        <v>40739.578935185185</v>
      </c>
      <c r="C831">
        <v>2400</v>
      </c>
      <c r="D831">
        <v>0</v>
      </c>
      <c r="E831">
        <v>0</v>
      </c>
      <c r="F831">
        <v>2400</v>
      </c>
      <c r="G831">
        <v>1383.9173584</v>
      </c>
      <c r="H831">
        <v>1370.1602783000001</v>
      </c>
      <c r="I831">
        <v>1283.5494385</v>
      </c>
      <c r="J831">
        <v>1263.3487548999999</v>
      </c>
      <c r="K831">
        <v>80</v>
      </c>
      <c r="L831">
        <v>79.923896790000001</v>
      </c>
      <c r="M831">
        <v>50</v>
      </c>
      <c r="N831">
        <v>42.131752014</v>
      </c>
    </row>
    <row r="832" spans="1:14" x14ac:dyDescent="0.25">
      <c r="A832">
        <v>441.79612600000002</v>
      </c>
      <c r="B832" s="1">
        <f>DATE(2011,7,16) + TIME(19,6,25)</f>
        <v>40740.796122685184</v>
      </c>
      <c r="C832">
        <v>2400</v>
      </c>
      <c r="D832">
        <v>0</v>
      </c>
      <c r="E832">
        <v>0</v>
      </c>
      <c r="F832">
        <v>2400</v>
      </c>
      <c r="G832">
        <v>1383.8503418</v>
      </c>
      <c r="H832">
        <v>1370.1015625</v>
      </c>
      <c r="I832">
        <v>1283.4569091999999</v>
      </c>
      <c r="J832">
        <v>1263.2120361</v>
      </c>
      <c r="K832">
        <v>80</v>
      </c>
      <c r="L832">
        <v>79.923973083000007</v>
      </c>
      <c r="M832">
        <v>50</v>
      </c>
      <c r="N832">
        <v>42.022747039999999</v>
      </c>
    </row>
    <row r="833" spans="1:14" x14ac:dyDescent="0.25">
      <c r="A833">
        <v>443.02091300000001</v>
      </c>
      <c r="B833" s="1">
        <f>DATE(2011,7,18) + TIME(0,30,6)</f>
        <v>40742.020902777775</v>
      </c>
      <c r="C833">
        <v>2400</v>
      </c>
      <c r="D833">
        <v>0</v>
      </c>
      <c r="E833">
        <v>0</v>
      </c>
      <c r="F833">
        <v>2400</v>
      </c>
      <c r="G833">
        <v>1383.7836914</v>
      </c>
      <c r="H833">
        <v>1370.0432129000001</v>
      </c>
      <c r="I833">
        <v>1283.3621826000001</v>
      </c>
      <c r="J833">
        <v>1263.0716553</v>
      </c>
      <c r="K833">
        <v>80</v>
      </c>
      <c r="L833">
        <v>79.924049377000003</v>
      </c>
      <c r="M833">
        <v>50</v>
      </c>
      <c r="N833">
        <v>41.912204742</v>
      </c>
    </row>
    <row r="834" spans="1:14" x14ac:dyDescent="0.25">
      <c r="A834">
        <v>444.25379800000002</v>
      </c>
      <c r="B834" s="1">
        <f>DATE(2011,7,19) + TIME(6,5,28)</f>
        <v>40743.253796296296</v>
      </c>
      <c r="C834">
        <v>2400</v>
      </c>
      <c r="D834">
        <v>0</v>
      </c>
      <c r="E834">
        <v>0</v>
      </c>
      <c r="F834">
        <v>2400</v>
      </c>
      <c r="G834">
        <v>1383.7175293</v>
      </c>
      <c r="H834">
        <v>1369.9852295000001</v>
      </c>
      <c r="I834">
        <v>1283.265625</v>
      </c>
      <c r="J834">
        <v>1262.9276123</v>
      </c>
      <c r="K834">
        <v>80</v>
      </c>
      <c r="L834">
        <v>79.924133300999998</v>
      </c>
      <c r="M834">
        <v>50</v>
      </c>
      <c r="N834">
        <v>41.800193786999998</v>
      </c>
    </row>
    <row r="835" spans="1:14" x14ac:dyDescent="0.25">
      <c r="A835">
        <v>445.49757</v>
      </c>
      <c r="B835" s="1">
        <f>DATE(2011,7,20) + TIME(11,56,30)</f>
        <v>40744.497569444444</v>
      </c>
      <c r="C835">
        <v>2400</v>
      </c>
      <c r="D835">
        <v>0</v>
      </c>
      <c r="E835">
        <v>0</v>
      </c>
      <c r="F835">
        <v>2400</v>
      </c>
      <c r="G835">
        <v>1383.6516113</v>
      </c>
      <c r="H835">
        <v>1369.9274902</v>
      </c>
      <c r="I835">
        <v>1283.1668701000001</v>
      </c>
      <c r="J835">
        <v>1262.7799072</v>
      </c>
      <c r="K835">
        <v>80</v>
      </c>
      <c r="L835">
        <v>79.924209594999994</v>
      </c>
      <c r="M835">
        <v>50</v>
      </c>
      <c r="N835">
        <v>41.686603546000001</v>
      </c>
    </row>
    <row r="836" spans="1:14" x14ac:dyDescent="0.25">
      <c r="A836">
        <v>446.75512199999997</v>
      </c>
      <c r="B836" s="1">
        <f>DATE(2011,7,21) + TIME(18,7,22)</f>
        <v>40745.755115740743</v>
      </c>
      <c r="C836">
        <v>2400</v>
      </c>
      <c r="D836">
        <v>0</v>
      </c>
      <c r="E836">
        <v>0</v>
      </c>
      <c r="F836">
        <v>2400</v>
      </c>
      <c r="G836">
        <v>1383.5860596</v>
      </c>
      <c r="H836">
        <v>1369.8698730000001</v>
      </c>
      <c r="I836">
        <v>1283.0657959</v>
      </c>
      <c r="J836">
        <v>1262.6281738</v>
      </c>
      <c r="K836">
        <v>80</v>
      </c>
      <c r="L836">
        <v>79.924293517999999</v>
      </c>
      <c r="M836">
        <v>50</v>
      </c>
      <c r="N836">
        <v>41.571212768999999</v>
      </c>
    </row>
    <row r="837" spans="1:14" x14ac:dyDescent="0.25">
      <c r="A837">
        <v>448.02947699999999</v>
      </c>
      <c r="B837" s="1">
        <f>DATE(2011,7,23) + TIME(0,42,26)</f>
        <v>40747.029467592591</v>
      </c>
      <c r="C837">
        <v>2400</v>
      </c>
      <c r="D837">
        <v>0</v>
      </c>
      <c r="E837">
        <v>0</v>
      </c>
      <c r="F837">
        <v>2400</v>
      </c>
      <c r="G837">
        <v>1383.5205077999999</v>
      </c>
      <c r="H837">
        <v>1369.8123779</v>
      </c>
      <c r="I837">
        <v>1282.9621582</v>
      </c>
      <c r="J837">
        <v>1262.4720459</v>
      </c>
      <c r="K837">
        <v>80</v>
      </c>
      <c r="L837">
        <v>79.924377441000004</v>
      </c>
      <c r="M837">
        <v>50</v>
      </c>
      <c r="N837">
        <v>41.453735352000002</v>
      </c>
    </row>
    <row r="838" spans="1:14" x14ac:dyDescent="0.25">
      <c r="A838">
        <v>449.32380699999999</v>
      </c>
      <c r="B838" s="1">
        <f>DATE(2011,7,24) + TIME(7,46,16)</f>
        <v>40748.323796296296</v>
      </c>
      <c r="C838">
        <v>2400</v>
      </c>
      <c r="D838">
        <v>0</v>
      </c>
      <c r="E838">
        <v>0</v>
      </c>
      <c r="F838">
        <v>2400</v>
      </c>
      <c r="G838">
        <v>1383.4549560999999</v>
      </c>
      <c r="H838">
        <v>1369.7546387</v>
      </c>
      <c r="I838">
        <v>1282.8558350000001</v>
      </c>
      <c r="J838">
        <v>1262.3110352000001</v>
      </c>
      <c r="K838">
        <v>80</v>
      </c>
      <c r="L838">
        <v>79.924461364999999</v>
      </c>
      <c r="M838">
        <v>50</v>
      </c>
      <c r="N838">
        <v>41.333858489999997</v>
      </c>
    </row>
    <row r="839" spans="1:14" x14ac:dyDescent="0.25">
      <c r="A839">
        <v>450.641504</v>
      </c>
      <c r="B839" s="1">
        <f>DATE(2011,7,25) + TIME(15,23,45)</f>
        <v>40749.641493055555</v>
      </c>
      <c r="C839">
        <v>2400</v>
      </c>
      <c r="D839">
        <v>0</v>
      </c>
      <c r="E839">
        <v>0</v>
      </c>
      <c r="F839">
        <v>2400</v>
      </c>
      <c r="G839">
        <v>1383.3890381000001</v>
      </c>
      <c r="H839">
        <v>1369.6967772999999</v>
      </c>
      <c r="I839">
        <v>1282.7462158000001</v>
      </c>
      <c r="J839">
        <v>1262.1446533000001</v>
      </c>
      <c r="K839">
        <v>80</v>
      </c>
      <c r="L839">
        <v>79.924545288000004</v>
      </c>
      <c r="M839">
        <v>50</v>
      </c>
      <c r="N839">
        <v>41.211231232000003</v>
      </c>
    </row>
    <row r="840" spans="1:14" x14ac:dyDescent="0.25">
      <c r="A840">
        <v>451.97534999999999</v>
      </c>
      <c r="B840" s="1">
        <f>DATE(2011,7,26) + TIME(23,24,30)</f>
        <v>40750.975347222222</v>
      </c>
      <c r="C840">
        <v>2400</v>
      </c>
      <c r="D840">
        <v>0</v>
      </c>
      <c r="E840">
        <v>0</v>
      </c>
      <c r="F840">
        <v>2400</v>
      </c>
      <c r="G840">
        <v>1383.322876</v>
      </c>
      <c r="H840">
        <v>1369.6384277</v>
      </c>
      <c r="I840">
        <v>1282.6333007999999</v>
      </c>
      <c r="J840">
        <v>1261.9725341999999</v>
      </c>
      <c r="K840">
        <v>80</v>
      </c>
      <c r="L840">
        <v>79.924636840999995</v>
      </c>
      <c r="M840">
        <v>50</v>
      </c>
      <c r="N840">
        <v>41.085884094000001</v>
      </c>
    </row>
    <row r="841" spans="1:14" x14ac:dyDescent="0.25">
      <c r="A841">
        <v>453.318648</v>
      </c>
      <c r="B841" s="1">
        <f>DATE(2011,7,28) + TIME(7,38,51)</f>
        <v>40752.318645833337</v>
      </c>
      <c r="C841">
        <v>2400</v>
      </c>
      <c r="D841">
        <v>0</v>
      </c>
      <c r="E841">
        <v>0</v>
      </c>
      <c r="F841">
        <v>2400</v>
      </c>
      <c r="G841">
        <v>1383.2565918</v>
      </c>
      <c r="H841">
        <v>1369.5799560999999</v>
      </c>
      <c r="I841">
        <v>1282.5174560999999</v>
      </c>
      <c r="J841">
        <v>1261.7954102000001</v>
      </c>
      <c r="K841">
        <v>80</v>
      </c>
      <c r="L841">
        <v>79.924728393999999</v>
      </c>
      <c r="M841">
        <v>50</v>
      </c>
      <c r="N841">
        <v>40.958187103</v>
      </c>
    </row>
    <row r="842" spans="1:14" x14ac:dyDescent="0.25">
      <c r="A842">
        <v>454.67461300000002</v>
      </c>
      <c r="B842" s="1">
        <f>DATE(2011,7,29) + TIME(16,11,26)</f>
        <v>40753.67460648148</v>
      </c>
      <c r="C842">
        <v>2400</v>
      </c>
      <c r="D842">
        <v>0</v>
      </c>
      <c r="E842">
        <v>0</v>
      </c>
      <c r="F842">
        <v>2400</v>
      </c>
      <c r="G842">
        <v>1383.1905518000001</v>
      </c>
      <c r="H842">
        <v>1369.5218506000001</v>
      </c>
      <c r="I842">
        <v>1282.3992920000001</v>
      </c>
      <c r="J842">
        <v>1261.6137695</v>
      </c>
      <c r="K842">
        <v>80</v>
      </c>
      <c r="L842">
        <v>79.924812317000004</v>
      </c>
      <c r="M842">
        <v>50</v>
      </c>
      <c r="N842">
        <v>40.828266143999997</v>
      </c>
    </row>
    <row r="843" spans="1:14" x14ac:dyDescent="0.25">
      <c r="A843">
        <v>456.04094700000002</v>
      </c>
      <c r="B843" s="1">
        <f>DATE(2011,7,31) + TIME(0,58,57)</f>
        <v>40755.040937500002</v>
      </c>
      <c r="C843">
        <v>2400</v>
      </c>
      <c r="D843">
        <v>0</v>
      </c>
      <c r="E843">
        <v>0</v>
      </c>
      <c r="F843">
        <v>2400</v>
      </c>
      <c r="G843">
        <v>1383.1247559000001</v>
      </c>
      <c r="H843">
        <v>1369.4637451000001</v>
      </c>
      <c r="I843">
        <v>1282.2785644999999</v>
      </c>
      <c r="J843">
        <v>1261.4274902</v>
      </c>
      <c r="K843">
        <v>80</v>
      </c>
      <c r="L843">
        <v>79.924903869999994</v>
      </c>
      <c r="M843">
        <v>50</v>
      </c>
      <c r="N843">
        <v>40.696178435999997</v>
      </c>
    </row>
    <row r="844" spans="1:14" x14ac:dyDescent="0.25">
      <c r="A844">
        <v>457</v>
      </c>
      <c r="B844" s="1">
        <f>DATE(2011,8,1) + TIME(0,0,0)</f>
        <v>40756</v>
      </c>
      <c r="C844">
        <v>2400</v>
      </c>
      <c r="D844">
        <v>0</v>
      </c>
      <c r="E844">
        <v>0</v>
      </c>
      <c r="F844">
        <v>2400</v>
      </c>
      <c r="G844">
        <v>1383.059082</v>
      </c>
      <c r="H844">
        <v>1369.4056396000001</v>
      </c>
      <c r="I844">
        <v>1282.1561279</v>
      </c>
      <c r="J844">
        <v>1261.2456055</v>
      </c>
      <c r="K844">
        <v>80</v>
      </c>
      <c r="L844">
        <v>79.924957274999997</v>
      </c>
      <c r="M844">
        <v>50</v>
      </c>
      <c r="N844">
        <v>40.581836699999997</v>
      </c>
    </row>
    <row r="845" spans="1:14" x14ac:dyDescent="0.25">
      <c r="A845">
        <v>458.37365699999998</v>
      </c>
      <c r="B845" s="1">
        <f>DATE(2011,8,2) + TIME(8,58,3)</f>
        <v>40757.373645833337</v>
      </c>
      <c r="C845">
        <v>2400</v>
      </c>
      <c r="D845">
        <v>0</v>
      </c>
      <c r="E845">
        <v>0</v>
      </c>
      <c r="F845">
        <v>2400</v>
      </c>
      <c r="G845">
        <v>1383.0135498</v>
      </c>
      <c r="H845">
        <v>1369.3653564000001</v>
      </c>
      <c r="I845">
        <v>1282.0662841999999</v>
      </c>
      <c r="J845">
        <v>1261.0948486</v>
      </c>
      <c r="K845">
        <v>80</v>
      </c>
      <c r="L845">
        <v>79.925056458</v>
      </c>
      <c r="M845">
        <v>50</v>
      </c>
      <c r="N845">
        <v>40.459064484000002</v>
      </c>
    </row>
    <row r="846" spans="1:14" x14ac:dyDescent="0.25">
      <c r="A846">
        <v>459.76709799999998</v>
      </c>
      <c r="B846" s="1">
        <f>DATE(2011,8,3) + TIME(18,24,37)</f>
        <v>40758.767094907409</v>
      </c>
      <c r="C846">
        <v>2400</v>
      </c>
      <c r="D846">
        <v>0</v>
      </c>
      <c r="E846">
        <v>0</v>
      </c>
      <c r="F846">
        <v>2400</v>
      </c>
      <c r="G846">
        <v>1382.9489745999999</v>
      </c>
      <c r="H846">
        <v>1369.3083495999999</v>
      </c>
      <c r="I846">
        <v>1281.9412841999999</v>
      </c>
      <c r="J846">
        <v>1260.9018555</v>
      </c>
      <c r="K846">
        <v>80</v>
      </c>
      <c r="L846">
        <v>79.92515564</v>
      </c>
      <c r="M846">
        <v>50</v>
      </c>
      <c r="N846">
        <v>40.326690673999998</v>
      </c>
    </row>
    <row r="847" spans="1:14" x14ac:dyDescent="0.25">
      <c r="A847">
        <v>461.17624799999999</v>
      </c>
      <c r="B847" s="1">
        <f>DATE(2011,8,5) + TIME(4,13,47)</f>
        <v>40760.176238425927</v>
      </c>
      <c r="C847">
        <v>2400</v>
      </c>
      <c r="D847">
        <v>0</v>
      </c>
      <c r="E847">
        <v>0</v>
      </c>
      <c r="F847">
        <v>2400</v>
      </c>
      <c r="G847">
        <v>1382.8841553</v>
      </c>
      <c r="H847">
        <v>1369.2508545000001</v>
      </c>
      <c r="I847">
        <v>1281.8126221</v>
      </c>
      <c r="J847">
        <v>1260.7009277</v>
      </c>
      <c r="K847">
        <v>80</v>
      </c>
      <c r="L847">
        <v>79.925247192</v>
      </c>
      <c r="M847">
        <v>50</v>
      </c>
      <c r="N847">
        <v>40.188785553000002</v>
      </c>
    </row>
    <row r="848" spans="1:14" x14ac:dyDescent="0.25">
      <c r="A848">
        <v>462.60454299999998</v>
      </c>
      <c r="B848" s="1">
        <f>DATE(2011,8,6) + TIME(14,30,32)</f>
        <v>40761.604537037034</v>
      </c>
      <c r="C848">
        <v>2400</v>
      </c>
      <c r="D848">
        <v>0</v>
      </c>
      <c r="E848">
        <v>0</v>
      </c>
      <c r="F848">
        <v>2400</v>
      </c>
      <c r="G848">
        <v>1382.8192139</v>
      </c>
      <c r="H848">
        <v>1369.1933594</v>
      </c>
      <c r="I848">
        <v>1281.6807861</v>
      </c>
      <c r="J848">
        <v>1260.4938964999999</v>
      </c>
      <c r="K848">
        <v>80</v>
      </c>
      <c r="L848">
        <v>79.925346375000004</v>
      </c>
      <c r="M848">
        <v>50</v>
      </c>
      <c r="N848">
        <v>40.046947479000004</v>
      </c>
    </row>
    <row r="849" spans="1:14" x14ac:dyDescent="0.25">
      <c r="A849">
        <v>464.05557700000003</v>
      </c>
      <c r="B849" s="1">
        <f>DATE(2011,8,8) + TIME(1,20,1)</f>
        <v>40763.055567129632</v>
      </c>
      <c r="C849">
        <v>2400</v>
      </c>
      <c r="D849">
        <v>0</v>
      </c>
      <c r="E849">
        <v>0</v>
      </c>
      <c r="F849">
        <v>2400</v>
      </c>
      <c r="G849">
        <v>1382.7541504000001</v>
      </c>
      <c r="H849">
        <v>1369.1356201000001</v>
      </c>
      <c r="I849">
        <v>1281.5458983999999</v>
      </c>
      <c r="J849">
        <v>1260.2808838000001</v>
      </c>
      <c r="K849">
        <v>80</v>
      </c>
      <c r="L849">
        <v>79.925437927000004</v>
      </c>
      <c r="M849">
        <v>50</v>
      </c>
      <c r="N849">
        <v>39.901630402000002</v>
      </c>
    </row>
    <row r="850" spans="1:14" x14ac:dyDescent="0.25">
      <c r="A850">
        <v>465.52422200000001</v>
      </c>
      <c r="B850" s="1">
        <f>DATE(2011,8,9) + TIME(12,34,52)</f>
        <v>40764.524212962962</v>
      </c>
      <c r="C850">
        <v>2400</v>
      </c>
      <c r="D850">
        <v>0</v>
      </c>
      <c r="E850">
        <v>0</v>
      </c>
      <c r="F850">
        <v>2400</v>
      </c>
      <c r="G850">
        <v>1382.6887207</v>
      </c>
      <c r="H850">
        <v>1369.0775146000001</v>
      </c>
      <c r="I850">
        <v>1281.4077147999999</v>
      </c>
      <c r="J850">
        <v>1260.0616454999999</v>
      </c>
      <c r="K850">
        <v>80</v>
      </c>
      <c r="L850">
        <v>79.925537109000004</v>
      </c>
      <c r="M850">
        <v>50</v>
      </c>
      <c r="N850">
        <v>39.753093718999999</v>
      </c>
    </row>
    <row r="851" spans="1:14" x14ac:dyDescent="0.25">
      <c r="A851">
        <v>467.00218000000001</v>
      </c>
      <c r="B851" s="1">
        <f>DATE(2011,8,11) + TIME(0,3,8)</f>
        <v>40766.002175925925</v>
      </c>
      <c r="C851">
        <v>2400</v>
      </c>
      <c r="D851">
        <v>0</v>
      </c>
      <c r="E851">
        <v>0</v>
      </c>
      <c r="F851">
        <v>2400</v>
      </c>
      <c r="G851">
        <v>1382.6231689000001</v>
      </c>
      <c r="H851">
        <v>1369.0192870999999</v>
      </c>
      <c r="I851">
        <v>1281.2666016000001</v>
      </c>
      <c r="J851">
        <v>1259.8370361</v>
      </c>
      <c r="K851">
        <v>80</v>
      </c>
      <c r="L851">
        <v>79.925636291999993</v>
      </c>
      <c r="M851">
        <v>50</v>
      </c>
      <c r="N851">
        <v>39.601875305</v>
      </c>
    </row>
    <row r="852" spans="1:14" x14ac:dyDescent="0.25">
      <c r="A852">
        <v>468.49292800000001</v>
      </c>
      <c r="B852" s="1">
        <f>DATE(2011,8,12) + TIME(11,49,48)</f>
        <v>40767.49291666667</v>
      </c>
      <c r="C852">
        <v>2400</v>
      </c>
      <c r="D852">
        <v>0</v>
      </c>
      <c r="E852">
        <v>0</v>
      </c>
      <c r="F852">
        <v>2400</v>
      </c>
      <c r="G852">
        <v>1382.5579834</v>
      </c>
      <c r="H852">
        <v>1368.9613036999999</v>
      </c>
      <c r="I852">
        <v>1281.1234131000001</v>
      </c>
      <c r="J852">
        <v>1259.6079102000001</v>
      </c>
      <c r="K852">
        <v>80</v>
      </c>
      <c r="L852">
        <v>79.925735474000007</v>
      </c>
      <c r="M852">
        <v>50</v>
      </c>
      <c r="N852">
        <v>39.448280334000003</v>
      </c>
    </row>
    <row r="853" spans="1:14" x14ac:dyDescent="0.25">
      <c r="A853">
        <v>469.99997500000001</v>
      </c>
      <c r="B853" s="1">
        <f>DATE(2011,8,13) + TIME(23,59,57)</f>
        <v>40768.999965277777</v>
      </c>
      <c r="C853">
        <v>2400</v>
      </c>
      <c r="D853">
        <v>0</v>
      </c>
      <c r="E853">
        <v>0</v>
      </c>
      <c r="F853">
        <v>2400</v>
      </c>
      <c r="G853">
        <v>1382.4927978999999</v>
      </c>
      <c r="H853">
        <v>1368.9033202999999</v>
      </c>
      <c r="I853">
        <v>1280.9781493999999</v>
      </c>
      <c r="J853">
        <v>1259.3741454999999</v>
      </c>
      <c r="K853">
        <v>80</v>
      </c>
      <c r="L853">
        <v>79.925842285000002</v>
      </c>
      <c r="M853">
        <v>50</v>
      </c>
      <c r="N853">
        <v>39.292232513000002</v>
      </c>
    </row>
    <row r="854" spans="1:14" x14ac:dyDescent="0.25">
      <c r="A854">
        <v>471.526612</v>
      </c>
      <c r="B854" s="1">
        <f>DATE(2011,8,15) + TIME(12,38,19)</f>
        <v>40770.526608796295</v>
      </c>
      <c r="C854">
        <v>2400</v>
      </c>
      <c r="D854">
        <v>0</v>
      </c>
      <c r="E854">
        <v>0</v>
      </c>
      <c r="F854">
        <v>2400</v>
      </c>
      <c r="G854">
        <v>1382.4276123</v>
      </c>
      <c r="H854">
        <v>1368.8452147999999</v>
      </c>
      <c r="I854">
        <v>1280.8303223</v>
      </c>
      <c r="J854">
        <v>1259.1352539</v>
      </c>
      <c r="K854">
        <v>80</v>
      </c>
      <c r="L854">
        <v>79.925941467000001</v>
      </c>
      <c r="M854">
        <v>50</v>
      </c>
      <c r="N854">
        <v>39.133522034000002</v>
      </c>
    </row>
    <row r="855" spans="1:14" x14ac:dyDescent="0.25">
      <c r="A855">
        <v>473.06091300000003</v>
      </c>
      <c r="B855" s="1">
        <f>DATE(2011,8,17) + TIME(1,27,42)</f>
        <v>40772.060902777775</v>
      </c>
      <c r="C855">
        <v>2400</v>
      </c>
      <c r="D855">
        <v>0</v>
      </c>
      <c r="E855">
        <v>0</v>
      </c>
      <c r="F855">
        <v>2400</v>
      </c>
      <c r="G855">
        <v>1382.3621826000001</v>
      </c>
      <c r="H855">
        <v>1368.7868652</v>
      </c>
      <c r="I855">
        <v>1280.6798096</v>
      </c>
      <c r="J855">
        <v>1258.8912353999999</v>
      </c>
      <c r="K855">
        <v>80</v>
      </c>
      <c r="L855">
        <v>79.926040649000001</v>
      </c>
      <c r="M855">
        <v>50</v>
      </c>
      <c r="N855">
        <v>38.972473145000002</v>
      </c>
    </row>
    <row r="856" spans="1:14" x14ac:dyDescent="0.25">
      <c r="A856">
        <v>474.60782599999999</v>
      </c>
      <c r="B856" s="1">
        <f>DATE(2011,8,18) + TIME(14,35,16)</f>
        <v>40773.607824074075</v>
      </c>
      <c r="C856">
        <v>2400</v>
      </c>
      <c r="D856">
        <v>0</v>
      </c>
      <c r="E856">
        <v>0</v>
      </c>
      <c r="F856">
        <v>2400</v>
      </c>
      <c r="G856">
        <v>1382.2971190999999</v>
      </c>
      <c r="H856">
        <v>1368.7287598</v>
      </c>
      <c r="I856">
        <v>1280.5277100000001</v>
      </c>
      <c r="J856">
        <v>1258.6433105000001</v>
      </c>
      <c r="K856">
        <v>80</v>
      </c>
      <c r="L856">
        <v>79.926147460999999</v>
      </c>
      <c r="M856">
        <v>50</v>
      </c>
      <c r="N856">
        <v>38.809440613</v>
      </c>
    </row>
    <row r="857" spans="1:14" x14ac:dyDescent="0.25">
      <c r="A857">
        <v>476.17138399999999</v>
      </c>
      <c r="B857" s="1">
        <f>DATE(2011,8,20) + TIME(4,6,47)</f>
        <v>40775.171377314815</v>
      </c>
      <c r="C857">
        <v>2400</v>
      </c>
      <c r="D857">
        <v>0</v>
      </c>
      <c r="E857">
        <v>0</v>
      </c>
      <c r="F857">
        <v>2400</v>
      </c>
      <c r="G857">
        <v>1382.2320557</v>
      </c>
      <c r="H857">
        <v>1368.6706543</v>
      </c>
      <c r="I857">
        <v>1280.3739014</v>
      </c>
      <c r="J857">
        <v>1258.3911132999999</v>
      </c>
      <c r="K857">
        <v>80</v>
      </c>
      <c r="L857">
        <v>79.926254271999994</v>
      </c>
      <c r="M857">
        <v>50</v>
      </c>
      <c r="N857">
        <v>38.644294739000003</v>
      </c>
    </row>
    <row r="858" spans="1:14" x14ac:dyDescent="0.25">
      <c r="A858">
        <v>477.75530300000003</v>
      </c>
      <c r="B858" s="1">
        <f>DATE(2011,8,21) + TIME(18,7,38)</f>
        <v>40776.755300925928</v>
      </c>
      <c r="C858">
        <v>2400</v>
      </c>
      <c r="D858">
        <v>0</v>
      </c>
      <c r="E858">
        <v>0</v>
      </c>
      <c r="F858">
        <v>2400</v>
      </c>
      <c r="G858">
        <v>1382.1669922000001</v>
      </c>
      <c r="H858">
        <v>1368.6124268000001</v>
      </c>
      <c r="I858">
        <v>1280.2178954999999</v>
      </c>
      <c r="J858">
        <v>1258.1341553</v>
      </c>
      <c r="K858">
        <v>80</v>
      </c>
      <c r="L858">
        <v>79.926361084000007</v>
      </c>
      <c r="M858">
        <v>50</v>
      </c>
      <c r="N858">
        <v>38.476768493999998</v>
      </c>
    </row>
    <row r="859" spans="1:14" x14ac:dyDescent="0.25">
      <c r="A859">
        <v>479.36150199999997</v>
      </c>
      <c r="B859" s="1">
        <f>DATE(2011,8,23) + TIME(8,40,33)</f>
        <v>40778.361493055556</v>
      </c>
      <c r="C859">
        <v>2400</v>
      </c>
      <c r="D859">
        <v>0</v>
      </c>
      <c r="E859">
        <v>0</v>
      </c>
      <c r="F859">
        <v>2400</v>
      </c>
      <c r="G859">
        <v>1382.1015625</v>
      </c>
      <c r="H859">
        <v>1368.5538329999999</v>
      </c>
      <c r="I859">
        <v>1280.0595702999999</v>
      </c>
      <c r="J859">
        <v>1257.8720702999999</v>
      </c>
      <c r="K859">
        <v>80</v>
      </c>
      <c r="L859">
        <v>79.926467896000005</v>
      </c>
      <c r="M859">
        <v>50</v>
      </c>
      <c r="N859">
        <v>38.306629180999998</v>
      </c>
    </row>
    <row r="860" spans="1:14" x14ac:dyDescent="0.25">
      <c r="A860">
        <v>480.97524099999998</v>
      </c>
      <c r="B860" s="1">
        <f>DATE(2011,8,24) + TIME(23,24,20)</f>
        <v>40779.975231481483</v>
      </c>
      <c r="C860">
        <v>2400</v>
      </c>
      <c r="D860">
        <v>0</v>
      </c>
      <c r="E860">
        <v>0</v>
      </c>
      <c r="F860">
        <v>2400</v>
      </c>
      <c r="G860">
        <v>1382.0358887</v>
      </c>
      <c r="H860">
        <v>1368.4949951000001</v>
      </c>
      <c r="I860">
        <v>1279.8989257999999</v>
      </c>
      <c r="J860">
        <v>1257.6051024999999</v>
      </c>
      <c r="K860">
        <v>80</v>
      </c>
      <c r="L860">
        <v>79.926574707</v>
      </c>
      <c r="M860">
        <v>50</v>
      </c>
      <c r="N860">
        <v>38.134365082000002</v>
      </c>
    </row>
    <row r="861" spans="1:14" x14ac:dyDescent="0.25">
      <c r="A861">
        <v>482.60048599999999</v>
      </c>
      <c r="B861" s="1">
        <f>DATE(2011,8,26) + TIME(14,24,41)</f>
        <v>40781.600474537037</v>
      </c>
      <c r="C861">
        <v>2400</v>
      </c>
      <c r="D861">
        <v>0</v>
      </c>
      <c r="E861">
        <v>0</v>
      </c>
      <c r="F861">
        <v>2400</v>
      </c>
      <c r="G861">
        <v>1381.9704589999999</v>
      </c>
      <c r="H861">
        <v>1368.4362793</v>
      </c>
      <c r="I861">
        <v>1279.7374268000001</v>
      </c>
      <c r="J861">
        <v>1257.3350829999999</v>
      </c>
      <c r="K861">
        <v>80</v>
      </c>
      <c r="L861">
        <v>79.926681518999999</v>
      </c>
      <c r="M861">
        <v>50</v>
      </c>
      <c r="N861">
        <v>37.960533142000003</v>
      </c>
    </row>
    <row r="862" spans="1:14" x14ac:dyDescent="0.25">
      <c r="A862">
        <v>484.24096800000001</v>
      </c>
      <c r="B862" s="1">
        <f>DATE(2011,8,28) + TIME(5,46,59)</f>
        <v>40783.240960648145</v>
      </c>
      <c r="C862">
        <v>2400</v>
      </c>
      <c r="D862">
        <v>0</v>
      </c>
      <c r="E862">
        <v>0</v>
      </c>
      <c r="F862">
        <v>2400</v>
      </c>
      <c r="G862">
        <v>1381.9051514</v>
      </c>
      <c r="H862">
        <v>1368.3775635</v>
      </c>
      <c r="I862">
        <v>1279.5749512</v>
      </c>
      <c r="J862">
        <v>1257.0618896000001</v>
      </c>
      <c r="K862">
        <v>80</v>
      </c>
      <c r="L862">
        <v>79.926795959000003</v>
      </c>
      <c r="M862">
        <v>50</v>
      </c>
      <c r="N862">
        <v>37.785175322999997</v>
      </c>
    </row>
    <row r="863" spans="1:14" x14ac:dyDescent="0.25">
      <c r="A863">
        <v>485.90054700000002</v>
      </c>
      <c r="B863" s="1">
        <f>DATE(2011,8,29) + TIME(21,36,47)</f>
        <v>40784.900543981479</v>
      </c>
      <c r="C863">
        <v>2400</v>
      </c>
      <c r="D863">
        <v>0</v>
      </c>
      <c r="E863">
        <v>0</v>
      </c>
      <c r="F863">
        <v>2400</v>
      </c>
      <c r="G863">
        <v>1381.8397216999999</v>
      </c>
      <c r="H863">
        <v>1368.3187256000001</v>
      </c>
      <c r="I863">
        <v>1279.4113769999999</v>
      </c>
      <c r="J863">
        <v>1256.7851562000001</v>
      </c>
      <c r="K863">
        <v>80</v>
      </c>
      <c r="L863">
        <v>79.926902771000002</v>
      </c>
      <c r="M863">
        <v>50</v>
      </c>
      <c r="N863">
        <v>37.608169556</v>
      </c>
    </row>
    <row r="864" spans="1:14" x14ac:dyDescent="0.25">
      <c r="A864">
        <v>487.57201900000001</v>
      </c>
      <c r="B864" s="1">
        <f>DATE(2011,8,31) + TIME(13,43,42)</f>
        <v>40786.572013888886</v>
      </c>
      <c r="C864">
        <v>2400</v>
      </c>
      <c r="D864">
        <v>0</v>
      </c>
      <c r="E864">
        <v>0</v>
      </c>
      <c r="F864">
        <v>2400</v>
      </c>
      <c r="G864">
        <v>1381.7740478999999</v>
      </c>
      <c r="H864">
        <v>1368.2596435999999</v>
      </c>
      <c r="I864">
        <v>1279.2464600000001</v>
      </c>
      <c r="J864">
        <v>1256.5050048999999</v>
      </c>
      <c r="K864">
        <v>80</v>
      </c>
      <c r="L864">
        <v>79.927017211999996</v>
      </c>
      <c r="M864">
        <v>50</v>
      </c>
      <c r="N864">
        <v>37.429767609000002</v>
      </c>
    </row>
    <row r="865" spans="1:14" x14ac:dyDescent="0.25">
      <c r="A865">
        <v>488</v>
      </c>
      <c r="B865" s="1">
        <f>DATE(2011,9,1) + TIME(0,0,0)</f>
        <v>40787</v>
      </c>
      <c r="C865">
        <v>2400</v>
      </c>
      <c r="D865">
        <v>0</v>
      </c>
      <c r="E865">
        <v>0</v>
      </c>
      <c r="F865">
        <v>2400</v>
      </c>
      <c r="G865">
        <v>1381.7087402</v>
      </c>
      <c r="H865">
        <v>1368.2008057</v>
      </c>
      <c r="I865">
        <v>1279.088501</v>
      </c>
      <c r="J865">
        <v>1256.2757568</v>
      </c>
      <c r="K865">
        <v>80</v>
      </c>
      <c r="L865">
        <v>79.927032471000004</v>
      </c>
      <c r="M865">
        <v>50</v>
      </c>
      <c r="N865">
        <v>37.340782165999997</v>
      </c>
    </row>
    <row r="866" spans="1:14" x14ac:dyDescent="0.25">
      <c r="A866">
        <v>489.685835</v>
      </c>
      <c r="B866" s="1">
        <f>DATE(2011,9,2) + TIME(16,27,36)</f>
        <v>40788.685833333337</v>
      </c>
      <c r="C866">
        <v>2400</v>
      </c>
      <c r="D866">
        <v>0</v>
      </c>
      <c r="E866">
        <v>0</v>
      </c>
      <c r="F866">
        <v>2400</v>
      </c>
      <c r="G866">
        <v>1381.6914062000001</v>
      </c>
      <c r="H866">
        <v>1368.1851807</v>
      </c>
      <c r="I866">
        <v>1279.0345459</v>
      </c>
      <c r="J866">
        <v>1256.1354980000001</v>
      </c>
      <c r="K866">
        <v>80</v>
      </c>
      <c r="L866">
        <v>79.927154540999993</v>
      </c>
      <c r="M866">
        <v>50</v>
      </c>
      <c r="N866">
        <v>37.189670563</v>
      </c>
    </row>
    <row r="867" spans="1:14" x14ac:dyDescent="0.25">
      <c r="A867">
        <v>491.38660900000002</v>
      </c>
      <c r="B867" s="1">
        <f>DATE(2011,9,4) + TIME(9,16,43)</f>
        <v>40790.386608796296</v>
      </c>
      <c r="C867">
        <v>2400</v>
      </c>
      <c r="D867">
        <v>0</v>
      </c>
      <c r="E867">
        <v>0</v>
      </c>
      <c r="F867">
        <v>2400</v>
      </c>
      <c r="G867">
        <v>1381.6262207</v>
      </c>
      <c r="H867">
        <v>1368.1263428</v>
      </c>
      <c r="I867">
        <v>1278.8723144999999</v>
      </c>
      <c r="J867">
        <v>1255.8604736</v>
      </c>
      <c r="K867">
        <v>80</v>
      </c>
      <c r="L867">
        <v>79.927268982000001</v>
      </c>
      <c r="M867">
        <v>50</v>
      </c>
      <c r="N867">
        <v>37.019397736000002</v>
      </c>
    </row>
    <row r="868" spans="1:14" x14ac:dyDescent="0.25">
      <c r="A868">
        <v>493.09651100000002</v>
      </c>
      <c r="B868" s="1">
        <f>DATE(2011,9,6) + TIME(2,18,58)</f>
        <v>40792.096504629626</v>
      </c>
      <c r="C868">
        <v>2400</v>
      </c>
      <c r="D868">
        <v>0</v>
      </c>
      <c r="E868">
        <v>0</v>
      </c>
      <c r="F868">
        <v>2400</v>
      </c>
      <c r="G868">
        <v>1381.5605469</v>
      </c>
      <c r="H868">
        <v>1368.0670166</v>
      </c>
      <c r="I868">
        <v>1278.7080077999999</v>
      </c>
      <c r="J868">
        <v>1255.5770264</v>
      </c>
      <c r="K868">
        <v>80</v>
      </c>
      <c r="L868">
        <v>79.927383422999995</v>
      </c>
      <c r="M868">
        <v>50</v>
      </c>
      <c r="N868">
        <v>36.842464446999998</v>
      </c>
    </row>
    <row r="869" spans="1:14" x14ac:dyDescent="0.25">
      <c r="A869">
        <v>494.82442200000003</v>
      </c>
      <c r="B869" s="1">
        <f>DATE(2011,9,7) + TIME(19,47,10)</f>
        <v>40793.824421296296</v>
      </c>
      <c r="C869">
        <v>2400</v>
      </c>
      <c r="D869">
        <v>0</v>
      </c>
      <c r="E869">
        <v>0</v>
      </c>
      <c r="F869">
        <v>2400</v>
      </c>
      <c r="G869">
        <v>1381.4949951000001</v>
      </c>
      <c r="H869">
        <v>1368.0076904</v>
      </c>
      <c r="I869">
        <v>1278.5435791</v>
      </c>
      <c r="J869">
        <v>1255.2906493999999</v>
      </c>
      <c r="K869">
        <v>80</v>
      </c>
      <c r="L869">
        <v>79.927497864000003</v>
      </c>
      <c r="M869">
        <v>50</v>
      </c>
      <c r="N869">
        <v>36.663322448999999</v>
      </c>
    </row>
    <row r="870" spans="1:14" x14ac:dyDescent="0.25">
      <c r="A870">
        <v>496.570515</v>
      </c>
      <c r="B870" s="1">
        <f>DATE(2011,9,9) + TIME(13,41,32)</f>
        <v>40795.570509259262</v>
      </c>
      <c r="C870">
        <v>2400</v>
      </c>
      <c r="D870">
        <v>0</v>
      </c>
      <c r="E870">
        <v>0</v>
      </c>
      <c r="F870">
        <v>2400</v>
      </c>
      <c r="G870">
        <v>1381.4291992000001</v>
      </c>
      <c r="H870">
        <v>1367.9481201000001</v>
      </c>
      <c r="I870">
        <v>1278.3791504000001</v>
      </c>
      <c r="J870">
        <v>1255.0023193</v>
      </c>
      <c r="K870">
        <v>80</v>
      </c>
      <c r="L870">
        <v>79.927612304999997</v>
      </c>
      <c r="M870">
        <v>50</v>
      </c>
      <c r="N870">
        <v>36.483467101999999</v>
      </c>
    </row>
    <row r="871" spans="1:14" x14ac:dyDescent="0.25">
      <c r="A871">
        <v>498.32057099999997</v>
      </c>
      <c r="B871" s="1">
        <f>DATE(2011,9,11) + TIME(7,41,37)</f>
        <v>40797.320567129631</v>
      </c>
      <c r="C871">
        <v>2400</v>
      </c>
      <c r="D871">
        <v>0</v>
      </c>
      <c r="E871">
        <v>0</v>
      </c>
      <c r="F871">
        <v>2400</v>
      </c>
      <c r="G871">
        <v>1381.3631591999999</v>
      </c>
      <c r="H871">
        <v>1367.8881836</v>
      </c>
      <c r="I871">
        <v>1278.2152100000001</v>
      </c>
      <c r="J871">
        <v>1254.7130127</v>
      </c>
      <c r="K871">
        <v>80</v>
      </c>
      <c r="L871">
        <v>79.927726746000005</v>
      </c>
      <c r="M871">
        <v>50</v>
      </c>
      <c r="N871">
        <v>36.304195403999998</v>
      </c>
    </row>
    <row r="872" spans="1:14" x14ac:dyDescent="0.25">
      <c r="A872">
        <v>500.08120700000001</v>
      </c>
      <c r="B872" s="1">
        <f>DATE(2011,9,13) + TIME(1,56,56)</f>
        <v>40799.081203703703</v>
      </c>
      <c r="C872">
        <v>2400</v>
      </c>
      <c r="D872">
        <v>0</v>
      </c>
      <c r="E872">
        <v>0</v>
      </c>
      <c r="F872">
        <v>2400</v>
      </c>
      <c r="G872">
        <v>1381.2973632999999</v>
      </c>
      <c r="H872">
        <v>1367.8284911999999</v>
      </c>
      <c r="I872">
        <v>1278.0533447</v>
      </c>
      <c r="J872">
        <v>1254.4251709</v>
      </c>
      <c r="K872">
        <v>80</v>
      </c>
      <c r="L872">
        <v>79.927841186999999</v>
      </c>
      <c r="M872">
        <v>50</v>
      </c>
      <c r="N872">
        <v>36.126522064</v>
      </c>
    </row>
    <row r="873" spans="1:14" x14ac:dyDescent="0.25">
      <c r="A873">
        <v>501.85728599999999</v>
      </c>
      <c r="B873" s="1">
        <f>DATE(2011,9,14) + TIME(20,34,29)</f>
        <v>40800.85728009259</v>
      </c>
      <c r="C873">
        <v>2400</v>
      </c>
      <c r="D873">
        <v>0</v>
      </c>
      <c r="E873">
        <v>0</v>
      </c>
      <c r="F873">
        <v>2400</v>
      </c>
      <c r="G873">
        <v>1381.2315673999999</v>
      </c>
      <c r="H873">
        <v>1367.7686768000001</v>
      </c>
      <c r="I873">
        <v>1277.8934326000001</v>
      </c>
      <c r="J873">
        <v>1254.1387939000001</v>
      </c>
      <c r="K873">
        <v>80</v>
      </c>
      <c r="L873">
        <v>79.927963257000002</v>
      </c>
      <c r="M873">
        <v>50</v>
      </c>
      <c r="N873">
        <v>35.950759888</v>
      </c>
    </row>
    <row r="874" spans="1:14" x14ac:dyDescent="0.25">
      <c r="A874">
        <v>503.64610699999997</v>
      </c>
      <c r="B874" s="1">
        <f>DATE(2011,9,16) + TIME(15,30,23)</f>
        <v>40802.646099537036</v>
      </c>
      <c r="C874">
        <v>2400</v>
      </c>
      <c r="D874">
        <v>0</v>
      </c>
      <c r="E874">
        <v>0</v>
      </c>
      <c r="F874">
        <v>2400</v>
      </c>
      <c r="G874">
        <v>1381.1655272999999</v>
      </c>
      <c r="H874">
        <v>1367.7086182</v>
      </c>
      <c r="I874">
        <v>1277.7353516000001</v>
      </c>
      <c r="J874">
        <v>1253.8537598</v>
      </c>
      <c r="K874">
        <v>80</v>
      </c>
      <c r="L874">
        <v>79.928077697999996</v>
      </c>
      <c r="M874">
        <v>50</v>
      </c>
      <c r="N874">
        <v>35.777336120999998</v>
      </c>
    </row>
    <row r="875" spans="1:14" x14ac:dyDescent="0.25">
      <c r="A875">
        <v>505.436306</v>
      </c>
      <c r="B875" s="1">
        <f>DATE(2011,9,18) + TIME(10,28,16)</f>
        <v>40804.436296296299</v>
      </c>
      <c r="C875">
        <v>2400</v>
      </c>
      <c r="D875">
        <v>0</v>
      </c>
      <c r="E875">
        <v>0</v>
      </c>
      <c r="F875">
        <v>2400</v>
      </c>
      <c r="G875">
        <v>1381.0994873</v>
      </c>
      <c r="H875">
        <v>1367.6484375</v>
      </c>
      <c r="I875">
        <v>1277.5797118999999</v>
      </c>
      <c r="J875">
        <v>1253.5714111</v>
      </c>
      <c r="K875">
        <v>80</v>
      </c>
      <c r="L875">
        <v>79.928199767999999</v>
      </c>
      <c r="M875">
        <v>50</v>
      </c>
      <c r="N875">
        <v>35.607284546000002</v>
      </c>
    </row>
    <row r="876" spans="1:14" x14ac:dyDescent="0.25">
      <c r="A876">
        <v>507.23754200000002</v>
      </c>
      <c r="B876" s="1">
        <f>DATE(2011,9,20) + TIME(5,42,3)</f>
        <v>40806.237534722219</v>
      </c>
      <c r="C876">
        <v>2400</v>
      </c>
      <c r="D876">
        <v>0</v>
      </c>
      <c r="E876">
        <v>0</v>
      </c>
      <c r="F876">
        <v>2400</v>
      </c>
      <c r="G876">
        <v>1381.0336914</v>
      </c>
      <c r="H876">
        <v>1367.5883789</v>
      </c>
      <c r="I876">
        <v>1277.4278564000001</v>
      </c>
      <c r="J876">
        <v>1253.2935791</v>
      </c>
      <c r="K876">
        <v>80</v>
      </c>
      <c r="L876">
        <v>79.928314209000007</v>
      </c>
      <c r="M876">
        <v>50</v>
      </c>
      <c r="N876">
        <v>35.441436768000003</v>
      </c>
    </row>
    <row r="877" spans="1:14" x14ac:dyDescent="0.25">
      <c r="A877">
        <v>509.06203799999997</v>
      </c>
      <c r="B877" s="1">
        <f>DATE(2011,9,22) + TIME(1,29,20)</f>
        <v>40808.062037037038</v>
      </c>
      <c r="C877">
        <v>2400</v>
      </c>
      <c r="D877">
        <v>0</v>
      </c>
      <c r="E877">
        <v>0</v>
      </c>
      <c r="F877">
        <v>2400</v>
      </c>
      <c r="G877">
        <v>1380.9677733999999</v>
      </c>
      <c r="H877">
        <v>1367.5281981999999</v>
      </c>
      <c r="I877">
        <v>1277.2791748</v>
      </c>
      <c r="J877">
        <v>1253.0197754000001</v>
      </c>
      <c r="K877">
        <v>80</v>
      </c>
      <c r="L877">
        <v>79.928436278999996</v>
      </c>
      <c r="M877">
        <v>50</v>
      </c>
      <c r="N877">
        <v>35.279911040999998</v>
      </c>
    </row>
    <row r="878" spans="1:14" x14ac:dyDescent="0.25">
      <c r="A878">
        <v>510.89560399999999</v>
      </c>
      <c r="B878" s="1">
        <f>DATE(2011,9,23) + TIME(21,29,40)</f>
        <v>40809.895601851851</v>
      </c>
      <c r="C878">
        <v>2400</v>
      </c>
      <c r="D878">
        <v>0</v>
      </c>
      <c r="E878">
        <v>0</v>
      </c>
      <c r="F878">
        <v>2400</v>
      </c>
      <c r="G878">
        <v>1380.9013672000001</v>
      </c>
      <c r="H878">
        <v>1367.4674072</v>
      </c>
      <c r="I878">
        <v>1277.1334228999999</v>
      </c>
      <c r="J878">
        <v>1252.7496338000001</v>
      </c>
      <c r="K878">
        <v>80</v>
      </c>
      <c r="L878">
        <v>79.928550720000004</v>
      </c>
      <c r="M878">
        <v>50</v>
      </c>
      <c r="N878">
        <v>35.12335968</v>
      </c>
    </row>
    <row r="879" spans="1:14" x14ac:dyDescent="0.25">
      <c r="A879">
        <v>512.73915199999999</v>
      </c>
      <c r="B879" s="1">
        <f>DATE(2011,9,25) + TIME(17,44,22)</f>
        <v>40811.73914351852</v>
      </c>
      <c r="C879">
        <v>2400</v>
      </c>
      <c r="D879">
        <v>0</v>
      </c>
      <c r="E879">
        <v>0</v>
      </c>
      <c r="F879">
        <v>2400</v>
      </c>
      <c r="G879">
        <v>1380.8348389</v>
      </c>
      <c r="H879">
        <v>1367.4066161999999</v>
      </c>
      <c r="I879">
        <v>1276.9919434000001</v>
      </c>
      <c r="J879">
        <v>1252.4853516000001</v>
      </c>
      <c r="K879">
        <v>80</v>
      </c>
      <c r="L879">
        <v>79.928672790999997</v>
      </c>
      <c r="M879">
        <v>50</v>
      </c>
      <c r="N879">
        <v>34.972988129000001</v>
      </c>
    </row>
    <row r="880" spans="1:14" x14ac:dyDescent="0.25">
      <c r="A880">
        <v>514.59813099999997</v>
      </c>
      <c r="B880" s="1">
        <f>DATE(2011,9,27) + TIME(14,21,18)</f>
        <v>40813.598124999997</v>
      </c>
      <c r="C880">
        <v>2400</v>
      </c>
      <c r="D880">
        <v>0</v>
      </c>
      <c r="E880">
        <v>0</v>
      </c>
      <c r="F880">
        <v>2400</v>
      </c>
      <c r="G880">
        <v>1380.7683105000001</v>
      </c>
      <c r="H880">
        <v>1367.3455810999999</v>
      </c>
      <c r="I880">
        <v>1276.8549805</v>
      </c>
      <c r="J880">
        <v>1252.2279053</v>
      </c>
      <c r="K880">
        <v>80</v>
      </c>
      <c r="L880">
        <v>79.928794861</v>
      </c>
      <c r="M880">
        <v>50</v>
      </c>
      <c r="N880">
        <v>34.829612732000001</v>
      </c>
    </row>
    <row r="881" spans="1:14" x14ac:dyDescent="0.25">
      <c r="A881">
        <v>516.48087999999996</v>
      </c>
      <c r="B881" s="1">
        <f>DATE(2011,9,29) + TIME(11,32,28)</f>
        <v>40815.480879629627</v>
      </c>
      <c r="C881">
        <v>2400</v>
      </c>
      <c r="D881">
        <v>0</v>
      </c>
      <c r="E881">
        <v>0</v>
      </c>
      <c r="F881">
        <v>2400</v>
      </c>
      <c r="G881">
        <v>1380.7015381000001</v>
      </c>
      <c r="H881">
        <v>1367.2843018000001</v>
      </c>
      <c r="I881">
        <v>1276.7225341999999</v>
      </c>
      <c r="J881">
        <v>1251.9772949000001</v>
      </c>
      <c r="K881">
        <v>80</v>
      </c>
      <c r="L881">
        <v>79.928916931000003</v>
      </c>
      <c r="M881">
        <v>50</v>
      </c>
      <c r="N881">
        <v>34.693828582999998</v>
      </c>
    </row>
    <row r="882" spans="1:14" x14ac:dyDescent="0.25">
      <c r="A882">
        <v>518</v>
      </c>
      <c r="B882" s="1">
        <f>DATE(2011,10,1) + TIME(0,0,0)</f>
        <v>40817</v>
      </c>
      <c r="C882">
        <v>2400</v>
      </c>
      <c r="D882">
        <v>0</v>
      </c>
      <c r="E882">
        <v>0</v>
      </c>
      <c r="F882">
        <v>2400</v>
      </c>
      <c r="G882">
        <v>1380.6341553</v>
      </c>
      <c r="H882">
        <v>1367.2222899999999</v>
      </c>
      <c r="I882">
        <v>1276.5964355000001</v>
      </c>
      <c r="J882">
        <v>1251.7413329999999</v>
      </c>
      <c r="K882">
        <v>80</v>
      </c>
      <c r="L882">
        <v>79.929008483999993</v>
      </c>
      <c r="M882">
        <v>50</v>
      </c>
      <c r="N882">
        <v>34.575801849000001</v>
      </c>
    </row>
    <row r="883" spans="1:14" x14ac:dyDescent="0.25">
      <c r="A883">
        <v>519.91342699999996</v>
      </c>
      <c r="B883" s="1">
        <f>DATE(2011,10,2) + TIME(21,55,20)</f>
        <v>40818.913425925923</v>
      </c>
      <c r="C883">
        <v>2400</v>
      </c>
      <c r="D883">
        <v>0</v>
      </c>
      <c r="E883">
        <v>0</v>
      </c>
      <c r="F883">
        <v>2400</v>
      </c>
      <c r="G883">
        <v>1380.5800781</v>
      </c>
      <c r="H883">
        <v>1367.1724853999999</v>
      </c>
      <c r="I883">
        <v>1276.4943848</v>
      </c>
      <c r="J883">
        <v>1251.5396728999999</v>
      </c>
      <c r="K883">
        <v>80</v>
      </c>
      <c r="L883">
        <v>79.929138183999996</v>
      </c>
      <c r="M883">
        <v>50</v>
      </c>
      <c r="N883">
        <v>34.467319488999998</v>
      </c>
    </row>
    <row r="884" spans="1:14" x14ac:dyDescent="0.25">
      <c r="A884">
        <v>521.85517400000003</v>
      </c>
      <c r="B884" s="1">
        <f>DATE(2011,10,4) + TIME(20,31,27)</f>
        <v>40820.855173611111</v>
      </c>
      <c r="C884">
        <v>2400</v>
      </c>
      <c r="D884">
        <v>0</v>
      </c>
      <c r="E884">
        <v>0</v>
      </c>
      <c r="F884">
        <v>2400</v>
      </c>
      <c r="G884">
        <v>1380.512207</v>
      </c>
      <c r="H884">
        <v>1367.1101074000001</v>
      </c>
      <c r="I884">
        <v>1276.3779297000001</v>
      </c>
      <c r="J884">
        <v>1251.3167725000001</v>
      </c>
      <c r="K884">
        <v>80</v>
      </c>
      <c r="L884">
        <v>79.929260253999999</v>
      </c>
      <c r="M884">
        <v>50</v>
      </c>
      <c r="N884">
        <v>34.361602783000002</v>
      </c>
    </row>
    <row r="885" spans="1:14" x14ac:dyDescent="0.25">
      <c r="A885">
        <v>522.82894299999998</v>
      </c>
      <c r="B885" s="1">
        <f>DATE(2011,10,5) + TIME(19,53,40)</f>
        <v>40821.828935185185</v>
      </c>
      <c r="C885">
        <v>2400</v>
      </c>
      <c r="D885">
        <v>0</v>
      </c>
      <c r="E885">
        <v>0</v>
      </c>
      <c r="F885">
        <v>2400</v>
      </c>
      <c r="G885">
        <v>1380.4436035000001</v>
      </c>
      <c r="H885">
        <v>1367.0467529</v>
      </c>
      <c r="I885">
        <v>1276.2724608999999</v>
      </c>
      <c r="J885">
        <v>1251.1234131000001</v>
      </c>
      <c r="K885">
        <v>80</v>
      </c>
      <c r="L885">
        <v>79.929313660000005</v>
      </c>
      <c r="M885">
        <v>50</v>
      </c>
      <c r="N885">
        <v>34.287879943999997</v>
      </c>
    </row>
    <row r="886" spans="1:14" x14ac:dyDescent="0.25">
      <c r="A886">
        <v>523.80271300000004</v>
      </c>
      <c r="B886" s="1">
        <f>DATE(2011,10,6) + TIME(19,15,54)</f>
        <v>40822.802708333336</v>
      </c>
      <c r="C886">
        <v>2400</v>
      </c>
      <c r="D886">
        <v>0</v>
      </c>
      <c r="E886">
        <v>0</v>
      </c>
      <c r="F886">
        <v>2400</v>
      </c>
      <c r="G886">
        <v>1380.4088135</v>
      </c>
      <c r="H886">
        <v>1367.0145264</v>
      </c>
      <c r="I886">
        <v>1276.2141113</v>
      </c>
      <c r="J886">
        <v>1251.0050048999999</v>
      </c>
      <c r="K886">
        <v>80</v>
      </c>
      <c r="L886">
        <v>79.929374695000007</v>
      </c>
      <c r="M886">
        <v>50</v>
      </c>
      <c r="N886">
        <v>34.232418060000001</v>
      </c>
    </row>
    <row r="887" spans="1:14" x14ac:dyDescent="0.25">
      <c r="A887">
        <v>524.77648199999999</v>
      </c>
      <c r="B887" s="1">
        <f>DATE(2011,10,7) + TIME(18,38,8)</f>
        <v>40823.77648148148</v>
      </c>
      <c r="C887">
        <v>2400</v>
      </c>
      <c r="D887">
        <v>0</v>
      </c>
      <c r="E887">
        <v>0</v>
      </c>
      <c r="F887">
        <v>2400</v>
      </c>
      <c r="G887">
        <v>1380.3745117000001</v>
      </c>
      <c r="H887">
        <v>1366.9829102000001</v>
      </c>
      <c r="I887">
        <v>1276.1607666</v>
      </c>
      <c r="J887">
        <v>1250.8986815999999</v>
      </c>
      <c r="K887">
        <v>80</v>
      </c>
      <c r="L887">
        <v>79.929435729999994</v>
      </c>
      <c r="M887">
        <v>50</v>
      </c>
      <c r="N887">
        <v>34.187477112000003</v>
      </c>
    </row>
    <row r="888" spans="1:14" x14ac:dyDescent="0.25">
      <c r="A888">
        <v>526.72402199999999</v>
      </c>
      <c r="B888" s="1">
        <f>DATE(2011,10,9) + TIME(17,22,35)</f>
        <v>40825.724016203705</v>
      </c>
      <c r="C888">
        <v>2400</v>
      </c>
      <c r="D888">
        <v>0</v>
      </c>
      <c r="E888">
        <v>0</v>
      </c>
      <c r="F888">
        <v>2400</v>
      </c>
      <c r="G888">
        <v>1380.3406981999999</v>
      </c>
      <c r="H888">
        <v>1366.9515381000001</v>
      </c>
      <c r="I888">
        <v>1276.1055908000001</v>
      </c>
      <c r="J888">
        <v>1250.7856445</v>
      </c>
      <c r="K888">
        <v>80</v>
      </c>
      <c r="L888">
        <v>79.929565429999997</v>
      </c>
      <c r="M888">
        <v>50</v>
      </c>
      <c r="N888">
        <v>34.137783051</v>
      </c>
    </row>
    <row r="889" spans="1:14" x14ac:dyDescent="0.25">
      <c r="A889">
        <v>528.67296099999999</v>
      </c>
      <c r="B889" s="1">
        <f>DATE(2011,10,11) + TIME(16,9,3)</f>
        <v>40827.672951388886</v>
      </c>
      <c r="C889">
        <v>2400</v>
      </c>
      <c r="D889">
        <v>0</v>
      </c>
      <c r="E889">
        <v>0</v>
      </c>
      <c r="F889">
        <v>2400</v>
      </c>
      <c r="G889">
        <v>1380.2728271000001</v>
      </c>
      <c r="H889">
        <v>1366.8889160000001</v>
      </c>
      <c r="I889">
        <v>1276.0166016000001</v>
      </c>
      <c r="J889">
        <v>1250.6149902</v>
      </c>
      <c r="K889">
        <v>80</v>
      </c>
      <c r="L889">
        <v>79.929695128999995</v>
      </c>
      <c r="M889">
        <v>50</v>
      </c>
      <c r="N889">
        <v>34.083946228000002</v>
      </c>
    </row>
    <row r="890" spans="1:14" x14ac:dyDescent="0.25">
      <c r="A890">
        <v>530.64264700000001</v>
      </c>
      <c r="B890" s="1">
        <f>DATE(2011,10,13) + TIME(15,25,24)</f>
        <v>40829.642638888887</v>
      </c>
      <c r="C890">
        <v>2400</v>
      </c>
      <c r="D890">
        <v>0</v>
      </c>
      <c r="E890">
        <v>0</v>
      </c>
      <c r="F890">
        <v>2400</v>
      </c>
      <c r="G890">
        <v>1380.2050781</v>
      </c>
      <c r="H890">
        <v>1366.8261719</v>
      </c>
      <c r="I890">
        <v>1275.9312743999999</v>
      </c>
      <c r="J890">
        <v>1250.4495850000001</v>
      </c>
      <c r="K890">
        <v>80</v>
      </c>
      <c r="L890">
        <v>79.929817200000002</v>
      </c>
      <c r="M890">
        <v>50</v>
      </c>
      <c r="N890">
        <v>34.039646148999999</v>
      </c>
    </row>
    <row r="891" spans="1:14" x14ac:dyDescent="0.25">
      <c r="A891">
        <v>532.64183200000002</v>
      </c>
      <c r="B891" s="1">
        <f>DATE(2011,10,15) + TIME(15,24,14)</f>
        <v>40831.641828703701</v>
      </c>
      <c r="C891">
        <v>2400</v>
      </c>
      <c r="D891">
        <v>0</v>
      </c>
      <c r="E891">
        <v>0</v>
      </c>
      <c r="F891">
        <v>2400</v>
      </c>
      <c r="G891">
        <v>1380.1369629000001</v>
      </c>
      <c r="H891">
        <v>1366.7630615</v>
      </c>
      <c r="I891">
        <v>1275.8515625</v>
      </c>
      <c r="J891">
        <v>1250.2950439000001</v>
      </c>
      <c r="K891">
        <v>80</v>
      </c>
      <c r="L891">
        <v>79.929946899000001</v>
      </c>
      <c r="M891">
        <v>50</v>
      </c>
      <c r="N891">
        <v>34.009372710999997</v>
      </c>
    </row>
    <row r="892" spans="1:14" x14ac:dyDescent="0.25">
      <c r="A892">
        <v>534.67585299999996</v>
      </c>
      <c r="B892" s="1">
        <f>DATE(2011,10,17) + TIME(16,13,13)</f>
        <v>40833.675844907404</v>
      </c>
      <c r="C892">
        <v>2400</v>
      </c>
      <c r="D892">
        <v>0</v>
      </c>
      <c r="E892">
        <v>0</v>
      </c>
      <c r="F892">
        <v>2400</v>
      </c>
      <c r="G892">
        <v>1380.0682373</v>
      </c>
      <c r="H892">
        <v>1366.6993408000001</v>
      </c>
      <c r="I892">
        <v>1275.7781981999999</v>
      </c>
      <c r="J892">
        <v>1250.1531981999999</v>
      </c>
      <c r="K892">
        <v>80</v>
      </c>
      <c r="L892">
        <v>79.930076599000003</v>
      </c>
      <c r="M892">
        <v>50</v>
      </c>
      <c r="N892">
        <v>33.995109558000003</v>
      </c>
    </row>
    <row r="893" spans="1:14" x14ac:dyDescent="0.25">
      <c r="A893">
        <v>536.73675900000001</v>
      </c>
      <c r="B893" s="1">
        <f>DATE(2011,10,19) + TIME(17,40,55)</f>
        <v>40835.736747685187</v>
      </c>
      <c r="C893">
        <v>2400</v>
      </c>
      <c r="D893">
        <v>0</v>
      </c>
      <c r="E893">
        <v>0</v>
      </c>
      <c r="F893">
        <v>2400</v>
      </c>
      <c r="G893">
        <v>1379.9987793</v>
      </c>
      <c r="H893">
        <v>1366.6347656</v>
      </c>
      <c r="I893">
        <v>1275.7114257999999</v>
      </c>
      <c r="J893">
        <v>1250.0250243999999</v>
      </c>
      <c r="K893">
        <v>80</v>
      </c>
      <c r="L893">
        <v>79.930198669000006</v>
      </c>
      <c r="M893">
        <v>50</v>
      </c>
      <c r="N893">
        <v>33.998130797999998</v>
      </c>
    </row>
    <row r="894" spans="1:14" x14ac:dyDescent="0.25">
      <c r="A894">
        <v>538.81622100000004</v>
      </c>
      <c r="B894" s="1">
        <f>DATE(2011,10,21) + TIME(19,35,21)</f>
        <v>40837.81621527778</v>
      </c>
      <c r="C894">
        <v>2400</v>
      </c>
      <c r="D894">
        <v>0</v>
      </c>
      <c r="E894">
        <v>0</v>
      </c>
      <c r="F894">
        <v>2400</v>
      </c>
      <c r="G894">
        <v>1379.9288329999999</v>
      </c>
      <c r="H894">
        <v>1366.5698242000001</v>
      </c>
      <c r="I894">
        <v>1275.6517334</v>
      </c>
      <c r="J894">
        <v>1249.9119873</v>
      </c>
      <c r="K894">
        <v>80</v>
      </c>
      <c r="L894">
        <v>79.930328368999994</v>
      </c>
      <c r="M894">
        <v>50</v>
      </c>
      <c r="N894">
        <v>34.019268036</v>
      </c>
    </row>
    <row r="895" spans="1:14" x14ac:dyDescent="0.25">
      <c r="A895">
        <v>540.91995599999996</v>
      </c>
      <c r="B895" s="1">
        <f>DATE(2011,10,23) + TIME(22,4,44)</f>
        <v>40839.919953703706</v>
      </c>
      <c r="C895">
        <v>2400</v>
      </c>
      <c r="D895">
        <v>0</v>
      </c>
      <c r="E895">
        <v>0</v>
      </c>
      <c r="F895">
        <v>2400</v>
      </c>
      <c r="G895">
        <v>1379.8587646000001</v>
      </c>
      <c r="H895">
        <v>1366.5046387</v>
      </c>
      <c r="I895">
        <v>1275.5993652</v>
      </c>
      <c r="J895">
        <v>1249.8145752</v>
      </c>
      <c r="K895">
        <v>80</v>
      </c>
      <c r="L895">
        <v>79.930465698000006</v>
      </c>
      <c r="M895">
        <v>50</v>
      </c>
      <c r="N895">
        <v>34.058933258000003</v>
      </c>
    </row>
    <row r="896" spans="1:14" x14ac:dyDescent="0.25">
      <c r="A896">
        <v>543.03830100000005</v>
      </c>
      <c r="B896" s="1">
        <f>DATE(2011,10,26) + TIME(0,55,9)</f>
        <v>40842.038298611114</v>
      </c>
      <c r="C896">
        <v>2400</v>
      </c>
      <c r="D896">
        <v>0</v>
      </c>
      <c r="E896">
        <v>0</v>
      </c>
      <c r="F896">
        <v>2400</v>
      </c>
      <c r="G896">
        <v>1379.7884521000001</v>
      </c>
      <c r="H896">
        <v>1366.4392089999999</v>
      </c>
      <c r="I896">
        <v>1275.5541992000001</v>
      </c>
      <c r="J896">
        <v>1249.7329102000001</v>
      </c>
      <c r="K896">
        <v>80</v>
      </c>
      <c r="L896">
        <v>79.930595397999994</v>
      </c>
      <c r="M896">
        <v>50</v>
      </c>
      <c r="N896">
        <v>34.117256165000001</v>
      </c>
    </row>
    <row r="897" spans="1:14" x14ac:dyDescent="0.25">
      <c r="A897">
        <v>545.17416200000002</v>
      </c>
      <c r="B897" s="1">
        <f>DATE(2011,10,28) + TIME(4,10,47)</f>
        <v>40844.174155092594</v>
      </c>
      <c r="C897">
        <v>2400</v>
      </c>
      <c r="D897">
        <v>0</v>
      </c>
      <c r="E897">
        <v>0</v>
      </c>
      <c r="F897">
        <v>2400</v>
      </c>
      <c r="G897">
        <v>1379.7182617000001</v>
      </c>
      <c r="H897">
        <v>1366.3737793</v>
      </c>
      <c r="I897">
        <v>1275.5162353999999</v>
      </c>
      <c r="J897">
        <v>1249.6672363</v>
      </c>
      <c r="K897">
        <v>80</v>
      </c>
      <c r="L897">
        <v>79.930725097999996</v>
      </c>
      <c r="M897">
        <v>50</v>
      </c>
      <c r="N897">
        <v>34.193969727000002</v>
      </c>
    </row>
    <row r="898" spans="1:14" x14ac:dyDescent="0.25">
      <c r="A898">
        <v>547.33280600000001</v>
      </c>
      <c r="B898" s="1">
        <f>DATE(2011,10,30) + TIME(7,59,14)</f>
        <v>40846.332800925928</v>
      </c>
      <c r="C898">
        <v>2400</v>
      </c>
      <c r="D898">
        <v>0</v>
      </c>
      <c r="E898">
        <v>0</v>
      </c>
      <c r="F898">
        <v>2400</v>
      </c>
      <c r="G898">
        <v>1379.6481934000001</v>
      </c>
      <c r="H898">
        <v>1366.3084716999999</v>
      </c>
      <c r="I898">
        <v>1275.4853516000001</v>
      </c>
      <c r="J898">
        <v>1249.6171875</v>
      </c>
      <c r="K898">
        <v>80</v>
      </c>
      <c r="L898">
        <v>79.930854796999995</v>
      </c>
      <c r="M898">
        <v>50</v>
      </c>
      <c r="N898">
        <v>34.288688659999998</v>
      </c>
    </row>
    <row r="899" spans="1:14" x14ac:dyDescent="0.25">
      <c r="A899">
        <v>549</v>
      </c>
      <c r="B899" s="1">
        <f>DATE(2011,11,1) + TIME(0,0,0)</f>
        <v>40848</v>
      </c>
      <c r="C899">
        <v>2400</v>
      </c>
      <c r="D899">
        <v>0</v>
      </c>
      <c r="E899">
        <v>0</v>
      </c>
      <c r="F899">
        <v>2400</v>
      </c>
      <c r="G899">
        <v>1379.5780029</v>
      </c>
      <c r="H899">
        <v>1366.2430420000001</v>
      </c>
      <c r="I899">
        <v>1275.4650879000001</v>
      </c>
      <c r="J899">
        <v>1249.5841064000001</v>
      </c>
      <c r="K899">
        <v>80</v>
      </c>
      <c r="L899">
        <v>79.930953978999995</v>
      </c>
      <c r="M899">
        <v>50</v>
      </c>
      <c r="N899">
        <v>34.392112732000001</v>
      </c>
    </row>
    <row r="900" spans="1:14" x14ac:dyDescent="0.25">
      <c r="A900">
        <v>549.000001</v>
      </c>
      <c r="B900" s="1">
        <f>DATE(2011,11,1) + TIME(0,0,0)</f>
        <v>40848</v>
      </c>
      <c r="C900">
        <v>0</v>
      </c>
      <c r="D900">
        <v>2400</v>
      </c>
      <c r="E900">
        <v>2400</v>
      </c>
      <c r="F900">
        <v>0</v>
      </c>
      <c r="G900">
        <v>1365.3713379000001</v>
      </c>
      <c r="H900">
        <v>1353.390625</v>
      </c>
      <c r="I900">
        <v>1302.1245117000001</v>
      </c>
      <c r="J900">
        <v>1276.3592529</v>
      </c>
      <c r="K900">
        <v>80</v>
      </c>
      <c r="L900">
        <v>79.930831909000005</v>
      </c>
      <c r="M900">
        <v>50</v>
      </c>
      <c r="N900">
        <v>34.392238616999997</v>
      </c>
    </row>
    <row r="901" spans="1:14" x14ac:dyDescent="0.25">
      <c r="A901">
        <v>549.00000399999999</v>
      </c>
      <c r="B901" s="1">
        <f>DATE(2011,11,1) + TIME(0,0,0)</f>
        <v>40848</v>
      </c>
      <c r="C901">
        <v>0</v>
      </c>
      <c r="D901">
        <v>2400</v>
      </c>
      <c r="E901">
        <v>2400</v>
      </c>
      <c r="F901">
        <v>0</v>
      </c>
      <c r="G901">
        <v>1363.1691894999999</v>
      </c>
      <c r="H901">
        <v>1351.1875</v>
      </c>
      <c r="I901">
        <v>1304.5444336</v>
      </c>
      <c r="J901">
        <v>1278.8116454999999</v>
      </c>
      <c r="K901">
        <v>80</v>
      </c>
      <c r="L901">
        <v>79.930519103999998</v>
      </c>
      <c r="M901">
        <v>50</v>
      </c>
      <c r="N901">
        <v>34.392578125</v>
      </c>
    </row>
    <row r="902" spans="1:14" x14ac:dyDescent="0.25">
      <c r="A902">
        <v>549.00001299999997</v>
      </c>
      <c r="B902" s="1">
        <f>DATE(2011,11,1) + TIME(0,0,1)</f>
        <v>40848.000011574077</v>
      </c>
      <c r="C902">
        <v>0</v>
      </c>
      <c r="D902">
        <v>2400</v>
      </c>
      <c r="E902">
        <v>2400</v>
      </c>
      <c r="F902">
        <v>0</v>
      </c>
      <c r="G902">
        <v>1358.7231445</v>
      </c>
      <c r="H902">
        <v>1346.7406006000001</v>
      </c>
      <c r="I902">
        <v>1310.3195800999999</v>
      </c>
      <c r="J902">
        <v>1284.652832</v>
      </c>
      <c r="K902">
        <v>80</v>
      </c>
      <c r="L902">
        <v>79.929885863999999</v>
      </c>
      <c r="M902">
        <v>50</v>
      </c>
      <c r="N902">
        <v>34.393428802000003</v>
      </c>
    </row>
    <row r="903" spans="1:14" x14ac:dyDescent="0.25">
      <c r="A903">
        <v>549.00004000000001</v>
      </c>
      <c r="B903" s="1">
        <f>DATE(2011,11,1) + TIME(0,0,3)</f>
        <v>40848.000034722223</v>
      </c>
      <c r="C903">
        <v>0</v>
      </c>
      <c r="D903">
        <v>2400</v>
      </c>
      <c r="E903">
        <v>2400</v>
      </c>
      <c r="F903">
        <v>0</v>
      </c>
      <c r="G903">
        <v>1352.2252197</v>
      </c>
      <c r="H903">
        <v>1340.2459716999999</v>
      </c>
      <c r="I903">
        <v>1320.8972168</v>
      </c>
      <c r="J903">
        <v>1295.2988281</v>
      </c>
      <c r="K903">
        <v>80</v>
      </c>
      <c r="L903">
        <v>79.928955078000001</v>
      </c>
      <c r="M903">
        <v>50</v>
      </c>
      <c r="N903">
        <v>34.395164489999999</v>
      </c>
    </row>
    <row r="904" spans="1:14" x14ac:dyDescent="0.25">
      <c r="A904">
        <v>549.00012100000004</v>
      </c>
      <c r="B904" s="1">
        <f>DATE(2011,11,1) + TIME(0,0,10)</f>
        <v>40848.000115740739</v>
      </c>
      <c r="C904">
        <v>0</v>
      </c>
      <c r="D904">
        <v>2400</v>
      </c>
      <c r="E904">
        <v>2400</v>
      </c>
      <c r="F904">
        <v>0</v>
      </c>
      <c r="G904">
        <v>1344.9908447</v>
      </c>
      <c r="H904">
        <v>1333.0200195</v>
      </c>
      <c r="I904">
        <v>1334.9111327999999</v>
      </c>
      <c r="J904">
        <v>1309.3509521000001</v>
      </c>
      <c r="K904">
        <v>80</v>
      </c>
      <c r="L904">
        <v>79.927902222</v>
      </c>
      <c r="M904">
        <v>50</v>
      </c>
      <c r="N904">
        <v>34.398292542</v>
      </c>
    </row>
    <row r="905" spans="1:14" x14ac:dyDescent="0.25">
      <c r="A905">
        <v>549.00036399999999</v>
      </c>
      <c r="B905" s="1">
        <f>DATE(2011,11,1) + TIME(0,0,31)</f>
        <v>40848.000358796293</v>
      </c>
      <c r="C905">
        <v>0</v>
      </c>
      <c r="D905">
        <v>2400</v>
      </c>
      <c r="E905">
        <v>2400</v>
      </c>
      <c r="F905">
        <v>0</v>
      </c>
      <c r="G905">
        <v>1337.7117920000001</v>
      </c>
      <c r="H905">
        <v>1325.7524414</v>
      </c>
      <c r="I905">
        <v>1349.9071045000001</v>
      </c>
      <c r="J905">
        <v>1324.380249</v>
      </c>
      <c r="K905">
        <v>80</v>
      </c>
      <c r="L905">
        <v>79.926795959000003</v>
      </c>
      <c r="M905">
        <v>50</v>
      </c>
      <c r="N905">
        <v>34.404518127000003</v>
      </c>
    </row>
    <row r="906" spans="1:14" x14ac:dyDescent="0.25">
      <c r="A906">
        <v>549.00109299999997</v>
      </c>
      <c r="B906" s="1">
        <f>DATE(2011,11,1) + TIME(0,1,34)</f>
        <v>40848.001087962963</v>
      </c>
      <c r="C906">
        <v>0</v>
      </c>
      <c r="D906">
        <v>2400</v>
      </c>
      <c r="E906">
        <v>2400</v>
      </c>
      <c r="F906">
        <v>0</v>
      </c>
      <c r="G906">
        <v>1330.3604736</v>
      </c>
      <c r="H906">
        <v>1318.3880615</v>
      </c>
      <c r="I906">
        <v>1365.1875</v>
      </c>
      <c r="J906">
        <v>1339.692749</v>
      </c>
      <c r="K906">
        <v>80</v>
      </c>
      <c r="L906">
        <v>79.925521850999999</v>
      </c>
      <c r="M906">
        <v>50</v>
      </c>
      <c r="N906">
        <v>34.419689177999999</v>
      </c>
    </row>
    <row r="907" spans="1:14" x14ac:dyDescent="0.25">
      <c r="A907">
        <v>549.00328000000002</v>
      </c>
      <c r="B907" s="1">
        <f>DATE(2011,11,1) + TIME(0,4,43)</f>
        <v>40848.003275462965</v>
      </c>
      <c r="C907">
        <v>0</v>
      </c>
      <c r="D907">
        <v>2400</v>
      </c>
      <c r="E907">
        <v>2400</v>
      </c>
      <c r="F907">
        <v>0</v>
      </c>
      <c r="G907">
        <v>1322.5633545000001</v>
      </c>
      <c r="H907">
        <v>1310.4949951000001</v>
      </c>
      <c r="I907">
        <v>1380.7381591999999</v>
      </c>
      <c r="J907">
        <v>1355.229126</v>
      </c>
      <c r="K907">
        <v>80</v>
      </c>
      <c r="L907">
        <v>79.923706054999997</v>
      </c>
      <c r="M907">
        <v>50</v>
      </c>
      <c r="N907">
        <v>34.461616515999999</v>
      </c>
    </row>
    <row r="908" spans="1:14" x14ac:dyDescent="0.25">
      <c r="A908">
        <v>549.00984100000005</v>
      </c>
      <c r="B908" s="1">
        <f>DATE(2011,11,1) + TIME(0,14,10)</f>
        <v>40848.009837962964</v>
      </c>
      <c r="C908">
        <v>0</v>
      </c>
      <c r="D908">
        <v>2400</v>
      </c>
      <c r="E908">
        <v>2400</v>
      </c>
      <c r="F908">
        <v>0</v>
      </c>
      <c r="G908">
        <v>1314.2589111</v>
      </c>
      <c r="H908">
        <v>1302.0650635</v>
      </c>
      <c r="I908">
        <v>1395.2977295000001</v>
      </c>
      <c r="J908">
        <v>1369.729126</v>
      </c>
      <c r="K908">
        <v>80</v>
      </c>
      <c r="L908">
        <v>79.920387267999999</v>
      </c>
      <c r="M908">
        <v>50</v>
      </c>
      <c r="N908">
        <v>34.583271027000002</v>
      </c>
    </row>
    <row r="909" spans="1:14" x14ac:dyDescent="0.25">
      <c r="A909">
        <v>549.02952400000004</v>
      </c>
      <c r="B909" s="1">
        <f>DATE(2011,11,1) + TIME(0,42,30)</f>
        <v>40848.029513888891</v>
      </c>
      <c r="C909">
        <v>0</v>
      </c>
      <c r="D909">
        <v>2400</v>
      </c>
      <c r="E909">
        <v>2400</v>
      </c>
      <c r="F909">
        <v>0</v>
      </c>
      <c r="G909">
        <v>1307.0477295000001</v>
      </c>
      <c r="H909">
        <v>1294.7884521000001</v>
      </c>
      <c r="I909">
        <v>1405.6824951000001</v>
      </c>
      <c r="J909">
        <v>1380.1568603999999</v>
      </c>
      <c r="K909">
        <v>80</v>
      </c>
      <c r="L909">
        <v>79.913047790999997</v>
      </c>
      <c r="M909">
        <v>50</v>
      </c>
      <c r="N909">
        <v>34.938026428000001</v>
      </c>
    </row>
    <row r="910" spans="1:14" x14ac:dyDescent="0.25">
      <c r="A910">
        <v>549.07226500000002</v>
      </c>
      <c r="B910" s="1">
        <f>DATE(2011,11,1) + TIME(1,44,3)</f>
        <v>40848.072256944448</v>
      </c>
      <c r="C910">
        <v>0</v>
      </c>
      <c r="D910">
        <v>2400</v>
      </c>
      <c r="E910">
        <v>2400</v>
      </c>
      <c r="F910">
        <v>0</v>
      </c>
      <c r="G910">
        <v>1303.4418945</v>
      </c>
      <c r="H910">
        <v>1291.1630858999999</v>
      </c>
      <c r="I910">
        <v>1409.4415283000001</v>
      </c>
      <c r="J910">
        <v>1384.2023925999999</v>
      </c>
      <c r="K910">
        <v>80</v>
      </c>
      <c r="L910">
        <v>79.899246215999995</v>
      </c>
      <c r="M910">
        <v>50</v>
      </c>
      <c r="N910">
        <v>35.671340942</v>
      </c>
    </row>
    <row r="911" spans="1:14" x14ac:dyDescent="0.25">
      <c r="A911">
        <v>549.11687600000005</v>
      </c>
      <c r="B911" s="1">
        <f>DATE(2011,11,1) + TIME(2,48,18)</f>
        <v>40848.116875</v>
      </c>
      <c r="C911">
        <v>0</v>
      </c>
      <c r="D911">
        <v>2400</v>
      </c>
      <c r="E911">
        <v>2400</v>
      </c>
      <c r="F911">
        <v>0</v>
      </c>
      <c r="G911">
        <v>1302.4294434000001</v>
      </c>
      <c r="H911">
        <v>1290.1461182</v>
      </c>
      <c r="I911">
        <v>1409.8441161999999</v>
      </c>
      <c r="J911">
        <v>1384.9146728999999</v>
      </c>
      <c r="K911">
        <v>80</v>
      </c>
      <c r="L911">
        <v>79.885437011999997</v>
      </c>
      <c r="M911">
        <v>50</v>
      </c>
      <c r="N911">
        <v>36.399246216000002</v>
      </c>
    </row>
    <row r="912" spans="1:14" x14ac:dyDescent="0.25">
      <c r="A912">
        <v>549.16332</v>
      </c>
      <c r="B912" s="1">
        <f>DATE(2011,11,1) + TIME(3,55,10)</f>
        <v>40848.163310185184</v>
      </c>
      <c r="C912">
        <v>0</v>
      </c>
      <c r="D912">
        <v>2400</v>
      </c>
      <c r="E912">
        <v>2400</v>
      </c>
      <c r="F912">
        <v>0</v>
      </c>
      <c r="G912">
        <v>1302.1186522999999</v>
      </c>
      <c r="H912">
        <v>1289.8336182</v>
      </c>
      <c r="I912">
        <v>1409.5253906</v>
      </c>
      <c r="J912">
        <v>1384.9041748</v>
      </c>
      <c r="K912">
        <v>80</v>
      </c>
      <c r="L912">
        <v>79.871391295999999</v>
      </c>
      <c r="M912">
        <v>50</v>
      </c>
      <c r="N912">
        <v>37.118316649999997</v>
      </c>
    </row>
    <row r="913" spans="1:14" x14ac:dyDescent="0.25">
      <c r="A913">
        <v>549.21172100000001</v>
      </c>
      <c r="B913" s="1">
        <f>DATE(2011,11,1) + TIME(5,4,52)</f>
        <v>40848.211712962962</v>
      </c>
      <c r="C913">
        <v>0</v>
      </c>
      <c r="D913">
        <v>2400</v>
      </c>
      <c r="E913">
        <v>2400</v>
      </c>
      <c r="F913">
        <v>0</v>
      </c>
      <c r="G913">
        <v>1302.0150146000001</v>
      </c>
      <c r="H913">
        <v>1289.7290039</v>
      </c>
      <c r="I913">
        <v>1409.0684814000001</v>
      </c>
      <c r="J913">
        <v>1384.7460937999999</v>
      </c>
      <c r="K913">
        <v>80</v>
      </c>
      <c r="L913">
        <v>79.857032775999997</v>
      </c>
      <c r="M913">
        <v>50</v>
      </c>
      <c r="N913">
        <v>37.827701568999998</v>
      </c>
    </row>
    <row r="914" spans="1:14" x14ac:dyDescent="0.25">
      <c r="A914">
        <v>549.26225699999998</v>
      </c>
      <c r="B914" s="1">
        <f>DATE(2011,11,1) + TIME(6,17,39)</f>
        <v>40848.262256944443</v>
      </c>
      <c r="C914">
        <v>0</v>
      </c>
      <c r="D914">
        <v>2400</v>
      </c>
      <c r="E914">
        <v>2400</v>
      </c>
      <c r="F914">
        <v>0</v>
      </c>
      <c r="G914">
        <v>1301.9771728999999</v>
      </c>
      <c r="H914">
        <v>1289.6903076000001</v>
      </c>
      <c r="I914">
        <v>1408.6020507999999</v>
      </c>
      <c r="J914">
        <v>1384.5679932</v>
      </c>
      <c r="K914">
        <v>80</v>
      </c>
      <c r="L914">
        <v>79.842300414999997</v>
      </c>
      <c r="M914">
        <v>50</v>
      </c>
      <c r="N914">
        <v>38.527034759999999</v>
      </c>
    </row>
    <row r="915" spans="1:14" x14ac:dyDescent="0.25">
      <c r="A915">
        <v>549.31513800000005</v>
      </c>
      <c r="B915" s="1">
        <f>DATE(2011,11,1) + TIME(7,33,47)</f>
        <v>40848.315127314818</v>
      </c>
      <c r="C915">
        <v>0</v>
      </c>
      <c r="D915">
        <v>2400</v>
      </c>
      <c r="E915">
        <v>2400</v>
      </c>
      <c r="F915">
        <v>0</v>
      </c>
      <c r="G915">
        <v>1301.9616699000001</v>
      </c>
      <c r="H915">
        <v>1289.6740723</v>
      </c>
      <c r="I915">
        <v>1408.151001</v>
      </c>
      <c r="J915">
        <v>1384.3942870999999</v>
      </c>
      <c r="K915">
        <v>80</v>
      </c>
      <c r="L915">
        <v>79.827148437999995</v>
      </c>
      <c r="M915">
        <v>50</v>
      </c>
      <c r="N915">
        <v>39.216022490999997</v>
      </c>
    </row>
    <row r="916" spans="1:14" x14ac:dyDescent="0.25">
      <c r="A916">
        <v>549.37062400000002</v>
      </c>
      <c r="B916" s="1">
        <f>DATE(2011,11,1) + TIME(8,53,41)</f>
        <v>40848.370613425926</v>
      </c>
      <c r="C916">
        <v>0</v>
      </c>
      <c r="D916">
        <v>2400</v>
      </c>
      <c r="E916">
        <v>2400</v>
      </c>
      <c r="F916">
        <v>0</v>
      </c>
      <c r="G916">
        <v>1301.9542236</v>
      </c>
      <c r="H916">
        <v>1289.6658935999999</v>
      </c>
      <c r="I916">
        <v>1407.7170410000001</v>
      </c>
      <c r="J916">
        <v>1384.2272949000001</v>
      </c>
      <c r="K916">
        <v>80</v>
      </c>
      <c r="L916">
        <v>79.811531067000004</v>
      </c>
      <c r="M916">
        <v>50</v>
      </c>
      <c r="N916">
        <v>39.894538879000002</v>
      </c>
    </row>
    <row r="917" spans="1:14" x14ac:dyDescent="0.25">
      <c r="A917">
        <v>549.42900799999995</v>
      </c>
      <c r="B917" s="1">
        <f>DATE(2011,11,1) + TIME(10,17,46)</f>
        <v>40848.42900462963</v>
      </c>
      <c r="C917">
        <v>0</v>
      </c>
      <c r="D917">
        <v>2400</v>
      </c>
      <c r="E917">
        <v>2400</v>
      </c>
      <c r="F917">
        <v>0</v>
      </c>
      <c r="G917">
        <v>1301.9498291</v>
      </c>
      <c r="H917">
        <v>1289.6606445</v>
      </c>
      <c r="I917">
        <v>1407.2987060999999</v>
      </c>
      <c r="J917">
        <v>1384.065918</v>
      </c>
      <c r="K917">
        <v>80</v>
      </c>
      <c r="L917">
        <v>79.795394896999994</v>
      </c>
      <c r="M917">
        <v>50</v>
      </c>
      <c r="N917">
        <v>40.562454224</v>
      </c>
    </row>
    <row r="918" spans="1:14" x14ac:dyDescent="0.25">
      <c r="A918">
        <v>549.49063200000001</v>
      </c>
      <c r="B918" s="1">
        <f>DATE(2011,11,1) + TIME(11,46,30)</f>
        <v>40848.490624999999</v>
      </c>
      <c r="C918">
        <v>0</v>
      </c>
      <c r="D918">
        <v>2400</v>
      </c>
      <c r="E918">
        <v>2400</v>
      </c>
      <c r="F918">
        <v>0</v>
      </c>
      <c r="G918">
        <v>1301.9464111</v>
      </c>
      <c r="H918">
        <v>1289.6564940999999</v>
      </c>
      <c r="I918">
        <v>1406.8941649999999</v>
      </c>
      <c r="J918">
        <v>1383.9086914</v>
      </c>
      <c r="K918">
        <v>80</v>
      </c>
      <c r="L918">
        <v>79.778663635000001</v>
      </c>
      <c r="M918">
        <v>50</v>
      </c>
      <c r="N918">
        <v>41.219341278000002</v>
      </c>
    </row>
    <row r="919" spans="1:14" x14ac:dyDescent="0.25">
      <c r="A919">
        <v>549.55590199999995</v>
      </c>
      <c r="B919" s="1">
        <f>DATE(2011,11,1) + TIME(13,20,29)</f>
        <v>40848.555891203701</v>
      </c>
      <c r="C919">
        <v>0</v>
      </c>
      <c r="D919">
        <v>2400</v>
      </c>
      <c r="E919">
        <v>2400</v>
      </c>
      <c r="F919">
        <v>0</v>
      </c>
      <c r="G919">
        <v>1301.9432373</v>
      </c>
      <c r="H919">
        <v>1289.6525879000001</v>
      </c>
      <c r="I919">
        <v>1406.5024414</v>
      </c>
      <c r="J919">
        <v>1383.7546387</v>
      </c>
      <c r="K919">
        <v>80</v>
      </c>
      <c r="L919">
        <v>79.761260985999996</v>
      </c>
      <c r="M919">
        <v>50</v>
      </c>
      <c r="N919">
        <v>41.864803314</v>
      </c>
    </row>
    <row r="920" spans="1:14" x14ac:dyDescent="0.25">
      <c r="A920">
        <v>549.62530000000004</v>
      </c>
      <c r="B920" s="1">
        <f>DATE(2011,11,1) + TIME(15,0,25)</f>
        <v>40848.625289351854</v>
      </c>
      <c r="C920">
        <v>0</v>
      </c>
      <c r="D920">
        <v>2400</v>
      </c>
      <c r="E920">
        <v>2400</v>
      </c>
      <c r="F920">
        <v>0</v>
      </c>
      <c r="G920">
        <v>1301.9401855000001</v>
      </c>
      <c r="H920">
        <v>1289.6485596</v>
      </c>
      <c r="I920">
        <v>1406.1223144999999</v>
      </c>
      <c r="J920">
        <v>1383.6032714999999</v>
      </c>
      <c r="K920">
        <v>80</v>
      </c>
      <c r="L920">
        <v>79.743110657000003</v>
      </c>
      <c r="M920">
        <v>50</v>
      </c>
      <c r="N920">
        <v>42.498390198000003</v>
      </c>
    </row>
    <row r="921" spans="1:14" x14ac:dyDescent="0.25">
      <c r="A921">
        <v>549.69940799999995</v>
      </c>
      <c r="B921" s="1">
        <f>DATE(2011,11,1) + TIME(16,47,8)</f>
        <v>40848.69939814815</v>
      </c>
      <c r="C921">
        <v>0</v>
      </c>
      <c r="D921">
        <v>2400</v>
      </c>
      <c r="E921">
        <v>2400</v>
      </c>
      <c r="F921">
        <v>0</v>
      </c>
      <c r="G921">
        <v>1301.9367675999999</v>
      </c>
      <c r="H921">
        <v>1289.6444091999999</v>
      </c>
      <c r="I921">
        <v>1405.7531738</v>
      </c>
      <c r="J921">
        <v>1383.4537353999999</v>
      </c>
      <c r="K921">
        <v>80</v>
      </c>
      <c r="L921">
        <v>79.724105835000003</v>
      </c>
      <c r="M921">
        <v>50</v>
      </c>
      <c r="N921">
        <v>43.119583130000002</v>
      </c>
    </row>
    <row r="922" spans="1:14" x14ac:dyDescent="0.25">
      <c r="A922">
        <v>549.77893100000006</v>
      </c>
      <c r="B922" s="1">
        <f>DATE(2011,11,1) + TIME(18,41,39)</f>
        <v>40848.778923611113</v>
      </c>
      <c r="C922">
        <v>0</v>
      </c>
      <c r="D922">
        <v>2400</v>
      </c>
      <c r="E922">
        <v>2400</v>
      </c>
      <c r="F922">
        <v>0</v>
      </c>
      <c r="G922">
        <v>1301.9332274999999</v>
      </c>
      <c r="H922">
        <v>1289.6398925999999</v>
      </c>
      <c r="I922">
        <v>1405.3941649999999</v>
      </c>
      <c r="J922">
        <v>1383.3057861</v>
      </c>
      <c r="K922">
        <v>80</v>
      </c>
      <c r="L922">
        <v>79.704109192000004</v>
      </c>
      <c r="M922">
        <v>50</v>
      </c>
      <c r="N922">
        <v>43.727760314999998</v>
      </c>
    </row>
    <row r="923" spans="1:14" x14ac:dyDescent="0.25">
      <c r="A923">
        <v>549.86474399999997</v>
      </c>
      <c r="B923" s="1">
        <f>DATE(2011,11,1) + TIME(20,45,13)</f>
        <v>40848.864733796298</v>
      </c>
      <c r="C923">
        <v>0</v>
      </c>
      <c r="D923">
        <v>2400</v>
      </c>
      <c r="E923">
        <v>2400</v>
      </c>
      <c r="F923">
        <v>0</v>
      </c>
      <c r="G923">
        <v>1301.9294434000001</v>
      </c>
      <c r="H923">
        <v>1289.6351318</v>
      </c>
      <c r="I923">
        <v>1405.0446777</v>
      </c>
      <c r="J923">
        <v>1383.1588135</v>
      </c>
      <c r="K923">
        <v>80</v>
      </c>
      <c r="L923">
        <v>79.68296814</v>
      </c>
      <c r="M923">
        <v>50</v>
      </c>
      <c r="N923">
        <v>44.322189330999997</v>
      </c>
    </row>
    <row r="924" spans="1:14" x14ac:dyDescent="0.25">
      <c r="A924">
        <v>549.95793900000001</v>
      </c>
      <c r="B924" s="1">
        <f>DATE(2011,11,1) + TIME(22,59,25)</f>
        <v>40848.957928240743</v>
      </c>
      <c r="C924">
        <v>0</v>
      </c>
      <c r="D924">
        <v>2400</v>
      </c>
      <c r="E924">
        <v>2400</v>
      </c>
      <c r="F924">
        <v>0</v>
      </c>
      <c r="G924">
        <v>1301.925293</v>
      </c>
      <c r="H924">
        <v>1289.6298827999999</v>
      </c>
      <c r="I924">
        <v>1404.7038574000001</v>
      </c>
      <c r="J924">
        <v>1383.012207</v>
      </c>
      <c r="K924">
        <v>80</v>
      </c>
      <c r="L924">
        <v>79.660491942999997</v>
      </c>
      <c r="M924">
        <v>50</v>
      </c>
      <c r="N924">
        <v>44.902004241999997</v>
      </c>
    </row>
    <row r="925" spans="1:14" x14ac:dyDescent="0.25">
      <c r="A925">
        <v>550.05989099999999</v>
      </c>
      <c r="B925" s="1">
        <f>DATE(2011,11,2) + TIME(1,26,14)</f>
        <v>40849.059884259259</v>
      </c>
      <c r="C925">
        <v>0</v>
      </c>
      <c r="D925">
        <v>2400</v>
      </c>
      <c r="E925">
        <v>2400</v>
      </c>
      <c r="F925">
        <v>0</v>
      </c>
      <c r="G925">
        <v>1301.9207764</v>
      </c>
      <c r="H925">
        <v>1289.6242675999999</v>
      </c>
      <c r="I925">
        <v>1404.3712158000001</v>
      </c>
      <c r="J925">
        <v>1382.8652344</v>
      </c>
      <c r="K925">
        <v>80</v>
      </c>
      <c r="L925">
        <v>79.636451721</v>
      </c>
      <c r="M925">
        <v>50</v>
      </c>
      <c r="N925">
        <v>45.466079712000003</v>
      </c>
    </row>
    <row r="926" spans="1:14" x14ac:dyDescent="0.25">
      <c r="A926">
        <v>550.17241100000001</v>
      </c>
      <c r="B926" s="1">
        <f>DATE(2011,11,2) + TIME(4,8,16)</f>
        <v>40849.172407407408</v>
      </c>
      <c r="C926">
        <v>0</v>
      </c>
      <c r="D926">
        <v>2400</v>
      </c>
      <c r="E926">
        <v>2400</v>
      </c>
      <c r="F926">
        <v>0</v>
      </c>
      <c r="G926">
        <v>1301.9157714999999</v>
      </c>
      <c r="H926">
        <v>1289.6181641000001</v>
      </c>
      <c r="I926">
        <v>1404.0460204999999</v>
      </c>
      <c r="J926">
        <v>1382.7174072</v>
      </c>
      <c r="K926">
        <v>80</v>
      </c>
      <c r="L926">
        <v>79.610534668</v>
      </c>
      <c r="M926">
        <v>50</v>
      </c>
      <c r="N926">
        <v>46.013195037999999</v>
      </c>
    </row>
    <row r="927" spans="1:14" x14ac:dyDescent="0.25">
      <c r="A927">
        <v>550.29790600000001</v>
      </c>
      <c r="B927" s="1">
        <f>DATE(2011,11,2) + TIME(7,8,59)</f>
        <v>40849.297905092593</v>
      </c>
      <c r="C927">
        <v>0</v>
      </c>
      <c r="D927">
        <v>2400</v>
      </c>
      <c r="E927">
        <v>2400</v>
      </c>
      <c r="F927">
        <v>0</v>
      </c>
      <c r="G927">
        <v>1301.9102783000001</v>
      </c>
      <c r="H927">
        <v>1289.6114502</v>
      </c>
      <c r="I927">
        <v>1403.7272949000001</v>
      </c>
      <c r="J927">
        <v>1382.5676269999999</v>
      </c>
      <c r="K927">
        <v>80</v>
      </c>
      <c r="L927">
        <v>79.582336425999998</v>
      </c>
      <c r="M927">
        <v>50</v>
      </c>
      <c r="N927">
        <v>46.541858673</v>
      </c>
    </row>
    <row r="928" spans="1:14" x14ac:dyDescent="0.25">
      <c r="A928">
        <v>550.43965600000001</v>
      </c>
      <c r="B928" s="1">
        <f>DATE(2011,11,2) + TIME(10,33,6)</f>
        <v>40849.439652777779</v>
      </c>
      <c r="C928">
        <v>0</v>
      </c>
      <c r="D928">
        <v>2400</v>
      </c>
      <c r="E928">
        <v>2400</v>
      </c>
      <c r="F928">
        <v>0</v>
      </c>
      <c r="G928">
        <v>1301.9041748</v>
      </c>
      <c r="H928">
        <v>1289.6038818</v>
      </c>
      <c r="I928">
        <v>1403.4141846</v>
      </c>
      <c r="J928">
        <v>1382.4150391000001</v>
      </c>
      <c r="K928">
        <v>80</v>
      </c>
      <c r="L928">
        <v>79.551330566000004</v>
      </c>
      <c r="M928">
        <v>50</v>
      </c>
      <c r="N928">
        <v>47.050167084000002</v>
      </c>
    </row>
    <row r="929" spans="1:14" x14ac:dyDescent="0.25">
      <c r="A929">
        <v>550.60228199999995</v>
      </c>
      <c r="B929" s="1">
        <f>DATE(2011,11,2) + TIME(14,27,17)</f>
        <v>40849.602280092593</v>
      </c>
      <c r="C929">
        <v>0</v>
      </c>
      <c r="D929">
        <v>2400</v>
      </c>
      <c r="E929">
        <v>2400</v>
      </c>
      <c r="F929">
        <v>0</v>
      </c>
      <c r="G929">
        <v>1301.8973389</v>
      </c>
      <c r="H929">
        <v>1289.5954589999999</v>
      </c>
      <c r="I929">
        <v>1403.1057129000001</v>
      </c>
      <c r="J929">
        <v>1382.2581786999999</v>
      </c>
      <c r="K929">
        <v>80</v>
      </c>
      <c r="L929">
        <v>79.516792296999995</v>
      </c>
      <c r="M929">
        <v>50</v>
      </c>
      <c r="N929">
        <v>47.535728454999997</v>
      </c>
    </row>
    <row r="930" spans="1:14" x14ac:dyDescent="0.25">
      <c r="A930">
        <v>550.782554</v>
      </c>
      <c r="B930" s="1">
        <f>DATE(2011,11,2) + TIME(18,46,52)</f>
        <v>40849.782546296294</v>
      </c>
      <c r="C930">
        <v>0</v>
      </c>
      <c r="D930">
        <v>2400</v>
      </c>
      <c r="E930">
        <v>2400</v>
      </c>
      <c r="F930">
        <v>0</v>
      </c>
      <c r="G930">
        <v>1301.8894043</v>
      </c>
      <c r="H930">
        <v>1289.5859375</v>
      </c>
      <c r="I930">
        <v>1402.8120117000001</v>
      </c>
      <c r="J930">
        <v>1382.0999756000001</v>
      </c>
      <c r="K930">
        <v>80</v>
      </c>
      <c r="L930">
        <v>79.479377747000001</v>
      </c>
      <c r="M930">
        <v>50</v>
      </c>
      <c r="N930">
        <v>47.975727081000002</v>
      </c>
    </row>
    <row r="931" spans="1:14" x14ac:dyDescent="0.25">
      <c r="A931">
        <v>550.96354599999995</v>
      </c>
      <c r="B931" s="1">
        <f>DATE(2011,11,2) + TIME(23,7,30)</f>
        <v>40849.963541666664</v>
      </c>
      <c r="C931">
        <v>0</v>
      </c>
      <c r="D931">
        <v>2400</v>
      </c>
      <c r="E931">
        <v>2400</v>
      </c>
      <c r="F931">
        <v>0</v>
      </c>
      <c r="G931">
        <v>1301.8803711</v>
      </c>
      <c r="H931">
        <v>1289.5755615</v>
      </c>
      <c r="I931">
        <v>1402.5516356999999</v>
      </c>
      <c r="J931">
        <v>1381.9490966999999</v>
      </c>
      <c r="K931">
        <v>80</v>
      </c>
      <c r="L931">
        <v>79.441978454999997</v>
      </c>
      <c r="M931">
        <v>50</v>
      </c>
      <c r="N931">
        <v>48.336479187000002</v>
      </c>
    </row>
    <row r="932" spans="1:14" x14ac:dyDescent="0.25">
      <c r="A932">
        <v>551.148191</v>
      </c>
      <c r="B932" s="1">
        <f>DATE(2011,11,3) + TIME(3,33,23)</f>
        <v>40850.148182870369</v>
      </c>
      <c r="C932">
        <v>0</v>
      </c>
      <c r="D932">
        <v>2400</v>
      </c>
      <c r="E932">
        <v>2400</v>
      </c>
      <c r="F932">
        <v>0</v>
      </c>
      <c r="G932">
        <v>1301.8713379000001</v>
      </c>
      <c r="H932">
        <v>1289.5650635</v>
      </c>
      <c r="I932">
        <v>1402.3208007999999</v>
      </c>
      <c r="J932">
        <v>1381.8092041</v>
      </c>
      <c r="K932">
        <v>80</v>
      </c>
      <c r="L932">
        <v>79.404113769999995</v>
      </c>
      <c r="M932">
        <v>50</v>
      </c>
      <c r="N932">
        <v>48.635837555000002</v>
      </c>
    </row>
    <row r="933" spans="1:14" x14ac:dyDescent="0.25">
      <c r="A933">
        <v>551.33788300000003</v>
      </c>
      <c r="B933" s="1">
        <f>DATE(2011,11,3) + TIME(8,6,33)</f>
        <v>40850.337881944448</v>
      </c>
      <c r="C933">
        <v>0</v>
      </c>
      <c r="D933">
        <v>2400</v>
      </c>
      <c r="E933">
        <v>2400</v>
      </c>
      <c r="F933">
        <v>0</v>
      </c>
      <c r="G933">
        <v>1301.8621826000001</v>
      </c>
      <c r="H933">
        <v>1289.5543213000001</v>
      </c>
      <c r="I933">
        <v>1402.1131591999999</v>
      </c>
      <c r="J933">
        <v>1381.6776123</v>
      </c>
      <c r="K933">
        <v>80</v>
      </c>
      <c r="L933">
        <v>79.365554810000006</v>
      </c>
      <c r="M933">
        <v>50</v>
      </c>
      <c r="N933">
        <v>48.884681702000002</v>
      </c>
    </row>
    <row r="934" spans="1:14" x14ac:dyDescent="0.25">
      <c r="A934">
        <v>551.53414099999998</v>
      </c>
      <c r="B934" s="1">
        <f>DATE(2011,11,3) + TIME(12,49,9)</f>
        <v>40850.534131944441</v>
      </c>
      <c r="C934">
        <v>0</v>
      </c>
      <c r="D934">
        <v>2400</v>
      </c>
      <c r="E934">
        <v>2400</v>
      </c>
      <c r="F934">
        <v>0</v>
      </c>
      <c r="G934">
        <v>1301.8529053</v>
      </c>
      <c r="H934">
        <v>1289.5433350000001</v>
      </c>
      <c r="I934">
        <v>1401.9244385</v>
      </c>
      <c r="J934">
        <v>1381.5524902</v>
      </c>
      <c r="K934">
        <v>80</v>
      </c>
      <c r="L934">
        <v>79.326072693</v>
      </c>
      <c r="M934">
        <v>50</v>
      </c>
      <c r="N934">
        <v>49.091625213999997</v>
      </c>
    </row>
    <row r="935" spans="1:14" x14ac:dyDescent="0.25">
      <c r="A935">
        <v>551.73857299999997</v>
      </c>
      <c r="B935" s="1">
        <f>DATE(2011,11,3) + TIME(17,43,32)</f>
        <v>40850.738564814812</v>
      </c>
      <c r="C935">
        <v>0</v>
      </c>
      <c r="D935">
        <v>2400</v>
      </c>
      <c r="E935">
        <v>2400</v>
      </c>
      <c r="F935">
        <v>0</v>
      </c>
      <c r="G935">
        <v>1301.8431396000001</v>
      </c>
      <c r="H935">
        <v>1289.5321045000001</v>
      </c>
      <c r="I935">
        <v>1401.7508545000001</v>
      </c>
      <c r="J935">
        <v>1381.4324951000001</v>
      </c>
      <c r="K935">
        <v>80</v>
      </c>
      <c r="L935">
        <v>79.285400390999996</v>
      </c>
      <c r="M935">
        <v>50</v>
      </c>
      <c r="N935">
        <v>49.263492583999998</v>
      </c>
    </row>
    <row r="936" spans="1:14" x14ac:dyDescent="0.25">
      <c r="A936">
        <v>551.95296299999995</v>
      </c>
      <c r="B936" s="1">
        <f>DATE(2011,11,3) + TIME(22,52,16)</f>
        <v>40850.952962962961</v>
      </c>
      <c r="C936">
        <v>0</v>
      </c>
      <c r="D936">
        <v>2400</v>
      </c>
      <c r="E936">
        <v>2400</v>
      </c>
      <c r="F936">
        <v>0</v>
      </c>
      <c r="G936">
        <v>1301.8331298999999</v>
      </c>
      <c r="H936">
        <v>1289.5203856999999</v>
      </c>
      <c r="I936">
        <v>1401.5898437999999</v>
      </c>
      <c r="J936">
        <v>1381.3164062000001</v>
      </c>
      <c r="K936">
        <v>80</v>
      </c>
      <c r="L936">
        <v>79.243270874000004</v>
      </c>
      <c r="M936">
        <v>50</v>
      </c>
      <c r="N936">
        <v>49.405818939</v>
      </c>
    </row>
    <row r="937" spans="1:14" x14ac:dyDescent="0.25">
      <c r="A937">
        <v>552.17936699999996</v>
      </c>
      <c r="B937" s="1">
        <f>DATE(2011,11,4) + TIME(4,18,17)</f>
        <v>40851.179363425923</v>
      </c>
      <c r="C937">
        <v>0</v>
      </c>
      <c r="D937">
        <v>2400</v>
      </c>
      <c r="E937">
        <v>2400</v>
      </c>
      <c r="F937">
        <v>0</v>
      </c>
      <c r="G937">
        <v>1301.8226318</v>
      </c>
      <c r="H937">
        <v>1289.5080565999999</v>
      </c>
      <c r="I937">
        <v>1401.4385986</v>
      </c>
      <c r="J937">
        <v>1381.2032471</v>
      </c>
      <c r="K937">
        <v>80</v>
      </c>
      <c r="L937">
        <v>79.199363708000007</v>
      </c>
      <c r="M937">
        <v>50</v>
      </c>
      <c r="N937">
        <v>49.523159026999998</v>
      </c>
    </row>
    <row r="938" spans="1:14" x14ac:dyDescent="0.25">
      <c r="A938">
        <v>552.42021699999998</v>
      </c>
      <c r="B938" s="1">
        <f>DATE(2011,11,4) + TIME(10,5,6)</f>
        <v>40851.420208333337</v>
      </c>
      <c r="C938">
        <v>0</v>
      </c>
      <c r="D938">
        <v>2400</v>
      </c>
      <c r="E938">
        <v>2400</v>
      </c>
      <c r="F938">
        <v>0</v>
      </c>
      <c r="G938">
        <v>1301.8116454999999</v>
      </c>
      <c r="H938">
        <v>1289.4951172000001</v>
      </c>
      <c r="I938">
        <v>1401.2952881000001</v>
      </c>
      <c r="J938">
        <v>1381.0920410000001</v>
      </c>
      <c r="K938">
        <v>80</v>
      </c>
      <c r="L938">
        <v>79.153305054</v>
      </c>
      <c r="M938">
        <v>50</v>
      </c>
      <c r="N938">
        <v>49.619312286000003</v>
      </c>
    </row>
    <row r="939" spans="1:14" x14ac:dyDescent="0.25">
      <c r="A939">
        <v>552.67847099999994</v>
      </c>
      <c r="B939" s="1">
        <f>DATE(2011,11,4) + TIME(16,16,59)</f>
        <v>40851.678460648145</v>
      </c>
      <c r="C939">
        <v>0</v>
      </c>
      <c r="D939">
        <v>2400</v>
      </c>
      <c r="E939">
        <v>2400</v>
      </c>
      <c r="F939">
        <v>0</v>
      </c>
      <c r="G939">
        <v>1301.7998047000001</v>
      </c>
      <c r="H939">
        <v>1289.4813231999999</v>
      </c>
      <c r="I939">
        <v>1401.1578368999999</v>
      </c>
      <c r="J939">
        <v>1380.9818115</v>
      </c>
      <c r="K939">
        <v>80</v>
      </c>
      <c r="L939">
        <v>79.104675293</v>
      </c>
      <c r="M939">
        <v>50</v>
      </c>
      <c r="N939">
        <v>49.697486877000003</v>
      </c>
    </row>
    <row r="940" spans="1:14" x14ac:dyDescent="0.25">
      <c r="A940">
        <v>552.95776599999999</v>
      </c>
      <c r="B940" s="1">
        <f>DATE(2011,11,4) + TIME(22,59,10)</f>
        <v>40851.957754629628</v>
      </c>
      <c r="C940">
        <v>0</v>
      </c>
      <c r="D940">
        <v>2400</v>
      </c>
      <c r="E940">
        <v>2400</v>
      </c>
      <c r="F940">
        <v>0</v>
      </c>
      <c r="G940">
        <v>1301.7872314000001</v>
      </c>
      <c r="H940">
        <v>1289.4666748</v>
      </c>
      <c r="I940">
        <v>1401.0245361</v>
      </c>
      <c r="J940">
        <v>1380.8717041</v>
      </c>
      <c r="K940">
        <v>80</v>
      </c>
      <c r="L940">
        <v>79.052932738999999</v>
      </c>
      <c r="M940">
        <v>50</v>
      </c>
      <c r="N940">
        <v>49.760417938000003</v>
      </c>
    </row>
    <row r="941" spans="1:14" x14ac:dyDescent="0.25">
      <c r="A941">
        <v>553.25955399999998</v>
      </c>
      <c r="B941" s="1">
        <f>DATE(2011,11,5) + TIME(6,13,45)</f>
        <v>40852.259548611109</v>
      </c>
      <c r="C941">
        <v>0</v>
      </c>
      <c r="D941">
        <v>2400</v>
      </c>
      <c r="E941">
        <v>2400</v>
      </c>
      <c r="F941">
        <v>0</v>
      </c>
      <c r="G941">
        <v>1301.7736815999999</v>
      </c>
      <c r="H941">
        <v>1289.4508057</v>
      </c>
      <c r="I941">
        <v>1400.8939209</v>
      </c>
      <c r="J941">
        <v>1380.7607422000001</v>
      </c>
      <c r="K941">
        <v>80</v>
      </c>
      <c r="L941">
        <v>78.997871399000005</v>
      </c>
      <c r="M941">
        <v>50</v>
      </c>
      <c r="N941">
        <v>49.810085297000001</v>
      </c>
    </row>
    <row r="942" spans="1:14" x14ac:dyDescent="0.25">
      <c r="A942">
        <v>553.58545400000003</v>
      </c>
      <c r="B942" s="1">
        <f>DATE(2011,11,5) + TIME(14,3,3)</f>
        <v>40852.585451388892</v>
      </c>
      <c r="C942">
        <v>0</v>
      </c>
      <c r="D942">
        <v>2400</v>
      </c>
      <c r="E942">
        <v>2400</v>
      </c>
      <c r="F942">
        <v>0</v>
      </c>
      <c r="G942">
        <v>1301.7590332</v>
      </c>
      <c r="H942">
        <v>1289.4337158000001</v>
      </c>
      <c r="I942">
        <v>1400.7655029</v>
      </c>
      <c r="J942">
        <v>1380.6490478999999</v>
      </c>
      <c r="K942">
        <v>80</v>
      </c>
      <c r="L942">
        <v>78.939247131000002</v>
      </c>
      <c r="M942">
        <v>50</v>
      </c>
      <c r="N942">
        <v>49.848503113</v>
      </c>
    </row>
    <row r="943" spans="1:14" x14ac:dyDescent="0.25">
      <c r="A943">
        <v>553.94087500000001</v>
      </c>
      <c r="B943" s="1">
        <f>DATE(2011,11,5) + TIME(22,34,51)</f>
        <v>40852.940868055557</v>
      </c>
      <c r="C943">
        <v>0</v>
      </c>
      <c r="D943">
        <v>2400</v>
      </c>
      <c r="E943">
        <v>2400</v>
      </c>
      <c r="F943">
        <v>0</v>
      </c>
      <c r="G943">
        <v>1301.7432861</v>
      </c>
      <c r="H943">
        <v>1289.4154053</v>
      </c>
      <c r="I943">
        <v>1400.6385498</v>
      </c>
      <c r="J943">
        <v>1380.536499</v>
      </c>
      <c r="K943">
        <v>80</v>
      </c>
      <c r="L943">
        <v>78.876350403000004</v>
      </c>
      <c r="M943">
        <v>50</v>
      </c>
      <c r="N943">
        <v>49.877849578999999</v>
      </c>
    </row>
    <row r="944" spans="1:14" x14ac:dyDescent="0.25">
      <c r="A944">
        <v>554.31146100000001</v>
      </c>
      <c r="B944" s="1">
        <f>DATE(2011,11,6) + TIME(7,28,30)</f>
        <v>40853.31145833333</v>
      </c>
      <c r="C944">
        <v>0</v>
      </c>
      <c r="D944">
        <v>2400</v>
      </c>
      <c r="E944">
        <v>2400</v>
      </c>
      <c r="F944">
        <v>0</v>
      </c>
      <c r="G944">
        <v>1301.7258300999999</v>
      </c>
      <c r="H944">
        <v>1289.3953856999999</v>
      </c>
      <c r="I944">
        <v>1400.5118408000001</v>
      </c>
      <c r="J944">
        <v>1380.4223632999999</v>
      </c>
      <c r="K944">
        <v>80</v>
      </c>
      <c r="L944">
        <v>78.810859679999993</v>
      </c>
      <c r="M944">
        <v>50</v>
      </c>
      <c r="N944">
        <v>49.899078369000001</v>
      </c>
    </row>
    <row r="945" spans="1:14" x14ac:dyDescent="0.25">
      <c r="A945">
        <v>554.68660799999998</v>
      </c>
      <c r="B945" s="1">
        <f>DATE(2011,11,6) + TIME(16,28,42)</f>
        <v>40853.686597222222</v>
      </c>
      <c r="C945">
        <v>0</v>
      </c>
      <c r="D945">
        <v>2400</v>
      </c>
      <c r="E945">
        <v>2400</v>
      </c>
      <c r="F945">
        <v>0</v>
      </c>
      <c r="G945">
        <v>1301.7077637</v>
      </c>
      <c r="H945">
        <v>1289.3746338000001</v>
      </c>
      <c r="I945">
        <v>1400.3901367000001</v>
      </c>
      <c r="J945">
        <v>1380.3114014</v>
      </c>
      <c r="K945">
        <v>80</v>
      </c>
      <c r="L945">
        <v>78.744224548000005</v>
      </c>
      <c r="M945">
        <v>50</v>
      </c>
      <c r="N945">
        <v>49.913997649999999</v>
      </c>
    </row>
    <row r="946" spans="1:14" x14ac:dyDescent="0.25">
      <c r="A946">
        <v>555.07023800000002</v>
      </c>
      <c r="B946" s="1">
        <f>DATE(2011,11,7) + TIME(1,41,8)</f>
        <v>40854.070231481484</v>
      </c>
      <c r="C946">
        <v>0</v>
      </c>
      <c r="D946">
        <v>2400</v>
      </c>
      <c r="E946">
        <v>2400</v>
      </c>
      <c r="F946">
        <v>0</v>
      </c>
      <c r="G946">
        <v>1301.6894531</v>
      </c>
      <c r="H946">
        <v>1289.3536377</v>
      </c>
      <c r="I946">
        <v>1400.2755127</v>
      </c>
      <c r="J946">
        <v>1380.2062988</v>
      </c>
      <c r="K946">
        <v>80</v>
      </c>
      <c r="L946">
        <v>78.676261901999993</v>
      </c>
      <c r="M946">
        <v>50</v>
      </c>
      <c r="N946">
        <v>49.924571991000001</v>
      </c>
    </row>
    <row r="947" spans="1:14" x14ac:dyDescent="0.25">
      <c r="A947">
        <v>555.466093</v>
      </c>
      <c r="B947" s="1">
        <f>DATE(2011,11,7) + TIME(11,11,10)</f>
        <v>40854.466087962966</v>
      </c>
      <c r="C947">
        <v>0</v>
      </c>
      <c r="D947">
        <v>2400</v>
      </c>
      <c r="E947">
        <v>2400</v>
      </c>
      <c r="F947">
        <v>0</v>
      </c>
      <c r="G947">
        <v>1301.6707764</v>
      </c>
      <c r="H947">
        <v>1289.3320312000001</v>
      </c>
      <c r="I947">
        <v>1400.1658935999999</v>
      </c>
      <c r="J947">
        <v>1380.1054687999999</v>
      </c>
      <c r="K947">
        <v>80</v>
      </c>
      <c r="L947">
        <v>78.606681824000006</v>
      </c>
      <c r="M947">
        <v>50</v>
      </c>
      <c r="N947">
        <v>49.932109832999998</v>
      </c>
    </row>
    <row r="948" spans="1:14" x14ac:dyDescent="0.25">
      <c r="A948">
        <v>555.87805800000001</v>
      </c>
      <c r="B948" s="1">
        <f>DATE(2011,11,7) + TIME(21,4,24)</f>
        <v>40854.878055555557</v>
      </c>
      <c r="C948">
        <v>0</v>
      </c>
      <c r="D948">
        <v>2400</v>
      </c>
      <c r="E948">
        <v>2400</v>
      </c>
      <c r="F948">
        <v>0</v>
      </c>
      <c r="G948">
        <v>1301.6516113</v>
      </c>
      <c r="H948">
        <v>1289.3098144999999</v>
      </c>
      <c r="I948">
        <v>1400.0599365</v>
      </c>
      <c r="J948">
        <v>1380.0075684000001</v>
      </c>
      <c r="K948">
        <v>80</v>
      </c>
      <c r="L948">
        <v>78.535072326999995</v>
      </c>
      <c r="M948">
        <v>50</v>
      </c>
      <c r="N948">
        <v>49.937507629000002</v>
      </c>
    </row>
    <row r="949" spans="1:14" x14ac:dyDescent="0.25">
      <c r="A949">
        <v>556.31042000000002</v>
      </c>
      <c r="B949" s="1">
        <f>DATE(2011,11,8) + TIME(7,27,0)</f>
        <v>40855.310416666667</v>
      </c>
      <c r="C949">
        <v>0</v>
      </c>
      <c r="D949">
        <v>2400</v>
      </c>
      <c r="E949">
        <v>2400</v>
      </c>
      <c r="F949">
        <v>0</v>
      </c>
      <c r="G949">
        <v>1301.6315918</v>
      </c>
      <c r="H949">
        <v>1289.2866211</v>
      </c>
      <c r="I949">
        <v>1399.9561768000001</v>
      </c>
      <c r="J949">
        <v>1379.9116211</v>
      </c>
      <c r="K949">
        <v>80</v>
      </c>
      <c r="L949">
        <v>78.460960388000004</v>
      </c>
      <c r="M949">
        <v>50</v>
      </c>
      <c r="N949">
        <v>49.941387177000003</v>
      </c>
    </row>
    <row r="950" spans="1:14" x14ac:dyDescent="0.25">
      <c r="A950">
        <v>556.76671399999998</v>
      </c>
      <c r="B950" s="1">
        <f>DATE(2011,11,8) + TIME(18,24,4)</f>
        <v>40855.766712962963</v>
      </c>
      <c r="C950">
        <v>0</v>
      </c>
      <c r="D950">
        <v>2400</v>
      </c>
      <c r="E950">
        <v>2400</v>
      </c>
      <c r="F950">
        <v>0</v>
      </c>
      <c r="G950">
        <v>1301.6107178</v>
      </c>
      <c r="H950">
        <v>1289.2624512</v>
      </c>
      <c r="I950">
        <v>1399.8536377</v>
      </c>
      <c r="J950">
        <v>1379.8167725000001</v>
      </c>
      <c r="K950">
        <v>80</v>
      </c>
      <c r="L950">
        <v>78.383888244999994</v>
      </c>
      <c r="M950">
        <v>50</v>
      </c>
      <c r="N950">
        <v>49.944183350000003</v>
      </c>
    </row>
    <row r="951" spans="1:14" x14ac:dyDescent="0.25">
      <c r="A951">
        <v>557.24408500000004</v>
      </c>
      <c r="B951" s="1">
        <f>DATE(2011,11,9) + TIME(5,51,28)</f>
        <v>40856.244074074071</v>
      </c>
      <c r="C951">
        <v>0</v>
      </c>
      <c r="D951">
        <v>2400</v>
      </c>
      <c r="E951">
        <v>2400</v>
      </c>
      <c r="F951">
        <v>0</v>
      </c>
      <c r="G951">
        <v>1301.5886230000001</v>
      </c>
      <c r="H951">
        <v>1289.2368164</v>
      </c>
      <c r="I951">
        <v>1399.7514647999999</v>
      </c>
      <c r="J951">
        <v>1379.7222899999999</v>
      </c>
      <c r="K951">
        <v>80</v>
      </c>
      <c r="L951">
        <v>78.304092406999999</v>
      </c>
      <c r="M951">
        <v>50</v>
      </c>
      <c r="N951">
        <v>49.946178435999997</v>
      </c>
    </row>
    <row r="952" spans="1:14" x14ac:dyDescent="0.25">
      <c r="A952">
        <v>557.74765300000001</v>
      </c>
      <c r="B952" s="1">
        <f>DATE(2011,11,9) + TIME(17,56,37)</f>
        <v>40856.747650462959</v>
      </c>
      <c r="C952">
        <v>0</v>
      </c>
      <c r="D952">
        <v>2400</v>
      </c>
      <c r="E952">
        <v>2400</v>
      </c>
      <c r="F952">
        <v>0</v>
      </c>
      <c r="G952">
        <v>1301.5654297000001</v>
      </c>
      <c r="H952">
        <v>1289.2100829999999</v>
      </c>
      <c r="I952">
        <v>1399.6506348</v>
      </c>
      <c r="J952">
        <v>1379.6290283000001</v>
      </c>
      <c r="K952">
        <v>80</v>
      </c>
      <c r="L952">
        <v>78.221061707000004</v>
      </c>
      <c r="M952">
        <v>50</v>
      </c>
      <c r="N952">
        <v>49.947620391999997</v>
      </c>
    </row>
    <row r="953" spans="1:14" x14ac:dyDescent="0.25">
      <c r="A953">
        <v>558.28319499999998</v>
      </c>
      <c r="B953" s="1">
        <f>DATE(2011,11,10) + TIME(6,47,48)</f>
        <v>40857.283194444448</v>
      </c>
      <c r="C953">
        <v>0</v>
      </c>
      <c r="D953">
        <v>2400</v>
      </c>
      <c r="E953">
        <v>2400</v>
      </c>
      <c r="F953">
        <v>0</v>
      </c>
      <c r="G953">
        <v>1301.5410156</v>
      </c>
      <c r="H953">
        <v>1289.1818848</v>
      </c>
      <c r="I953">
        <v>1399.5501709</v>
      </c>
      <c r="J953">
        <v>1379.5362548999999</v>
      </c>
      <c r="K953">
        <v>80</v>
      </c>
      <c r="L953">
        <v>78.134162903000004</v>
      </c>
      <c r="M953">
        <v>50</v>
      </c>
      <c r="N953">
        <v>49.948673247999999</v>
      </c>
    </row>
    <row r="954" spans="1:14" x14ac:dyDescent="0.25">
      <c r="A954">
        <v>558.857755</v>
      </c>
      <c r="B954" s="1">
        <f>DATE(2011,11,10) + TIME(20,35,10)</f>
        <v>40857.857754629629</v>
      </c>
      <c r="C954">
        <v>0</v>
      </c>
      <c r="D954">
        <v>2400</v>
      </c>
      <c r="E954">
        <v>2400</v>
      </c>
      <c r="F954">
        <v>0</v>
      </c>
      <c r="G954">
        <v>1301.5151367000001</v>
      </c>
      <c r="H954">
        <v>1289.1517334</v>
      </c>
      <c r="I954">
        <v>1399.4490966999999</v>
      </c>
      <c r="J954">
        <v>1379.4431152</v>
      </c>
      <c r="K954">
        <v>80</v>
      </c>
      <c r="L954">
        <v>78.042587280000006</v>
      </c>
      <c r="M954">
        <v>50</v>
      </c>
      <c r="N954">
        <v>49.949455260999997</v>
      </c>
    </row>
    <row r="955" spans="1:14" x14ac:dyDescent="0.25">
      <c r="A955">
        <v>559.45187599999997</v>
      </c>
      <c r="B955" s="1">
        <f>DATE(2011,11,11) + TIME(10,50,42)</f>
        <v>40858.451874999999</v>
      </c>
      <c r="C955">
        <v>0</v>
      </c>
      <c r="D955">
        <v>2400</v>
      </c>
      <c r="E955">
        <v>2400</v>
      </c>
      <c r="F955">
        <v>0</v>
      </c>
      <c r="G955">
        <v>1301.4871826000001</v>
      </c>
      <c r="H955">
        <v>1289.1196289</v>
      </c>
      <c r="I955">
        <v>1399.3466797000001</v>
      </c>
      <c r="J955">
        <v>1379.3488769999999</v>
      </c>
      <c r="K955">
        <v>80</v>
      </c>
      <c r="L955">
        <v>77.947952271000005</v>
      </c>
      <c r="M955">
        <v>50</v>
      </c>
      <c r="N955">
        <v>49.950019836000003</v>
      </c>
    </row>
    <row r="956" spans="1:14" x14ac:dyDescent="0.25">
      <c r="A956">
        <v>560.05426599999998</v>
      </c>
      <c r="B956" s="1">
        <f>DATE(2011,11,12) + TIME(1,18,8)</f>
        <v>40859.054259259261</v>
      </c>
      <c r="C956">
        <v>0</v>
      </c>
      <c r="D956">
        <v>2400</v>
      </c>
      <c r="E956">
        <v>2400</v>
      </c>
      <c r="F956">
        <v>0</v>
      </c>
      <c r="G956">
        <v>1301.4581298999999</v>
      </c>
      <c r="H956">
        <v>1289.0863036999999</v>
      </c>
      <c r="I956">
        <v>1399.246582</v>
      </c>
      <c r="J956">
        <v>1379.2569579999999</v>
      </c>
      <c r="K956">
        <v>80</v>
      </c>
      <c r="L956">
        <v>77.851699828999998</v>
      </c>
      <c r="M956">
        <v>50</v>
      </c>
      <c r="N956">
        <v>49.950431823999999</v>
      </c>
    </row>
    <row r="957" spans="1:14" x14ac:dyDescent="0.25">
      <c r="A957">
        <v>560.67090599999995</v>
      </c>
      <c r="B957" s="1">
        <f>DATE(2011,11,12) + TIME(16,6,6)</f>
        <v>40859.670902777776</v>
      </c>
      <c r="C957">
        <v>0</v>
      </c>
      <c r="D957">
        <v>2400</v>
      </c>
      <c r="E957">
        <v>2400</v>
      </c>
      <c r="F957">
        <v>0</v>
      </c>
      <c r="G957">
        <v>1301.4285889</v>
      </c>
      <c r="H957">
        <v>1289.0522461</v>
      </c>
      <c r="I957">
        <v>1399.1506348</v>
      </c>
      <c r="J957">
        <v>1379.1690673999999</v>
      </c>
      <c r="K957">
        <v>80</v>
      </c>
      <c r="L957">
        <v>77.753845214999998</v>
      </c>
      <c r="M957">
        <v>50</v>
      </c>
      <c r="N957">
        <v>49.950736999999997</v>
      </c>
    </row>
    <row r="958" spans="1:14" x14ac:dyDescent="0.25">
      <c r="A958">
        <v>561.30773499999998</v>
      </c>
      <c r="B958" s="1">
        <f>DATE(2011,11,13) + TIME(7,23,8)</f>
        <v>40860.30773148148</v>
      </c>
      <c r="C958">
        <v>0</v>
      </c>
      <c r="D958">
        <v>2400</v>
      </c>
      <c r="E958">
        <v>2400</v>
      </c>
      <c r="F958">
        <v>0</v>
      </c>
      <c r="G958">
        <v>1301.3985596</v>
      </c>
      <c r="H958">
        <v>1289.0174560999999</v>
      </c>
      <c r="I958">
        <v>1399.0573730000001</v>
      </c>
      <c r="J958">
        <v>1379.0837402</v>
      </c>
      <c r="K958">
        <v>80</v>
      </c>
      <c r="L958">
        <v>77.654060364000003</v>
      </c>
      <c r="M958">
        <v>50</v>
      </c>
      <c r="N958">
        <v>49.950973511000001</v>
      </c>
    </row>
    <row r="959" spans="1:14" x14ac:dyDescent="0.25">
      <c r="A959">
        <v>561.97110299999997</v>
      </c>
      <c r="B959" s="1">
        <f>DATE(2011,11,13) + TIME(23,18,23)</f>
        <v>40860.971099537041</v>
      </c>
      <c r="C959">
        <v>0</v>
      </c>
      <c r="D959">
        <v>2400</v>
      </c>
      <c r="E959">
        <v>2400</v>
      </c>
      <c r="F959">
        <v>0</v>
      </c>
      <c r="G959">
        <v>1301.3673096</v>
      </c>
      <c r="H959">
        <v>1288.9813231999999</v>
      </c>
      <c r="I959">
        <v>1398.9660644999999</v>
      </c>
      <c r="J959">
        <v>1379.0003661999999</v>
      </c>
      <c r="K959">
        <v>80</v>
      </c>
      <c r="L959">
        <v>77.551773071</v>
      </c>
      <c r="M959">
        <v>50</v>
      </c>
      <c r="N959">
        <v>49.951164245999998</v>
      </c>
    </row>
    <row r="960" spans="1:14" x14ac:dyDescent="0.25">
      <c r="A960">
        <v>562.66819499999997</v>
      </c>
      <c r="B960" s="1">
        <f>DATE(2011,11,14) + TIME(16,2,12)</f>
        <v>40861.668194444443</v>
      </c>
      <c r="C960">
        <v>0</v>
      </c>
      <c r="D960">
        <v>2400</v>
      </c>
      <c r="E960">
        <v>2400</v>
      </c>
      <c r="F960">
        <v>0</v>
      </c>
      <c r="G960">
        <v>1301.3348389</v>
      </c>
      <c r="H960">
        <v>1288.9434814000001</v>
      </c>
      <c r="I960">
        <v>1398.8754882999999</v>
      </c>
      <c r="J960">
        <v>1378.9178466999999</v>
      </c>
      <c r="K960">
        <v>80</v>
      </c>
      <c r="L960">
        <v>77.446228027000004</v>
      </c>
      <c r="M960">
        <v>50</v>
      </c>
      <c r="N960">
        <v>49.951313018999997</v>
      </c>
    </row>
    <row r="961" spans="1:14" x14ac:dyDescent="0.25">
      <c r="A961">
        <v>563.39727600000003</v>
      </c>
      <c r="B961" s="1">
        <f>DATE(2011,11,15) + TIME(9,32,4)</f>
        <v>40862.397268518522</v>
      </c>
      <c r="C961">
        <v>0</v>
      </c>
      <c r="D961">
        <v>2400</v>
      </c>
      <c r="E961">
        <v>2400</v>
      </c>
      <c r="F961">
        <v>0</v>
      </c>
      <c r="G961">
        <v>1301.3004149999999</v>
      </c>
      <c r="H961">
        <v>1288.9038086</v>
      </c>
      <c r="I961">
        <v>1398.7850341999999</v>
      </c>
      <c r="J961">
        <v>1378.8354492000001</v>
      </c>
      <c r="K961">
        <v>80</v>
      </c>
      <c r="L961">
        <v>77.337341308999996</v>
      </c>
      <c r="M961">
        <v>50</v>
      </c>
      <c r="N961">
        <v>49.951438904</v>
      </c>
    </row>
    <row r="962" spans="1:14" x14ac:dyDescent="0.25">
      <c r="A962">
        <v>564.15479300000004</v>
      </c>
      <c r="B962" s="1">
        <f>DATE(2011,11,16) + TIME(3,42,54)</f>
        <v>40863.154791666668</v>
      </c>
      <c r="C962">
        <v>0</v>
      </c>
      <c r="D962">
        <v>2400</v>
      </c>
      <c r="E962">
        <v>2400</v>
      </c>
      <c r="F962">
        <v>0</v>
      </c>
      <c r="G962">
        <v>1301.2644043</v>
      </c>
      <c r="H962">
        <v>1288.8620605000001</v>
      </c>
      <c r="I962">
        <v>1398.6949463000001</v>
      </c>
      <c r="J962">
        <v>1378.7536620999999</v>
      </c>
      <c r="K962">
        <v>80</v>
      </c>
      <c r="L962">
        <v>77.225349425999994</v>
      </c>
      <c r="M962">
        <v>50</v>
      </c>
      <c r="N962">
        <v>49.951541900999999</v>
      </c>
    </row>
    <row r="963" spans="1:14" x14ac:dyDescent="0.25">
      <c r="A963">
        <v>564.94851800000004</v>
      </c>
      <c r="B963" s="1">
        <f>DATE(2011,11,16) + TIME(22,45,51)</f>
        <v>40863.948506944442</v>
      </c>
      <c r="C963">
        <v>0</v>
      </c>
      <c r="D963">
        <v>2400</v>
      </c>
      <c r="E963">
        <v>2400</v>
      </c>
      <c r="F963">
        <v>0</v>
      </c>
      <c r="G963">
        <v>1301.2268065999999</v>
      </c>
      <c r="H963">
        <v>1288.8183594</v>
      </c>
      <c r="I963">
        <v>1398.605957</v>
      </c>
      <c r="J963">
        <v>1378.6729736</v>
      </c>
      <c r="K963">
        <v>80</v>
      </c>
      <c r="L963">
        <v>77.109802246000001</v>
      </c>
      <c r="M963">
        <v>50</v>
      </c>
      <c r="N963">
        <v>49.951633452999999</v>
      </c>
    </row>
    <row r="964" spans="1:14" x14ac:dyDescent="0.25">
      <c r="A964">
        <v>565.76129500000002</v>
      </c>
      <c r="B964" s="1">
        <f>DATE(2011,11,17) + TIME(18,16,15)</f>
        <v>40864.761284722219</v>
      </c>
      <c r="C964">
        <v>0</v>
      </c>
      <c r="D964">
        <v>2400</v>
      </c>
      <c r="E964">
        <v>2400</v>
      </c>
      <c r="F964">
        <v>0</v>
      </c>
      <c r="G964">
        <v>1301.1872559000001</v>
      </c>
      <c r="H964">
        <v>1288.7725829999999</v>
      </c>
      <c r="I964">
        <v>1398.5170897999999</v>
      </c>
      <c r="J964">
        <v>1378.5925293</v>
      </c>
      <c r="K964">
        <v>80</v>
      </c>
      <c r="L964">
        <v>76.991859435999999</v>
      </c>
      <c r="M964">
        <v>50</v>
      </c>
      <c r="N964">
        <v>49.951713562000002</v>
      </c>
    </row>
    <row r="965" spans="1:14" x14ac:dyDescent="0.25">
      <c r="A965">
        <v>566.59013500000003</v>
      </c>
      <c r="B965" s="1">
        <f>DATE(2011,11,18) + TIME(14,9,47)</f>
        <v>40865.590127314812</v>
      </c>
      <c r="C965">
        <v>0</v>
      </c>
      <c r="D965">
        <v>2400</v>
      </c>
      <c r="E965">
        <v>2400</v>
      </c>
      <c r="F965">
        <v>0</v>
      </c>
      <c r="G965">
        <v>1301.1463623</v>
      </c>
      <c r="H965">
        <v>1288.7252197</v>
      </c>
      <c r="I965">
        <v>1398.4304199000001</v>
      </c>
      <c r="J965">
        <v>1378.5142822</v>
      </c>
      <c r="K965">
        <v>80</v>
      </c>
      <c r="L965">
        <v>76.872291564999998</v>
      </c>
      <c r="M965">
        <v>50</v>
      </c>
      <c r="N965">
        <v>49.951782227000002</v>
      </c>
    </row>
    <row r="966" spans="1:14" x14ac:dyDescent="0.25">
      <c r="A966">
        <v>567.44347000000005</v>
      </c>
      <c r="B966" s="1">
        <f>DATE(2011,11,19) + TIME(10,38,35)</f>
        <v>40866.443460648145</v>
      </c>
      <c r="C966">
        <v>0</v>
      </c>
      <c r="D966">
        <v>2400</v>
      </c>
      <c r="E966">
        <v>2400</v>
      </c>
      <c r="F966">
        <v>0</v>
      </c>
      <c r="G966">
        <v>1301.1046143000001</v>
      </c>
      <c r="H966">
        <v>1288.6766356999999</v>
      </c>
      <c r="I966">
        <v>1398.3460693</v>
      </c>
      <c r="J966">
        <v>1378.4382324000001</v>
      </c>
      <c r="K966">
        <v>80</v>
      </c>
      <c r="L966">
        <v>76.750923157000003</v>
      </c>
      <c r="M966">
        <v>50</v>
      </c>
      <c r="N966">
        <v>49.951847076</v>
      </c>
    </row>
    <row r="967" spans="1:14" x14ac:dyDescent="0.25">
      <c r="A967">
        <v>568.33018300000003</v>
      </c>
      <c r="B967" s="1">
        <f>DATE(2011,11,20) + TIME(7,55,27)</f>
        <v>40867.33017361111</v>
      </c>
      <c r="C967">
        <v>0</v>
      </c>
      <c r="D967">
        <v>2400</v>
      </c>
      <c r="E967">
        <v>2400</v>
      </c>
      <c r="F967">
        <v>0</v>
      </c>
      <c r="G967">
        <v>1301.0614014</v>
      </c>
      <c r="H967">
        <v>1288.6262207</v>
      </c>
      <c r="I967">
        <v>1398.2633057</v>
      </c>
      <c r="J967">
        <v>1378.3635254000001</v>
      </c>
      <c r="K967">
        <v>80</v>
      </c>
      <c r="L967">
        <v>76.627105713000006</v>
      </c>
      <c r="M967">
        <v>50</v>
      </c>
      <c r="N967">
        <v>49.951908111999998</v>
      </c>
    </row>
    <row r="968" spans="1:14" x14ac:dyDescent="0.25">
      <c r="A968">
        <v>569.260311</v>
      </c>
      <c r="B968" s="1">
        <f>DATE(2011,11,21) + TIME(6,14,50)</f>
        <v>40868.260300925926</v>
      </c>
      <c r="C968">
        <v>0</v>
      </c>
      <c r="D968">
        <v>2400</v>
      </c>
      <c r="E968">
        <v>2400</v>
      </c>
      <c r="F968">
        <v>0</v>
      </c>
      <c r="G968">
        <v>1301.0163574000001</v>
      </c>
      <c r="H968">
        <v>1288.5734863</v>
      </c>
      <c r="I968">
        <v>1398.1809082</v>
      </c>
      <c r="J968">
        <v>1378.2894286999999</v>
      </c>
      <c r="K968">
        <v>80</v>
      </c>
      <c r="L968">
        <v>76.499923706000004</v>
      </c>
      <c r="M968">
        <v>50</v>
      </c>
      <c r="N968">
        <v>49.951972961000003</v>
      </c>
    </row>
    <row r="969" spans="1:14" x14ac:dyDescent="0.25">
      <c r="A969">
        <v>570.24572999999998</v>
      </c>
      <c r="B969" s="1">
        <f>DATE(2011,11,22) + TIME(5,53,51)</f>
        <v>40869.245729166665</v>
      </c>
      <c r="C969">
        <v>0</v>
      </c>
      <c r="D969">
        <v>2400</v>
      </c>
      <c r="E969">
        <v>2400</v>
      </c>
      <c r="F969">
        <v>0</v>
      </c>
      <c r="G969">
        <v>1300.9686279</v>
      </c>
      <c r="H969">
        <v>1288.5178223</v>
      </c>
      <c r="I969">
        <v>1398.0985106999999</v>
      </c>
      <c r="J969">
        <v>1378.215332</v>
      </c>
      <c r="K969">
        <v>80</v>
      </c>
      <c r="L969">
        <v>76.368209839000002</v>
      </c>
      <c r="M969">
        <v>50</v>
      </c>
      <c r="N969">
        <v>49.952033997000001</v>
      </c>
    </row>
    <row r="970" spans="1:14" x14ac:dyDescent="0.25">
      <c r="A970">
        <v>571.263105</v>
      </c>
      <c r="B970" s="1">
        <f>DATE(2011,11,23) + TIME(6,18,52)</f>
        <v>40870.263101851851</v>
      </c>
      <c r="C970">
        <v>0</v>
      </c>
      <c r="D970">
        <v>2400</v>
      </c>
      <c r="E970">
        <v>2400</v>
      </c>
      <c r="F970">
        <v>0</v>
      </c>
      <c r="G970">
        <v>1300.9177245999999</v>
      </c>
      <c r="H970">
        <v>1288.4582519999999</v>
      </c>
      <c r="I970">
        <v>1398.0148925999999</v>
      </c>
      <c r="J970">
        <v>1378.1403809000001</v>
      </c>
      <c r="K970">
        <v>80</v>
      </c>
      <c r="L970">
        <v>76.232849121000001</v>
      </c>
      <c r="M970">
        <v>50</v>
      </c>
      <c r="N970">
        <v>49.952095032000003</v>
      </c>
    </row>
    <row r="971" spans="1:14" x14ac:dyDescent="0.25">
      <c r="A971">
        <v>572.31434000000002</v>
      </c>
      <c r="B971" s="1">
        <f>DATE(2011,11,24) + TIME(7,32,38)</f>
        <v>40871.314328703702</v>
      </c>
      <c r="C971">
        <v>0</v>
      </c>
      <c r="D971">
        <v>2400</v>
      </c>
      <c r="E971">
        <v>2400</v>
      </c>
      <c r="F971">
        <v>0</v>
      </c>
      <c r="G971">
        <v>1300.864624</v>
      </c>
      <c r="H971">
        <v>1288.3962402</v>
      </c>
      <c r="I971">
        <v>1397.9323730000001</v>
      </c>
      <c r="J971">
        <v>1378.0664062000001</v>
      </c>
      <c r="K971">
        <v>80</v>
      </c>
      <c r="L971">
        <v>76.094436646000005</v>
      </c>
      <c r="M971">
        <v>50</v>
      </c>
      <c r="N971">
        <v>49.952159881999997</v>
      </c>
    </row>
    <row r="972" spans="1:14" x14ac:dyDescent="0.25">
      <c r="A972">
        <v>573.38979800000004</v>
      </c>
      <c r="B972" s="1">
        <f>DATE(2011,11,25) + TIME(9,21,18)</f>
        <v>40872.389791666668</v>
      </c>
      <c r="C972">
        <v>0</v>
      </c>
      <c r="D972">
        <v>2400</v>
      </c>
      <c r="E972">
        <v>2400</v>
      </c>
      <c r="F972">
        <v>0</v>
      </c>
      <c r="G972">
        <v>1300.8093262</v>
      </c>
      <c r="H972">
        <v>1288.3312988</v>
      </c>
      <c r="I972">
        <v>1397.8509521000001</v>
      </c>
      <c r="J972">
        <v>1377.9935303</v>
      </c>
      <c r="K972">
        <v>80</v>
      </c>
      <c r="L972">
        <v>75.953872681000007</v>
      </c>
      <c r="M972">
        <v>50</v>
      </c>
      <c r="N972">
        <v>49.952224731000001</v>
      </c>
    </row>
    <row r="973" spans="1:14" x14ac:dyDescent="0.25">
      <c r="A973">
        <v>574.49045000000001</v>
      </c>
      <c r="B973" s="1">
        <f>DATE(2011,11,26) + TIME(11,46,14)</f>
        <v>40873.490439814814</v>
      </c>
      <c r="C973">
        <v>0</v>
      </c>
      <c r="D973">
        <v>2400</v>
      </c>
      <c r="E973">
        <v>2400</v>
      </c>
      <c r="F973">
        <v>0</v>
      </c>
      <c r="G973">
        <v>1300.7521973</v>
      </c>
      <c r="H973">
        <v>1288.2641602000001</v>
      </c>
      <c r="I973">
        <v>1397.7712402</v>
      </c>
      <c r="J973">
        <v>1377.9221190999999</v>
      </c>
      <c r="K973">
        <v>80</v>
      </c>
      <c r="L973">
        <v>75.811683654999996</v>
      </c>
      <c r="M973">
        <v>50</v>
      </c>
      <c r="N973">
        <v>49.952289581000002</v>
      </c>
    </row>
    <row r="974" spans="1:14" x14ac:dyDescent="0.25">
      <c r="A974">
        <v>575.62714900000003</v>
      </c>
      <c r="B974" s="1">
        <f>DATE(2011,11,27) + TIME(15,3,5)</f>
        <v>40874.627141203702</v>
      </c>
      <c r="C974">
        <v>0</v>
      </c>
      <c r="D974">
        <v>2400</v>
      </c>
      <c r="E974">
        <v>2400</v>
      </c>
      <c r="F974">
        <v>0</v>
      </c>
      <c r="G974">
        <v>1300.6931152</v>
      </c>
      <c r="H974">
        <v>1288.1944579999999</v>
      </c>
      <c r="I974">
        <v>1397.6929932</v>
      </c>
      <c r="J974">
        <v>1377.8522949000001</v>
      </c>
      <c r="K974">
        <v>80</v>
      </c>
      <c r="L974">
        <v>75.667549132999994</v>
      </c>
      <c r="M974">
        <v>50</v>
      </c>
      <c r="N974">
        <v>49.952354431000003</v>
      </c>
    </row>
    <row r="975" spans="1:14" x14ac:dyDescent="0.25">
      <c r="A975">
        <v>576.80078600000002</v>
      </c>
      <c r="B975" s="1">
        <f>DATE(2011,11,28) + TIME(19,13,7)</f>
        <v>40875.800775462965</v>
      </c>
      <c r="C975">
        <v>0</v>
      </c>
      <c r="D975">
        <v>2400</v>
      </c>
      <c r="E975">
        <v>2400</v>
      </c>
      <c r="F975">
        <v>0</v>
      </c>
      <c r="G975">
        <v>1300.6315918</v>
      </c>
      <c r="H975">
        <v>1288.121582</v>
      </c>
      <c r="I975">
        <v>1397.6157227000001</v>
      </c>
      <c r="J975">
        <v>1377.7833252</v>
      </c>
      <c r="K975">
        <v>80</v>
      </c>
      <c r="L975">
        <v>75.521186829000001</v>
      </c>
      <c r="M975">
        <v>50</v>
      </c>
      <c r="N975">
        <v>49.952423095999997</v>
      </c>
    </row>
    <row r="976" spans="1:14" x14ac:dyDescent="0.25">
      <c r="A976">
        <v>578.02401899999995</v>
      </c>
      <c r="B976" s="1">
        <f>DATE(2011,11,30) + TIME(0,34,35)</f>
        <v>40877.024016203701</v>
      </c>
      <c r="C976">
        <v>0</v>
      </c>
      <c r="D976">
        <v>2400</v>
      </c>
      <c r="E976">
        <v>2400</v>
      </c>
      <c r="F976">
        <v>0</v>
      </c>
      <c r="G976">
        <v>1300.5672606999999</v>
      </c>
      <c r="H976">
        <v>1288.0452881000001</v>
      </c>
      <c r="I976">
        <v>1397.5390625</v>
      </c>
      <c r="J976">
        <v>1377.7149658000001</v>
      </c>
      <c r="K976">
        <v>80</v>
      </c>
      <c r="L976">
        <v>75.371871948000006</v>
      </c>
      <c r="M976">
        <v>50</v>
      </c>
      <c r="N976">
        <v>49.952495575</v>
      </c>
    </row>
    <row r="977" spans="1:14" x14ac:dyDescent="0.25">
      <c r="A977">
        <v>579</v>
      </c>
      <c r="B977" s="1">
        <f>DATE(2011,12,1) + TIME(0,0,0)</f>
        <v>40878</v>
      </c>
      <c r="C977">
        <v>0</v>
      </c>
      <c r="D977">
        <v>2400</v>
      </c>
      <c r="E977">
        <v>2400</v>
      </c>
      <c r="F977">
        <v>0</v>
      </c>
      <c r="G977">
        <v>1300.4985352000001</v>
      </c>
      <c r="H977">
        <v>1287.9655762</v>
      </c>
      <c r="I977">
        <v>1397.4622803</v>
      </c>
      <c r="J977">
        <v>1377.6464844</v>
      </c>
      <c r="K977">
        <v>80</v>
      </c>
      <c r="L977">
        <v>75.235992432000003</v>
      </c>
      <c r="M977">
        <v>50</v>
      </c>
      <c r="N977">
        <v>49.952548981</v>
      </c>
    </row>
    <row r="978" spans="1:14" x14ac:dyDescent="0.25">
      <c r="A978">
        <v>580.28327200000001</v>
      </c>
      <c r="B978" s="1">
        <f>DATE(2011,12,2) + TIME(6,47,54)</f>
        <v>40879.283263888887</v>
      </c>
      <c r="C978">
        <v>0</v>
      </c>
      <c r="D978">
        <v>2400</v>
      </c>
      <c r="E978">
        <v>2400</v>
      </c>
      <c r="F978">
        <v>0</v>
      </c>
      <c r="G978">
        <v>1300.4442139</v>
      </c>
      <c r="H978">
        <v>1287.8979492000001</v>
      </c>
      <c r="I978">
        <v>1397.4036865</v>
      </c>
      <c r="J978">
        <v>1377.5943603999999</v>
      </c>
      <c r="K978">
        <v>80</v>
      </c>
      <c r="L978">
        <v>75.093040466000005</v>
      </c>
      <c r="M978">
        <v>50</v>
      </c>
      <c r="N978">
        <v>49.952629088999998</v>
      </c>
    </row>
    <row r="979" spans="1:14" x14ac:dyDescent="0.25">
      <c r="A979">
        <v>581.60426800000005</v>
      </c>
      <c r="B979" s="1">
        <f>DATE(2011,12,3) + TIME(14,30,8)</f>
        <v>40880.604259259257</v>
      </c>
      <c r="C979">
        <v>0</v>
      </c>
      <c r="D979">
        <v>2400</v>
      </c>
      <c r="E979">
        <v>2400</v>
      </c>
      <c r="F979">
        <v>0</v>
      </c>
      <c r="G979">
        <v>1300.3714600000001</v>
      </c>
      <c r="H979">
        <v>1287.8116454999999</v>
      </c>
      <c r="I979">
        <v>1397.3289795000001</v>
      </c>
      <c r="J979">
        <v>1377.527832</v>
      </c>
      <c r="K979">
        <v>80</v>
      </c>
      <c r="L979">
        <v>74.941795349000003</v>
      </c>
      <c r="M979">
        <v>50</v>
      </c>
      <c r="N979">
        <v>49.952705383000001</v>
      </c>
    </row>
    <row r="980" spans="1:14" x14ac:dyDescent="0.25">
      <c r="A980">
        <v>582.95574999999997</v>
      </c>
      <c r="B980" s="1">
        <f>DATE(2011,12,4) + TIME(22,56,16)</f>
        <v>40881.955740740741</v>
      </c>
      <c r="C980">
        <v>0</v>
      </c>
      <c r="D980">
        <v>2400</v>
      </c>
      <c r="E980">
        <v>2400</v>
      </c>
      <c r="F980">
        <v>0</v>
      </c>
      <c r="G980">
        <v>1300.2952881000001</v>
      </c>
      <c r="H980">
        <v>1287.7205810999999</v>
      </c>
      <c r="I980">
        <v>1397.2551269999999</v>
      </c>
      <c r="J980">
        <v>1377.4621582</v>
      </c>
      <c r="K980">
        <v>80</v>
      </c>
      <c r="L980">
        <v>74.786254882999998</v>
      </c>
      <c r="M980">
        <v>50</v>
      </c>
      <c r="N980">
        <v>49.952785491999997</v>
      </c>
    </row>
    <row r="981" spans="1:14" x14ac:dyDescent="0.25">
      <c r="A981">
        <v>584.35044400000004</v>
      </c>
      <c r="B981" s="1">
        <f>DATE(2011,12,6) + TIME(8,24,38)</f>
        <v>40883.350439814814</v>
      </c>
      <c r="C981">
        <v>0</v>
      </c>
      <c r="D981">
        <v>2400</v>
      </c>
      <c r="E981">
        <v>2400</v>
      </c>
      <c r="F981">
        <v>0</v>
      </c>
      <c r="G981">
        <v>1300.2161865</v>
      </c>
      <c r="H981">
        <v>1287.6254882999999</v>
      </c>
      <c r="I981">
        <v>1397.1823730000001</v>
      </c>
      <c r="J981">
        <v>1377.3975829999999</v>
      </c>
      <c r="K981">
        <v>80</v>
      </c>
      <c r="L981">
        <v>74.627822875999996</v>
      </c>
      <c r="M981">
        <v>50</v>
      </c>
      <c r="N981">
        <v>49.952869415000002</v>
      </c>
    </row>
    <row r="982" spans="1:14" x14ac:dyDescent="0.25">
      <c r="A982">
        <v>585.79312600000003</v>
      </c>
      <c r="B982" s="1">
        <f>DATE(2011,12,7) + TIME(19,2,6)</f>
        <v>40884.793124999997</v>
      </c>
      <c r="C982">
        <v>0</v>
      </c>
      <c r="D982">
        <v>2400</v>
      </c>
      <c r="E982">
        <v>2400</v>
      </c>
      <c r="F982">
        <v>0</v>
      </c>
      <c r="G982">
        <v>1300.1333007999999</v>
      </c>
      <c r="H982">
        <v>1287.5253906</v>
      </c>
      <c r="I982">
        <v>1397.1103516000001</v>
      </c>
      <c r="J982">
        <v>1377.3334961</v>
      </c>
      <c r="K982">
        <v>80</v>
      </c>
      <c r="L982">
        <v>74.466590881000002</v>
      </c>
      <c r="M982">
        <v>50</v>
      </c>
      <c r="N982">
        <v>49.952953338999997</v>
      </c>
    </row>
    <row r="983" spans="1:14" x14ac:dyDescent="0.25">
      <c r="A983">
        <v>587.30031799999995</v>
      </c>
      <c r="B983" s="1">
        <f>DATE(2011,12,9) + TIME(7,12,27)</f>
        <v>40886.300312500003</v>
      </c>
      <c r="C983">
        <v>0</v>
      </c>
      <c r="D983">
        <v>2400</v>
      </c>
      <c r="E983">
        <v>2400</v>
      </c>
      <c r="F983">
        <v>0</v>
      </c>
      <c r="G983">
        <v>1300.0461425999999</v>
      </c>
      <c r="H983">
        <v>1287.4197998</v>
      </c>
      <c r="I983">
        <v>1397.0385742000001</v>
      </c>
      <c r="J983">
        <v>1377.2697754000001</v>
      </c>
      <c r="K983">
        <v>80</v>
      </c>
      <c r="L983">
        <v>74.301902771000002</v>
      </c>
      <c r="M983">
        <v>50</v>
      </c>
      <c r="N983">
        <v>49.953041077000002</v>
      </c>
    </row>
    <row r="984" spans="1:14" x14ac:dyDescent="0.25">
      <c r="A984">
        <v>588.85026600000003</v>
      </c>
      <c r="B984" s="1">
        <f>DATE(2011,12,10) + TIME(20,24,22)</f>
        <v>40887.850254629629</v>
      </c>
      <c r="C984">
        <v>0</v>
      </c>
      <c r="D984">
        <v>2400</v>
      </c>
      <c r="E984">
        <v>2400</v>
      </c>
      <c r="F984">
        <v>0</v>
      </c>
      <c r="G984">
        <v>1299.9534911999999</v>
      </c>
      <c r="H984">
        <v>1287.307251</v>
      </c>
      <c r="I984">
        <v>1396.9664307</v>
      </c>
      <c r="J984">
        <v>1377.2056885</v>
      </c>
      <c r="K984">
        <v>80</v>
      </c>
      <c r="L984">
        <v>74.134025574000006</v>
      </c>
      <c r="M984">
        <v>50</v>
      </c>
      <c r="N984">
        <v>49.953132629000002</v>
      </c>
    </row>
    <row r="985" spans="1:14" x14ac:dyDescent="0.25">
      <c r="A985">
        <v>590.41688699999997</v>
      </c>
      <c r="B985" s="1">
        <f>DATE(2011,12,12) + TIME(10,0,19)</f>
        <v>40889.416886574072</v>
      </c>
      <c r="C985">
        <v>0</v>
      </c>
      <c r="D985">
        <v>2400</v>
      </c>
      <c r="E985">
        <v>2400</v>
      </c>
      <c r="F985">
        <v>0</v>
      </c>
      <c r="G985">
        <v>1299.8564452999999</v>
      </c>
      <c r="H985">
        <v>1287.1889647999999</v>
      </c>
      <c r="I985">
        <v>1396.8950195</v>
      </c>
      <c r="J985">
        <v>1377.1423339999999</v>
      </c>
      <c r="K985">
        <v>80</v>
      </c>
      <c r="L985">
        <v>73.964790343999994</v>
      </c>
      <c r="M985">
        <v>50</v>
      </c>
      <c r="N985">
        <v>49.953227996999999</v>
      </c>
    </row>
    <row r="986" spans="1:14" x14ac:dyDescent="0.25">
      <c r="A986">
        <v>592.016437</v>
      </c>
      <c r="B986" s="1">
        <f>DATE(2011,12,14) + TIME(0,23,40)</f>
        <v>40891.016435185185</v>
      </c>
      <c r="C986">
        <v>0</v>
      </c>
      <c r="D986">
        <v>2400</v>
      </c>
      <c r="E986">
        <v>2400</v>
      </c>
      <c r="F986">
        <v>0</v>
      </c>
      <c r="G986">
        <v>1299.7564697</v>
      </c>
      <c r="H986">
        <v>1287.0662841999999</v>
      </c>
      <c r="I986">
        <v>1396.8255615</v>
      </c>
      <c r="J986">
        <v>1377.0806885</v>
      </c>
      <c r="K986">
        <v>80</v>
      </c>
      <c r="L986">
        <v>73.795043945000003</v>
      </c>
      <c r="M986">
        <v>50</v>
      </c>
      <c r="N986">
        <v>49.953319550000003</v>
      </c>
    </row>
    <row r="987" spans="1:14" x14ac:dyDescent="0.25">
      <c r="A987">
        <v>593.65075400000001</v>
      </c>
      <c r="B987" s="1">
        <f>DATE(2011,12,15) + TIME(15,37,5)</f>
        <v>40892.650752314818</v>
      </c>
      <c r="C987">
        <v>0</v>
      </c>
      <c r="D987">
        <v>2400</v>
      </c>
      <c r="E987">
        <v>2400</v>
      </c>
      <c r="F987">
        <v>0</v>
      </c>
      <c r="G987">
        <v>1299.6523437999999</v>
      </c>
      <c r="H987">
        <v>1286.9382324000001</v>
      </c>
      <c r="I987">
        <v>1396.7572021000001</v>
      </c>
      <c r="J987">
        <v>1377.0200195</v>
      </c>
      <c r="K987">
        <v>80</v>
      </c>
      <c r="L987">
        <v>73.624557495000005</v>
      </c>
      <c r="M987">
        <v>50</v>
      </c>
      <c r="N987">
        <v>49.953418732000003</v>
      </c>
    </row>
    <row r="988" spans="1:14" x14ac:dyDescent="0.25">
      <c r="A988">
        <v>595.32830000000001</v>
      </c>
      <c r="B988" s="1">
        <f>DATE(2011,12,17) + TIME(7,52,45)</f>
        <v>40894.328298611108</v>
      </c>
      <c r="C988">
        <v>0</v>
      </c>
      <c r="D988">
        <v>2400</v>
      </c>
      <c r="E988">
        <v>2400</v>
      </c>
      <c r="F988">
        <v>0</v>
      </c>
      <c r="G988">
        <v>1299.5438231999999</v>
      </c>
      <c r="H988">
        <v>1286.8040771000001</v>
      </c>
      <c r="I988">
        <v>1396.6899414</v>
      </c>
      <c r="J988">
        <v>1376.9603271000001</v>
      </c>
      <c r="K988">
        <v>80</v>
      </c>
      <c r="L988">
        <v>73.452926636000001</v>
      </c>
      <c r="M988">
        <v>50</v>
      </c>
      <c r="N988">
        <v>49.953517914000003</v>
      </c>
    </row>
    <row r="989" spans="1:14" x14ac:dyDescent="0.25">
      <c r="A989">
        <v>597.065698</v>
      </c>
      <c r="B989" s="1">
        <f>DATE(2011,12,19) + TIME(1,34,36)</f>
        <v>40896.065694444442</v>
      </c>
      <c r="C989">
        <v>0</v>
      </c>
      <c r="D989">
        <v>2400</v>
      </c>
      <c r="E989">
        <v>2400</v>
      </c>
      <c r="F989">
        <v>0</v>
      </c>
      <c r="G989">
        <v>1299.4302978999999</v>
      </c>
      <c r="H989">
        <v>1286.6630858999999</v>
      </c>
      <c r="I989">
        <v>1396.6231689000001</v>
      </c>
      <c r="J989">
        <v>1376.9011230000001</v>
      </c>
      <c r="K989">
        <v>80</v>
      </c>
      <c r="L989">
        <v>73.279197693</v>
      </c>
      <c r="M989">
        <v>50</v>
      </c>
      <c r="N989">
        <v>49.953620911000002</v>
      </c>
    </row>
    <row r="990" spans="1:14" x14ac:dyDescent="0.25">
      <c r="A990">
        <v>598.87671399999999</v>
      </c>
      <c r="B990" s="1">
        <f>DATE(2011,12,20) + TIME(21,2,28)</f>
        <v>40897.876712962963</v>
      </c>
      <c r="C990">
        <v>0</v>
      </c>
      <c r="D990">
        <v>2400</v>
      </c>
      <c r="E990">
        <v>2400</v>
      </c>
      <c r="F990">
        <v>0</v>
      </c>
      <c r="G990">
        <v>1299.3101807</v>
      </c>
      <c r="H990">
        <v>1286.5133057</v>
      </c>
      <c r="I990">
        <v>1396.5565185999999</v>
      </c>
      <c r="J990">
        <v>1376.8420410000001</v>
      </c>
      <c r="K990">
        <v>80</v>
      </c>
      <c r="L990">
        <v>73.102149963000002</v>
      </c>
      <c r="M990">
        <v>50</v>
      </c>
      <c r="N990">
        <v>49.953727721999996</v>
      </c>
    </row>
    <row r="991" spans="1:14" x14ac:dyDescent="0.25">
      <c r="A991">
        <v>600.69144700000004</v>
      </c>
      <c r="B991" s="1">
        <f>DATE(2011,12,22) + TIME(16,35,41)</f>
        <v>40899.691446759258</v>
      </c>
      <c r="C991">
        <v>0</v>
      </c>
      <c r="D991">
        <v>2400</v>
      </c>
      <c r="E991">
        <v>2400</v>
      </c>
      <c r="F991">
        <v>0</v>
      </c>
      <c r="G991">
        <v>1299.1823730000001</v>
      </c>
      <c r="H991">
        <v>1286.3536377</v>
      </c>
      <c r="I991">
        <v>1396.4893798999999</v>
      </c>
      <c r="J991">
        <v>1376.7824707</v>
      </c>
      <c r="K991">
        <v>80</v>
      </c>
      <c r="L991">
        <v>72.923187256000006</v>
      </c>
      <c r="M991">
        <v>50</v>
      </c>
      <c r="N991">
        <v>49.953834534000002</v>
      </c>
    </row>
    <row r="992" spans="1:14" x14ac:dyDescent="0.25">
      <c r="A992">
        <v>602.52673600000003</v>
      </c>
      <c r="B992" s="1">
        <f>DATE(2011,12,24) + TIME(12,38,30)</f>
        <v>40901.526736111111</v>
      </c>
      <c r="C992">
        <v>0</v>
      </c>
      <c r="D992">
        <v>2400</v>
      </c>
      <c r="E992">
        <v>2400</v>
      </c>
      <c r="F992">
        <v>0</v>
      </c>
      <c r="G992">
        <v>1299.0511475000001</v>
      </c>
      <c r="H992">
        <v>1286.1887207</v>
      </c>
      <c r="I992">
        <v>1396.4245605000001</v>
      </c>
      <c r="J992">
        <v>1376.7249756000001</v>
      </c>
      <c r="K992">
        <v>80</v>
      </c>
      <c r="L992">
        <v>72.744613646999994</v>
      </c>
      <c r="M992">
        <v>50</v>
      </c>
      <c r="N992">
        <v>49.953941344999997</v>
      </c>
    </row>
    <row r="993" spans="1:14" x14ac:dyDescent="0.25">
      <c r="A993">
        <v>604.39973499999996</v>
      </c>
      <c r="B993" s="1">
        <f>DATE(2011,12,26) + TIME(9,35,37)</f>
        <v>40903.399733796294</v>
      </c>
      <c r="C993">
        <v>0</v>
      </c>
      <c r="D993">
        <v>2400</v>
      </c>
      <c r="E993">
        <v>2400</v>
      </c>
      <c r="F993">
        <v>0</v>
      </c>
      <c r="G993">
        <v>1298.9154053</v>
      </c>
      <c r="H993">
        <v>1286.0172118999999</v>
      </c>
      <c r="I993">
        <v>1396.3610839999999</v>
      </c>
      <c r="J993">
        <v>1376.6685791</v>
      </c>
      <c r="K993">
        <v>80</v>
      </c>
      <c r="L993">
        <v>72.566009520999998</v>
      </c>
      <c r="M993">
        <v>50</v>
      </c>
      <c r="N993">
        <v>49.954048157000003</v>
      </c>
    </row>
    <row r="994" spans="1:14" x14ac:dyDescent="0.25">
      <c r="A994">
        <v>606.32827199999997</v>
      </c>
      <c r="B994" s="1">
        <f>DATE(2011,12,28) + TIME(7,52,42)</f>
        <v>40905.328263888892</v>
      </c>
      <c r="C994">
        <v>0</v>
      </c>
      <c r="D994">
        <v>2400</v>
      </c>
      <c r="E994">
        <v>2400</v>
      </c>
      <c r="F994">
        <v>0</v>
      </c>
      <c r="G994">
        <v>1298.7739257999999</v>
      </c>
      <c r="H994">
        <v>1285.8376464999999</v>
      </c>
      <c r="I994">
        <v>1396.2984618999999</v>
      </c>
      <c r="J994">
        <v>1376.6130370999999</v>
      </c>
      <c r="K994">
        <v>80</v>
      </c>
      <c r="L994">
        <v>72.38609314</v>
      </c>
      <c r="M994">
        <v>50</v>
      </c>
      <c r="N994">
        <v>49.954162598000003</v>
      </c>
    </row>
    <row r="995" spans="1:14" x14ac:dyDescent="0.25">
      <c r="A995">
        <v>608.33198200000004</v>
      </c>
      <c r="B995" s="1">
        <f>DATE(2011,12,30) + TIME(7,58,3)</f>
        <v>40907.331979166665</v>
      </c>
      <c r="C995">
        <v>0</v>
      </c>
      <c r="D995">
        <v>2400</v>
      </c>
      <c r="E995">
        <v>2400</v>
      </c>
      <c r="F995">
        <v>0</v>
      </c>
      <c r="G995">
        <v>1298.6248779</v>
      </c>
      <c r="H995">
        <v>1285.6477050999999</v>
      </c>
      <c r="I995">
        <v>1396.2360839999999</v>
      </c>
      <c r="J995">
        <v>1376.5577393000001</v>
      </c>
      <c r="K995">
        <v>80</v>
      </c>
      <c r="L995">
        <v>72.203292847</v>
      </c>
      <c r="M995">
        <v>50</v>
      </c>
      <c r="N995">
        <v>49.954277038999997</v>
      </c>
    </row>
    <row r="996" spans="1:14" x14ac:dyDescent="0.25">
      <c r="A996">
        <v>610</v>
      </c>
      <c r="B996" s="1">
        <f>DATE(2012,1,1) + TIME(0,0,0)</f>
        <v>40909</v>
      </c>
      <c r="C996">
        <v>0</v>
      </c>
      <c r="D996">
        <v>2400</v>
      </c>
      <c r="E996">
        <v>2400</v>
      </c>
      <c r="F996">
        <v>0</v>
      </c>
      <c r="G996">
        <v>1298.4667969</v>
      </c>
      <c r="H996">
        <v>1285.4476318</v>
      </c>
      <c r="I996">
        <v>1396.1730957</v>
      </c>
      <c r="J996">
        <v>1376.5018310999999</v>
      </c>
      <c r="K996">
        <v>80</v>
      </c>
      <c r="L996">
        <v>72.029205321999996</v>
      </c>
      <c r="M996">
        <v>50</v>
      </c>
      <c r="N996">
        <v>49.954372405999997</v>
      </c>
    </row>
    <row r="997" spans="1:14" x14ac:dyDescent="0.25">
      <c r="A997">
        <v>612.05854299999999</v>
      </c>
      <c r="B997" s="1">
        <f>DATE(2012,1,3) + TIME(1,24,18)</f>
        <v>40911.058541666665</v>
      </c>
      <c r="C997">
        <v>0</v>
      </c>
      <c r="D997">
        <v>2400</v>
      </c>
      <c r="E997">
        <v>2400</v>
      </c>
      <c r="F997">
        <v>0</v>
      </c>
      <c r="G997">
        <v>1298.3297118999999</v>
      </c>
      <c r="H997">
        <v>1285.2680664</v>
      </c>
      <c r="I997">
        <v>1396.1228027</v>
      </c>
      <c r="J997">
        <v>1376.4570312000001</v>
      </c>
      <c r="K997">
        <v>80</v>
      </c>
      <c r="L997">
        <v>71.857658385999997</v>
      </c>
      <c r="M997">
        <v>50</v>
      </c>
      <c r="N997">
        <v>49.954494476000001</v>
      </c>
    </row>
    <row r="998" spans="1:14" x14ac:dyDescent="0.25">
      <c r="A998">
        <v>614.15304000000003</v>
      </c>
      <c r="B998" s="1">
        <f>DATE(2012,1,5) + TIME(3,40,22)</f>
        <v>40913.153032407405</v>
      </c>
      <c r="C998">
        <v>0</v>
      </c>
      <c r="D998">
        <v>2400</v>
      </c>
      <c r="E998">
        <v>2400</v>
      </c>
      <c r="F998">
        <v>0</v>
      </c>
      <c r="G998">
        <v>1298.1610106999999</v>
      </c>
      <c r="H998">
        <v>1285.0515137</v>
      </c>
      <c r="I998">
        <v>1396.0620117000001</v>
      </c>
      <c r="J998">
        <v>1376.4030762</v>
      </c>
      <c r="K998">
        <v>80</v>
      </c>
      <c r="L998">
        <v>71.674400329999997</v>
      </c>
      <c r="M998">
        <v>50</v>
      </c>
      <c r="N998">
        <v>49.954612732000001</v>
      </c>
    </row>
    <row r="999" spans="1:14" x14ac:dyDescent="0.25">
      <c r="A999">
        <v>616.29371300000003</v>
      </c>
      <c r="B999" s="1">
        <f>DATE(2012,1,7) + TIME(7,2,56)</f>
        <v>40915.293703703705</v>
      </c>
      <c r="C999">
        <v>0</v>
      </c>
      <c r="D999">
        <v>2400</v>
      </c>
      <c r="E999">
        <v>2400</v>
      </c>
      <c r="F999">
        <v>0</v>
      </c>
      <c r="G999">
        <v>1297.9841309000001</v>
      </c>
      <c r="H999">
        <v>1284.8227539</v>
      </c>
      <c r="I999">
        <v>1396.0020752</v>
      </c>
      <c r="J999">
        <v>1376.3498535000001</v>
      </c>
      <c r="K999">
        <v>80</v>
      </c>
      <c r="L999">
        <v>71.486389160000002</v>
      </c>
      <c r="M999">
        <v>50</v>
      </c>
      <c r="N999">
        <v>49.954738616999997</v>
      </c>
    </row>
    <row r="1000" spans="1:14" x14ac:dyDescent="0.25">
      <c r="A1000">
        <v>618.50136399999997</v>
      </c>
      <c r="B1000" s="1">
        <f>DATE(2012,1,9) + TIME(12,1,57)</f>
        <v>40917.501354166663</v>
      </c>
      <c r="C1000">
        <v>0</v>
      </c>
      <c r="D1000">
        <v>2400</v>
      </c>
      <c r="E1000">
        <v>2400</v>
      </c>
      <c r="F1000">
        <v>0</v>
      </c>
      <c r="G1000">
        <v>1297.7989502</v>
      </c>
      <c r="H1000">
        <v>1284.5817870999999</v>
      </c>
      <c r="I1000">
        <v>1395.942749</v>
      </c>
      <c r="J1000">
        <v>1376.2971190999999</v>
      </c>
      <c r="K1000">
        <v>80</v>
      </c>
      <c r="L1000">
        <v>71.294715881000002</v>
      </c>
      <c r="M1000">
        <v>50</v>
      </c>
      <c r="N1000">
        <v>49.954864502</v>
      </c>
    </row>
    <row r="1001" spans="1:14" x14ac:dyDescent="0.25">
      <c r="A1001">
        <v>620.73225100000002</v>
      </c>
      <c r="B1001" s="1">
        <f>DATE(2012,1,11) + TIME(17,34,26)</f>
        <v>40919.732245370367</v>
      </c>
      <c r="C1001">
        <v>0</v>
      </c>
      <c r="D1001">
        <v>2400</v>
      </c>
      <c r="E1001">
        <v>2400</v>
      </c>
      <c r="F1001">
        <v>0</v>
      </c>
      <c r="G1001">
        <v>1297.6032714999999</v>
      </c>
      <c r="H1001">
        <v>1284.3265381000001</v>
      </c>
      <c r="I1001">
        <v>1395.8834228999999</v>
      </c>
      <c r="J1001">
        <v>1376.2442627</v>
      </c>
      <c r="K1001">
        <v>80</v>
      </c>
      <c r="L1001">
        <v>71.099876404</v>
      </c>
      <c r="M1001">
        <v>50</v>
      </c>
      <c r="N1001">
        <v>49.954990387000002</v>
      </c>
    </row>
    <row r="1002" spans="1:14" x14ac:dyDescent="0.25">
      <c r="A1002">
        <v>622.98497899999995</v>
      </c>
      <c r="B1002" s="1">
        <f>DATE(2012,1,13) + TIME(23,38,22)</f>
        <v>40921.984976851854</v>
      </c>
      <c r="C1002">
        <v>0</v>
      </c>
      <c r="D1002">
        <v>2400</v>
      </c>
      <c r="E1002">
        <v>2400</v>
      </c>
      <c r="F1002">
        <v>0</v>
      </c>
      <c r="G1002">
        <v>1297.4006348</v>
      </c>
      <c r="H1002">
        <v>1284.0606689000001</v>
      </c>
      <c r="I1002">
        <v>1395.8251952999999</v>
      </c>
      <c r="J1002">
        <v>1376.1925048999999</v>
      </c>
      <c r="K1002">
        <v>80</v>
      </c>
      <c r="L1002">
        <v>70.903541564999998</v>
      </c>
      <c r="M1002">
        <v>50</v>
      </c>
      <c r="N1002">
        <v>49.955116271999998</v>
      </c>
    </row>
    <row r="1003" spans="1:14" x14ac:dyDescent="0.25">
      <c r="A1003">
        <v>625.26392099999998</v>
      </c>
      <c r="B1003" s="1">
        <f>DATE(2012,1,16) + TIME(6,20,2)</f>
        <v>40924.263912037037</v>
      </c>
      <c r="C1003">
        <v>0</v>
      </c>
      <c r="D1003">
        <v>2400</v>
      </c>
      <c r="E1003">
        <v>2400</v>
      </c>
      <c r="F1003">
        <v>0</v>
      </c>
      <c r="G1003">
        <v>1297.1910399999999</v>
      </c>
      <c r="H1003">
        <v>1283.7843018000001</v>
      </c>
      <c r="I1003">
        <v>1395.7681885</v>
      </c>
      <c r="J1003">
        <v>1376.1417236</v>
      </c>
      <c r="K1003">
        <v>80</v>
      </c>
      <c r="L1003">
        <v>70.705924988000007</v>
      </c>
      <c r="M1003">
        <v>50</v>
      </c>
      <c r="N1003">
        <v>49.955242157000001</v>
      </c>
    </row>
    <row r="1004" spans="1:14" x14ac:dyDescent="0.25">
      <c r="A1004">
        <v>627.57341399999996</v>
      </c>
      <c r="B1004" s="1">
        <f>DATE(2012,1,18) + TIME(13,45,43)</f>
        <v>40926.573414351849</v>
      </c>
      <c r="C1004">
        <v>0</v>
      </c>
      <c r="D1004">
        <v>2400</v>
      </c>
      <c r="E1004">
        <v>2400</v>
      </c>
      <c r="F1004">
        <v>0</v>
      </c>
      <c r="G1004">
        <v>1296.9738769999999</v>
      </c>
      <c r="H1004">
        <v>1283.4970702999999</v>
      </c>
      <c r="I1004">
        <v>1395.7120361</v>
      </c>
      <c r="J1004">
        <v>1376.0917969</v>
      </c>
      <c r="K1004">
        <v>80</v>
      </c>
      <c r="L1004">
        <v>70.506568908999995</v>
      </c>
      <c r="M1004">
        <v>50</v>
      </c>
      <c r="N1004">
        <v>49.955371857000003</v>
      </c>
    </row>
    <row r="1005" spans="1:14" x14ac:dyDescent="0.25">
      <c r="A1005">
        <v>629.90464699999995</v>
      </c>
      <c r="B1005" s="1">
        <f>DATE(2012,1,20) + TIME(21,42,41)</f>
        <v>40928.904641203706</v>
      </c>
      <c r="C1005">
        <v>0</v>
      </c>
      <c r="D1005">
        <v>2400</v>
      </c>
      <c r="E1005">
        <v>2400</v>
      </c>
      <c r="F1005">
        <v>0</v>
      </c>
      <c r="G1005">
        <v>1296.7489014</v>
      </c>
      <c r="H1005">
        <v>1283.1981201000001</v>
      </c>
      <c r="I1005">
        <v>1395.6568603999999</v>
      </c>
      <c r="J1005">
        <v>1376.0424805</v>
      </c>
      <c r="K1005">
        <v>80</v>
      </c>
      <c r="L1005">
        <v>70.305145264000004</v>
      </c>
      <c r="M1005">
        <v>50</v>
      </c>
      <c r="N1005">
        <v>49.955501556000002</v>
      </c>
    </row>
    <row r="1006" spans="1:14" x14ac:dyDescent="0.25">
      <c r="A1006">
        <v>632.26182900000003</v>
      </c>
      <c r="B1006" s="1">
        <f>DATE(2012,1,23) + TIME(6,17,2)</f>
        <v>40931.261828703704</v>
      </c>
      <c r="C1006">
        <v>0</v>
      </c>
      <c r="D1006">
        <v>2400</v>
      </c>
      <c r="E1006">
        <v>2400</v>
      </c>
      <c r="F1006">
        <v>0</v>
      </c>
      <c r="G1006">
        <v>1296.5164795000001</v>
      </c>
      <c r="H1006">
        <v>1282.8880615</v>
      </c>
      <c r="I1006">
        <v>1395.6026611</v>
      </c>
      <c r="J1006">
        <v>1375.9941406</v>
      </c>
      <c r="K1006">
        <v>80</v>
      </c>
      <c r="L1006">
        <v>70.101600646999998</v>
      </c>
      <c r="M1006">
        <v>50</v>
      </c>
      <c r="N1006">
        <v>49.955631255999997</v>
      </c>
    </row>
    <row r="1007" spans="1:14" x14ac:dyDescent="0.25">
      <c r="A1007">
        <v>634.64928199999997</v>
      </c>
      <c r="B1007" s="1">
        <f>DATE(2012,1,25) + TIME(15,34,57)</f>
        <v>40933.649270833332</v>
      </c>
      <c r="C1007">
        <v>0</v>
      </c>
      <c r="D1007">
        <v>2400</v>
      </c>
      <c r="E1007">
        <v>2400</v>
      </c>
      <c r="F1007">
        <v>0</v>
      </c>
      <c r="G1007">
        <v>1296.2762451000001</v>
      </c>
      <c r="H1007">
        <v>1282.5661620999999</v>
      </c>
      <c r="I1007">
        <v>1395.5491943</v>
      </c>
      <c r="J1007">
        <v>1375.9465332</v>
      </c>
      <c r="K1007">
        <v>80</v>
      </c>
      <c r="L1007">
        <v>69.895271300999994</v>
      </c>
      <c r="M1007">
        <v>50</v>
      </c>
      <c r="N1007">
        <v>49.955760955999999</v>
      </c>
    </row>
    <row r="1008" spans="1:14" x14ac:dyDescent="0.25">
      <c r="A1008">
        <v>637.06378199999995</v>
      </c>
      <c r="B1008" s="1">
        <f>DATE(2012,1,28) + TIME(1,31,50)</f>
        <v>40936.063773148147</v>
      </c>
      <c r="C1008">
        <v>0</v>
      </c>
      <c r="D1008">
        <v>2400</v>
      </c>
      <c r="E1008">
        <v>2400</v>
      </c>
      <c r="F1008">
        <v>0</v>
      </c>
      <c r="G1008">
        <v>1296.0275879000001</v>
      </c>
      <c r="H1008">
        <v>1282.2319336</v>
      </c>
      <c r="I1008">
        <v>1395.4964600000001</v>
      </c>
      <c r="J1008">
        <v>1375.8995361</v>
      </c>
      <c r="K1008">
        <v>80</v>
      </c>
      <c r="L1008">
        <v>69.685424804999997</v>
      </c>
      <c r="M1008">
        <v>50</v>
      </c>
      <c r="N1008">
        <v>49.955890656000001</v>
      </c>
    </row>
    <row r="1009" spans="1:14" x14ac:dyDescent="0.25">
      <c r="A1009">
        <v>639.49579300000005</v>
      </c>
      <c r="B1009" s="1">
        <f>DATE(2012,1,30) + TIME(11,53,56)</f>
        <v>40938.495787037034</v>
      </c>
      <c r="C1009">
        <v>0</v>
      </c>
      <c r="D1009">
        <v>2400</v>
      </c>
      <c r="E1009">
        <v>2400</v>
      </c>
      <c r="F1009">
        <v>0</v>
      </c>
      <c r="G1009">
        <v>1295.7707519999999</v>
      </c>
      <c r="H1009">
        <v>1281.885376</v>
      </c>
      <c r="I1009">
        <v>1395.4445800999999</v>
      </c>
      <c r="J1009">
        <v>1375.8530272999999</v>
      </c>
      <c r="K1009">
        <v>80</v>
      </c>
      <c r="L1009">
        <v>69.472015381000006</v>
      </c>
      <c r="M1009">
        <v>50</v>
      </c>
      <c r="N1009">
        <v>49.956024169999999</v>
      </c>
    </row>
    <row r="1010" spans="1:14" x14ac:dyDescent="0.25">
      <c r="A1010">
        <v>641</v>
      </c>
      <c r="B1010" s="1">
        <f>DATE(2012,2,1) + TIME(0,0,0)</f>
        <v>40940</v>
      </c>
      <c r="C1010">
        <v>0</v>
      </c>
      <c r="D1010">
        <v>2400</v>
      </c>
      <c r="E1010">
        <v>2400</v>
      </c>
      <c r="F1010">
        <v>0</v>
      </c>
      <c r="G1010">
        <v>1295.510376</v>
      </c>
      <c r="H1010">
        <v>1281.5393065999999</v>
      </c>
      <c r="I1010">
        <v>1395.3929443</v>
      </c>
      <c r="J1010">
        <v>1375.8068848</v>
      </c>
      <c r="K1010">
        <v>80</v>
      </c>
      <c r="L1010">
        <v>69.285346985000004</v>
      </c>
      <c r="M1010">
        <v>50</v>
      </c>
      <c r="N1010">
        <v>49.956100464000002</v>
      </c>
    </row>
    <row r="1011" spans="1:14" x14ac:dyDescent="0.25">
      <c r="A1011">
        <v>643.45361800000001</v>
      </c>
      <c r="B1011" s="1">
        <f>DATE(2012,2,3) + TIME(10,53,12)</f>
        <v>40942.453611111108</v>
      </c>
      <c r="C1011">
        <v>0</v>
      </c>
      <c r="D1011">
        <v>2400</v>
      </c>
      <c r="E1011">
        <v>2400</v>
      </c>
      <c r="F1011">
        <v>0</v>
      </c>
      <c r="G1011">
        <v>1295.3311768000001</v>
      </c>
      <c r="H1011">
        <v>1281.2836914</v>
      </c>
      <c r="I1011">
        <v>1395.3625488</v>
      </c>
      <c r="J1011">
        <v>1375.7797852000001</v>
      </c>
      <c r="K1011">
        <v>80</v>
      </c>
      <c r="L1011">
        <v>69.105453491000006</v>
      </c>
      <c r="M1011">
        <v>50</v>
      </c>
      <c r="N1011">
        <v>49.956233978</v>
      </c>
    </row>
    <row r="1012" spans="1:14" x14ac:dyDescent="0.25">
      <c r="A1012">
        <v>645.95282899999995</v>
      </c>
      <c r="B1012" s="1">
        <f>DATE(2012,2,5) + TIME(22,52,4)</f>
        <v>40944.952824074076</v>
      </c>
      <c r="C1012">
        <v>0</v>
      </c>
      <c r="D1012">
        <v>2400</v>
      </c>
      <c r="E1012">
        <v>2400</v>
      </c>
      <c r="F1012">
        <v>0</v>
      </c>
      <c r="G1012">
        <v>1295.0626221</v>
      </c>
      <c r="H1012">
        <v>1280.9210204999999</v>
      </c>
      <c r="I1012">
        <v>1395.3129882999999</v>
      </c>
      <c r="J1012">
        <v>1375.7353516000001</v>
      </c>
      <c r="K1012">
        <v>80</v>
      </c>
      <c r="L1012">
        <v>68.891761779999996</v>
      </c>
      <c r="M1012">
        <v>50</v>
      </c>
      <c r="N1012">
        <v>49.956367493000002</v>
      </c>
    </row>
    <row r="1013" spans="1:14" x14ac:dyDescent="0.25">
      <c r="A1013">
        <v>648.47944299999995</v>
      </c>
      <c r="B1013" s="1">
        <f>DATE(2012,2,8) + TIME(11,30,23)</f>
        <v>40947.479432870372</v>
      </c>
      <c r="C1013">
        <v>0</v>
      </c>
      <c r="D1013">
        <v>2400</v>
      </c>
      <c r="E1013">
        <v>2400</v>
      </c>
      <c r="F1013">
        <v>0</v>
      </c>
      <c r="G1013">
        <v>1294.7788086</v>
      </c>
      <c r="H1013">
        <v>1280.5338135</v>
      </c>
      <c r="I1013">
        <v>1395.2635498</v>
      </c>
      <c r="J1013">
        <v>1375.6911620999999</v>
      </c>
      <c r="K1013">
        <v>80</v>
      </c>
      <c r="L1013">
        <v>68.664054871000005</v>
      </c>
      <c r="M1013">
        <v>50</v>
      </c>
      <c r="N1013">
        <v>49.956501007</v>
      </c>
    </row>
    <row r="1014" spans="1:14" x14ac:dyDescent="0.25">
      <c r="A1014">
        <v>651.03486899999996</v>
      </c>
      <c r="B1014" s="1">
        <f>DATE(2012,2,11) + TIME(0,50,12)</f>
        <v>40950.034861111111</v>
      </c>
      <c r="C1014">
        <v>0</v>
      </c>
      <c r="D1014">
        <v>2400</v>
      </c>
      <c r="E1014">
        <v>2400</v>
      </c>
      <c r="F1014">
        <v>0</v>
      </c>
      <c r="G1014">
        <v>1294.4852295000001</v>
      </c>
      <c r="H1014">
        <v>1280.1307373</v>
      </c>
      <c r="I1014">
        <v>1395.2147216999999</v>
      </c>
      <c r="J1014">
        <v>1375.6473389</v>
      </c>
      <c r="K1014">
        <v>80</v>
      </c>
      <c r="L1014">
        <v>68.427871703999998</v>
      </c>
      <c r="M1014">
        <v>50</v>
      </c>
      <c r="N1014">
        <v>49.956634520999998</v>
      </c>
    </row>
    <row r="1015" spans="1:14" x14ac:dyDescent="0.25">
      <c r="A1015">
        <v>653.62379999999996</v>
      </c>
      <c r="B1015" s="1">
        <f>DATE(2012,2,13) + TIME(14,58,16)</f>
        <v>40952.623796296299</v>
      </c>
      <c r="C1015">
        <v>0</v>
      </c>
      <c r="D1015">
        <v>2400</v>
      </c>
      <c r="E1015">
        <v>2400</v>
      </c>
      <c r="F1015">
        <v>0</v>
      </c>
      <c r="G1015">
        <v>1294.1824951000001</v>
      </c>
      <c r="H1015">
        <v>1279.713501</v>
      </c>
      <c r="I1015">
        <v>1395.1663818</v>
      </c>
      <c r="J1015">
        <v>1375.6040039</v>
      </c>
      <c r="K1015">
        <v>80</v>
      </c>
      <c r="L1015">
        <v>68.183959960999999</v>
      </c>
      <c r="M1015">
        <v>50</v>
      </c>
      <c r="N1015">
        <v>49.956768036</v>
      </c>
    </row>
    <row r="1016" spans="1:14" x14ac:dyDescent="0.25">
      <c r="A1016">
        <v>656.24298999999996</v>
      </c>
      <c r="B1016" s="1">
        <f>DATE(2012,2,16) + TIME(5,49,54)</f>
        <v>40955.242986111109</v>
      </c>
      <c r="C1016">
        <v>0</v>
      </c>
      <c r="D1016">
        <v>2400</v>
      </c>
      <c r="E1016">
        <v>2400</v>
      </c>
      <c r="F1016">
        <v>0</v>
      </c>
      <c r="G1016">
        <v>1293.8704834</v>
      </c>
      <c r="H1016">
        <v>1279.2817382999999</v>
      </c>
      <c r="I1016">
        <v>1395.1184082</v>
      </c>
      <c r="J1016">
        <v>1375.5610352000001</v>
      </c>
      <c r="K1016">
        <v>80</v>
      </c>
      <c r="L1016">
        <v>67.931861877000003</v>
      </c>
      <c r="M1016">
        <v>50</v>
      </c>
      <c r="N1016">
        <v>49.956901549999998</v>
      </c>
    </row>
    <row r="1017" spans="1:14" x14ac:dyDescent="0.25">
      <c r="A1017">
        <v>658.887473</v>
      </c>
      <c r="B1017" s="1">
        <f>DATE(2012,2,18) + TIME(21,17,57)</f>
        <v>40957.887465277781</v>
      </c>
      <c r="C1017">
        <v>0</v>
      </c>
      <c r="D1017">
        <v>2400</v>
      </c>
      <c r="E1017">
        <v>2400</v>
      </c>
      <c r="F1017">
        <v>0</v>
      </c>
      <c r="G1017">
        <v>1293.5495605000001</v>
      </c>
      <c r="H1017">
        <v>1278.8360596</v>
      </c>
      <c r="I1017">
        <v>1395.0708007999999</v>
      </c>
      <c r="J1017">
        <v>1375.5183105000001</v>
      </c>
      <c r="K1017">
        <v>80</v>
      </c>
      <c r="L1017">
        <v>67.671188353999995</v>
      </c>
      <c r="M1017">
        <v>50</v>
      </c>
      <c r="N1017">
        <v>49.957035064999999</v>
      </c>
    </row>
    <row r="1018" spans="1:14" x14ac:dyDescent="0.25">
      <c r="A1018">
        <v>661.56195700000001</v>
      </c>
      <c r="B1018" s="1">
        <f>DATE(2012,2,21) + TIME(13,29,13)</f>
        <v>40960.561956018515</v>
      </c>
      <c r="C1018">
        <v>0</v>
      </c>
      <c r="D1018">
        <v>2400</v>
      </c>
      <c r="E1018">
        <v>2400</v>
      </c>
      <c r="F1018">
        <v>0</v>
      </c>
      <c r="G1018">
        <v>1293.2202147999999</v>
      </c>
      <c r="H1018">
        <v>1278.3770752</v>
      </c>
      <c r="I1018">
        <v>1395.0236815999999</v>
      </c>
      <c r="J1018">
        <v>1375.4758300999999</v>
      </c>
      <c r="K1018">
        <v>80</v>
      </c>
      <c r="L1018">
        <v>67.401473999000004</v>
      </c>
      <c r="M1018">
        <v>50</v>
      </c>
      <c r="N1018">
        <v>49.957172393999997</v>
      </c>
    </row>
    <row r="1019" spans="1:14" x14ac:dyDescent="0.25">
      <c r="A1019">
        <v>664.26569400000005</v>
      </c>
      <c r="B1019" s="1">
        <f>DATE(2012,2,24) + TIME(6,22,35)</f>
        <v>40963.265682870369</v>
      </c>
      <c r="C1019">
        <v>0</v>
      </c>
      <c r="D1019">
        <v>2400</v>
      </c>
      <c r="E1019">
        <v>2400</v>
      </c>
      <c r="F1019">
        <v>0</v>
      </c>
      <c r="G1019">
        <v>1292.8822021000001</v>
      </c>
      <c r="H1019">
        <v>1277.9040527</v>
      </c>
      <c r="I1019">
        <v>1394.9768065999999</v>
      </c>
      <c r="J1019">
        <v>1375.4337158000001</v>
      </c>
      <c r="K1019">
        <v>80</v>
      </c>
      <c r="L1019">
        <v>67.121803283999995</v>
      </c>
      <c r="M1019">
        <v>50</v>
      </c>
      <c r="N1019">
        <v>49.957305908000002</v>
      </c>
    </row>
    <row r="1020" spans="1:14" x14ac:dyDescent="0.25">
      <c r="A1020">
        <v>667.00368900000001</v>
      </c>
      <c r="B1020" s="1">
        <f>DATE(2012,2,27) + TIME(0,5,18)</f>
        <v>40966.003680555557</v>
      </c>
      <c r="C1020">
        <v>0</v>
      </c>
      <c r="D1020">
        <v>2400</v>
      </c>
      <c r="E1020">
        <v>2400</v>
      </c>
      <c r="F1020">
        <v>0</v>
      </c>
      <c r="G1020">
        <v>1292.5354004000001</v>
      </c>
      <c r="H1020">
        <v>1277.4171143000001</v>
      </c>
      <c r="I1020">
        <v>1394.9302978999999</v>
      </c>
      <c r="J1020">
        <v>1375.3918457</v>
      </c>
      <c r="K1020">
        <v>80</v>
      </c>
      <c r="L1020">
        <v>66.831321716000005</v>
      </c>
      <c r="M1020">
        <v>50</v>
      </c>
      <c r="N1020">
        <v>49.957443237</v>
      </c>
    </row>
    <row r="1021" spans="1:14" x14ac:dyDescent="0.25">
      <c r="A1021">
        <v>669.76954899999998</v>
      </c>
      <c r="B1021" s="1">
        <f>DATE(2012,2,29) + TIME(18,28,9)</f>
        <v>40968.769548611112</v>
      </c>
      <c r="C1021">
        <v>0</v>
      </c>
      <c r="D1021">
        <v>2400</v>
      </c>
      <c r="E1021">
        <v>2400</v>
      </c>
      <c r="F1021">
        <v>0</v>
      </c>
      <c r="G1021">
        <v>1292.1795654</v>
      </c>
      <c r="H1021">
        <v>1276.9156493999999</v>
      </c>
      <c r="I1021">
        <v>1394.8839111</v>
      </c>
      <c r="J1021">
        <v>1375.3500977000001</v>
      </c>
      <c r="K1021">
        <v>80</v>
      </c>
      <c r="L1021">
        <v>66.529113769999995</v>
      </c>
      <c r="M1021">
        <v>50</v>
      </c>
      <c r="N1021">
        <v>49.957580565999997</v>
      </c>
    </row>
    <row r="1022" spans="1:14" x14ac:dyDescent="0.25">
      <c r="A1022">
        <v>670</v>
      </c>
      <c r="B1022" s="1">
        <f>DATE(2012,3,1) + TIME(0,0,0)</f>
        <v>40969</v>
      </c>
      <c r="C1022">
        <v>0</v>
      </c>
      <c r="D1022">
        <v>2400</v>
      </c>
      <c r="E1022">
        <v>2400</v>
      </c>
      <c r="F1022">
        <v>0</v>
      </c>
      <c r="G1022">
        <v>1291.8493652</v>
      </c>
      <c r="H1022">
        <v>1276.5059814000001</v>
      </c>
      <c r="I1022">
        <v>1394.8372803</v>
      </c>
      <c r="J1022">
        <v>1375.3079834</v>
      </c>
      <c r="K1022">
        <v>80</v>
      </c>
      <c r="L1022">
        <v>66.439025878999999</v>
      </c>
      <c r="M1022">
        <v>50</v>
      </c>
      <c r="N1022">
        <v>49.957584380999997</v>
      </c>
    </row>
    <row r="1023" spans="1:14" x14ac:dyDescent="0.25">
      <c r="A1023">
        <v>672.79109800000003</v>
      </c>
      <c r="B1023" s="1">
        <f>DATE(2012,3,3) + TIME(18,59,10)</f>
        <v>40971.791087962964</v>
      </c>
      <c r="C1023">
        <v>0</v>
      </c>
      <c r="D1023">
        <v>2400</v>
      </c>
      <c r="E1023">
        <v>2400</v>
      </c>
      <c r="F1023">
        <v>0</v>
      </c>
      <c r="G1023">
        <v>1291.7740478999999</v>
      </c>
      <c r="H1023">
        <v>1276.3356934000001</v>
      </c>
      <c r="I1023">
        <v>1394.8339844</v>
      </c>
      <c r="J1023">
        <v>1375.3050536999999</v>
      </c>
      <c r="K1023">
        <v>80</v>
      </c>
      <c r="L1023">
        <v>66.173515320000007</v>
      </c>
      <c r="M1023">
        <v>50</v>
      </c>
      <c r="N1023">
        <v>49.957725525000001</v>
      </c>
    </row>
    <row r="1024" spans="1:14" x14ac:dyDescent="0.25">
      <c r="A1024">
        <v>675.61071700000002</v>
      </c>
      <c r="B1024" s="1">
        <f>DATE(2012,3,6) + TIME(14,39,25)</f>
        <v>40974.610706018517</v>
      </c>
      <c r="C1024">
        <v>0</v>
      </c>
      <c r="D1024">
        <v>2400</v>
      </c>
      <c r="E1024">
        <v>2400</v>
      </c>
      <c r="F1024">
        <v>0</v>
      </c>
      <c r="G1024">
        <v>1291.4102783000001</v>
      </c>
      <c r="H1024">
        <v>1275.8233643000001</v>
      </c>
      <c r="I1024">
        <v>1394.7883300999999</v>
      </c>
      <c r="J1024">
        <v>1375.2637939000001</v>
      </c>
      <c r="K1024">
        <v>80</v>
      </c>
      <c r="L1024">
        <v>65.857002257999994</v>
      </c>
      <c r="M1024">
        <v>50</v>
      </c>
      <c r="N1024">
        <v>49.957862853999998</v>
      </c>
    </row>
    <row r="1025" spans="1:14" x14ac:dyDescent="0.25">
      <c r="A1025">
        <v>678.46197600000005</v>
      </c>
      <c r="B1025" s="1">
        <f>DATE(2012,3,9) + TIME(11,5,14)</f>
        <v>40977.461967592593</v>
      </c>
      <c r="C1025">
        <v>0</v>
      </c>
      <c r="D1025">
        <v>2400</v>
      </c>
      <c r="E1025">
        <v>2400</v>
      </c>
      <c r="F1025">
        <v>0</v>
      </c>
      <c r="G1025">
        <v>1291.0318603999999</v>
      </c>
      <c r="H1025">
        <v>1275.2847899999999</v>
      </c>
      <c r="I1025">
        <v>1394.7426757999999</v>
      </c>
      <c r="J1025">
        <v>1375.2225341999999</v>
      </c>
      <c r="K1025">
        <v>80</v>
      </c>
      <c r="L1025">
        <v>65.518218993999994</v>
      </c>
      <c r="M1025">
        <v>50</v>
      </c>
      <c r="N1025">
        <v>49.958000183000003</v>
      </c>
    </row>
    <row r="1026" spans="1:14" x14ac:dyDescent="0.25">
      <c r="A1026">
        <v>681.35039500000005</v>
      </c>
      <c r="B1026" s="1">
        <f>DATE(2012,3,12) + TIME(8,24,34)</f>
        <v>40980.350393518522</v>
      </c>
      <c r="C1026">
        <v>0</v>
      </c>
      <c r="D1026">
        <v>2400</v>
      </c>
      <c r="E1026">
        <v>2400</v>
      </c>
      <c r="F1026">
        <v>0</v>
      </c>
      <c r="G1026">
        <v>1290.644043</v>
      </c>
      <c r="H1026">
        <v>1274.7296143000001</v>
      </c>
      <c r="I1026">
        <v>1394.6971435999999</v>
      </c>
      <c r="J1026">
        <v>1375.1813964999999</v>
      </c>
      <c r="K1026">
        <v>80</v>
      </c>
      <c r="L1026">
        <v>65.162834167</v>
      </c>
      <c r="M1026">
        <v>50</v>
      </c>
      <c r="N1026">
        <v>49.958137512</v>
      </c>
    </row>
    <row r="1027" spans="1:14" x14ac:dyDescent="0.25">
      <c r="A1027">
        <v>684.28144799999995</v>
      </c>
      <c r="B1027" s="1">
        <f>DATE(2012,3,15) + TIME(6,45,17)</f>
        <v>40983.281446759262</v>
      </c>
      <c r="C1027">
        <v>0</v>
      </c>
      <c r="D1027">
        <v>2400</v>
      </c>
      <c r="E1027">
        <v>2400</v>
      </c>
      <c r="F1027">
        <v>0</v>
      </c>
      <c r="G1027">
        <v>1290.2471923999999</v>
      </c>
      <c r="H1027">
        <v>1274.1593018000001</v>
      </c>
      <c r="I1027">
        <v>1394.6516113</v>
      </c>
      <c r="J1027">
        <v>1375.1401367000001</v>
      </c>
      <c r="K1027">
        <v>80</v>
      </c>
      <c r="L1027">
        <v>64.791191100999995</v>
      </c>
      <c r="M1027">
        <v>50</v>
      </c>
      <c r="N1027">
        <v>49.958274840999998</v>
      </c>
    </row>
    <row r="1028" spans="1:14" x14ac:dyDescent="0.25">
      <c r="A1028">
        <v>687.24613299999999</v>
      </c>
      <c r="B1028" s="1">
        <f>DATE(2012,3,18) + TIME(5,54,25)</f>
        <v>40986.246122685188</v>
      </c>
      <c r="C1028">
        <v>0</v>
      </c>
      <c r="D1028">
        <v>2400</v>
      </c>
      <c r="E1028">
        <v>2400</v>
      </c>
      <c r="F1028">
        <v>0</v>
      </c>
      <c r="G1028">
        <v>1289.8413086</v>
      </c>
      <c r="H1028">
        <v>1273.5738524999999</v>
      </c>
      <c r="I1028">
        <v>1394.6058350000001</v>
      </c>
      <c r="J1028">
        <v>1375.0986327999999</v>
      </c>
      <c r="K1028">
        <v>80</v>
      </c>
      <c r="L1028">
        <v>64.402770996000001</v>
      </c>
      <c r="M1028">
        <v>50</v>
      </c>
      <c r="N1028">
        <v>49.958415985000002</v>
      </c>
    </row>
    <row r="1029" spans="1:14" x14ac:dyDescent="0.25">
      <c r="A1029">
        <v>690.24848999999995</v>
      </c>
      <c r="B1029" s="1">
        <f>DATE(2012,3,21) + TIME(5,57,49)</f>
        <v>40989.248483796298</v>
      </c>
      <c r="C1029">
        <v>0</v>
      </c>
      <c r="D1029">
        <v>2400</v>
      </c>
      <c r="E1029">
        <v>2400</v>
      </c>
      <c r="F1029">
        <v>0</v>
      </c>
      <c r="G1029">
        <v>1289.4277344</v>
      </c>
      <c r="H1029">
        <v>1272.9744873</v>
      </c>
      <c r="I1029">
        <v>1394.5600586</v>
      </c>
      <c r="J1029">
        <v>1375.0571289</v>
      </c>
      <c r="K1029">
        <v>80</v>
      </c>
      <c r="L1029">
        <v>63.997486115000001</v>
      </c>
      <c r="M1029">
        <v>50</v>
      </c>
      <c r="N1029">
        <v>49.958553314</v>
      </c>
    </row>
    <row r="1030" spans="1:14" x14ac:dyDescent="0.25">
      <c r="A1030">
        <v>693.28955599999995</v>
      </c>
      <c r="B1030" s="1">
        <f>DATE(2012,3,24) + TIME(6,56,57)</f>
        <v>40992.289548611108</v>
      </c>
      <c r="C1030">
        <v>0</v>
      </c>
      <c r="D1030">
        <v>2400</v>
      </c>
      <c r="E1030">
        <v>2400</v>
      </c>
      <c r="F1030">
        <v>0</v>
      </c>
      <c r="G1030">
        <v>1289.0062256000001</v>
      </c>
      <c r="H1030">
        <v>1272.3614502</v>
      </c>
      <c r="I1030">
        <v>1394.5140381000001</v>
      </c>
      <c r="J1030">
        <v>1375.0153809000001</v>
      </c>
      <c r="K1030">
        <v>80</v>
      </c>
      <c r="L1030">
        <v>63.574703217</v>
      </c>
      <c r="M1030">
        <v>50</v>
      </c>
      <c r="N1030">
        <v>49.958694457999997</v>
      </c>
    </row>
    <row r="1031" spans="1:14" x14ac:dyDescent="0.25">
      <c r="A1031">
        <v>696.36901999999998</v>
      </c>
      <c r="B1031" s="1">
        <f>DATE(2012,3,27) + TIME(8,51,23)</f>
        <v>40995.369016203702</v>
      </c>
      <c r="C1031">
        <v>0</v>
      </c>
      <c r="D1031">
        <v>2400</v>
      </c>
      <c r="E1031">
        <v>2400</v>
      </c>
      <c r="F1031">
        <v>0</v>
      </c>
      <c r="G1031">
        <v>1288.5771483999999</v>
      </c>
      <c r="H1031">
        <v>1271.7347411999999</v>
      </c>
      <c r="I1031">
        <v>1394.4678954999999</v>
      </c>
      <c r="J1031">
        <v>1374.9733887</v>
      </c>
      <c r="K1031">
        <v>80</v>
      </c>
      <c r="L1031">
        <v>63.133899689000003</v>
      </c>
      <c r="M1031">
        <v>50</v>
      </c>
      <c r="N1031">
        <v>49.958831787000001</v>
      </c>
    </row>
    <row r="1032" spans="1:14" x14ac:dyDescent="0.25">
      <c r="A1032">
        <v>699.48508300000003</v>
      </c>
      <c r="B1032" s="1">
        <f>DATE(2012,3,30) + TIME(11,38,31)</f>
        <v>40998.485081018516</v>
      </c>
      <c r="C1032">
        <v>0</v>
      </c>
      <c r="D1032">
        <v>2400</v>
      </c>
      <c r="E1032">
        <v>2400</v>
      </c>
      <c r="F1032">
        <v>0</v>
      </c>
      <c r="G1032">
        <v>1288.1409911999999</v>
      </c>
      <c r="H1032">
        <v>1271.0950928</v>
      </c>
      <c r="I1032">
        <v>1394.4216309000001</v>
      </c>
      <c r="J1032">
        <v>1374.9311522999999</v>
      </c>
      <c r="K1032">
        <v>80</v>
      </c>
      <c r="L1032">
        <v>62.674861907999997</v>
      </c>
      <c r="M1032">
        <v>50</v>
      </c>
      <c r="N1032">
        <v>49.958972930999998</v>
      </c>
    </row>
    <row r="1033" spans="1:14" x14ac:dyDescent="0.25">
      <c r="A1033">
        <v>701</v>
      </c>
      <c r="B1033" s="1">
        <f>DATE(2012,4,1) + TIME(0,0,0)</f>
        <v>41000</v>
      </c>
      <c r="C1033">
        <v>0</v>
      </c>
      <c r="D1033">
        <v>2400</v>
      </c>
      <c r="E1033">
        <v>2400</v>
      </c>
      <c r="F1033">
        <v>0</v>
      </c>
      <c r="G1033">
        <v>1287.7071533000001</v>
      </c>
      <c r="H1033">
        <v>1270.4802245999999</v>
      </c>
      <c r="I1033">
        <v>1394.3742675999999</v>
      </c>
      <c r="J1033">
        <v>1374.8879394999999</v>
      </c>
      <c r="K1033">
        <v>80</v>
      </c>
      <c r="L1033">
        <v>62.280864716000004</v>
      </c>
      <c r="M1033">
        <v>50</v>
      </c>
      <c r="N1033">
        <v>49.959033966</v>
      </c>
    </row>
    <row r="1034" spans="1:14" x14ac:dyDescent="0.25">
      <c r="A1034">
        <v>704.15981199999999</v>
      </c>
      <c r="B1034" s="1">
        <f>DATE(2012,4,4) + TIME(3,50,7)</f>
        <v>41003.159803240742</v>
      </c>
      <c r="C1034">
        <v>0</v>
      </c>
      <c r="D1034">
        <v>2400</v>
      </c>
      <c r="E1034">
        <v>2400</v>
      </c>
      <c r="F1034">
        <v>0</v>
      </c>
      <c r="G1034">
        <v>1287.4633789</v>
      </c>
      <c r="H1034">
        <v>1270.0828856999999</v>
      </c>
      <c r="I1034">
        <v>1394.3524170000001</v>
      </c>
      <c r="J1034">
        <v>1374.8680420000001</v>
      </c>
      <c r="K1034">
        <v>80</v>
      </c>
      <c r="L1034">
        <v>61.927394866999997</v>
      </c>
      <c r="M1034">
        <v>50</v>
      </c>
      <c r="N1034">
        <v>49.959178925000003</v>
      </c>
    </row>
    <row r="1035" spans="1:14" x14ac:dyDescent="0.25">
      <c r="A1035">
        <v>707.398188</v>
      </c>
      <c r="B1035" s="1">
        <f>DATE(2012,4,7) + TIME(9,33,23)</f>
        <v>41006.398182870369</v>
      </c>
      <c r="C1035">
        <v>0</v>
      </c>
      <c r="D1035">
        <v>2400</v>
      </c>
      <c r="E1035">
        <v>2400</v>
      </c>
      <c r="F1035">
        <v>0</v>
      </c>
      <c r="G1035">
        <v>1287.0295410000001</v>
      </c>
      <c r="H1035">
        <v>1269.4495850000001</v>
      </c>
      <c r="I1035">
        <v>1394.3055420000001</v>
      </c>
      <c r="J1035">
        <v>1374.8251952999999</v>
      </c>
      <c r="K1035">
        <v>80</v>
      </c>
      <c r="L1035">
        <v>61.449581146</v>
      </c>
      <c r="M1035">
        <v>50</v>
      </c>
      <c r="N1035">
        <v>49.959320067999997</v>
      </c>
    </row>
    <row r="1036" spans="1:14" x14ac:dyDescent="0.25">
      <c r="A1036">
        <v>710.68059500000004</v>
      </c>
      <c r="B1036" s="1">
        <f>DATE(2012,4,10) + TIME(16,20,3)</f>
        <v>41009.680590277778</v>
      </c>
      <c r="C1036">
        <v>0</v>
      </c>
      <c r="D1036">
        <v>2400</v>
      </c>
      <c r="E1036">
        <v>2400</v>
      </c>
      <c r="F1036">
        <v>0</v>
      </c>
      <c r="G1036">
        <v>1286.5726318</v>
      </c>
      <c r="H1036">
        <v>1268.7717285000001</v>
      </c>
      <c r="I1036">
        <v>1394.2576904</v>
      </c>
      <c r="J1036">
        <v>1374.7813721</v>
      </c>
      <c r="K1036">
        <v>80</v>
      </c>
      <c r="L1036">
        <v>60.928272247000002</v>
      </c>
      <c r="M1036">
        <v>50</v>
      </c>
      <c r="N1036">
        <v>49.959465027</v>
      </c>
    </row>
    <row r="1037" spans="1:14" x14ac:dyDescent="0.25">
      <c r="A1037">
        <v>714.01213700000005</v>
      </c>
      <c r="B1037" s="1">
        <f>DATE(2012,4,14) + TIME(0,17,28)</f>
        <v>41013.012129629627</v>
      </c>
      <c r="C1037">
        <v>0</v>
      </c>
      <c r="D1037">
        <v>2400</v>
      </c>
      <c r="E1037">
        <v>2400</v>
      </c>
      <c r="F1037">
        <v>0</v>
      </c>
      <c r="G1037">
        <v>1286.1074219</v>
      </c>
      <c r="H1037">
        <v>1268.0764160000001</v>
      </c>
      <c r="I1037">
        <v>1394.2094727000001</v>
      </c>
      <c r="J1037">
        <v>1374.7371826000001</v>
      </c>
      <c r="K1037">
        <v>80</v>
      </c>
      <c r="L1037">
        <v>60.383922577</v>
      </c>
      <c r="M1037">
        <v>50</v>
      </c>
      <c r="N1037">
        <v>49.959606170999997</v>
      </c>
    </row>
    <row r="1038" spans="1:14" x14ac:dyDescent="0.25">
      <c r="A1038">
        <v>717.40156400000001</v>
      </c>
      <c r="B1038" s="1">
        <f>DATE(2012,4,17) + TIME(9,38,15)</f>
        <v>41016.401562500003</v>
      </c>
      <c r="C1038">
        <v>0</v>
      </c>
      <c r="D1038">
        <v>2400</v>
      </c>
      <c r="E1038">
        <v>2400</v>
      </c>
      <c r="F1038">
        <v>0</v>
      </c>
      <c r="G1038">
        <v>1285.6361084</v>
      </c>
      <c r="H1038">
        <v>1267.3685303</v>
      </c>
      <c r="I1038">
        <v>1394.1606445</v>
      </c>
      <c r="J1038">
        <v>1374.6923827999999</v>
      </c>
      <c r="K1038">
        <v>80</v>
      </c>
      <c r="L1038">
        <v>59.819015503000003</v>
      </c>
      <c r="M1038">
        <v>50</v>
      </c>
      <c r="N1038">
        <v>49.959751128999997</v>
      </c>
    </row>
    <row r="1039" spans="1:14" x14ac:dyDescent="0.25">
      <c r="A1039">
        <v>720.84309399999995</v>
      </c>
      <c r="B1039" s="1">
        <f>DATE(2012,4,20) + TIME(20,14,3)</f>
        <v>41019.843090277776</v>
      </c>
      <c r="C1039">
        <v>0</v>
      </c>
      <c r="D1039">
        <v>2400</v>
      </c>
      <c r="E1039">
        <v>2400</v>
      </c>
      <c r="F1039">
        <v>0</v>
      </c>
      <c r="G1039">
        <v>1285.1589355000001</v>
      </c>
      <c r="H1039">
        <v>1266.6486815999999</v>
      </c>
      <c r="I1039">
        <v>1394.1112060999999</v>
      </c>
      <c r="J1039">
        <v>1374.6468506000001</v>
      </c>
      <c r="K1039">
        <v>80</v>
      </c>
      <c r="L1039">
        <v>59.233612061000002</v>
      </c>
      <c r="M1039">
        <v>50</v>
      </c>
      <c r="N1039">
        <v>49.959896088000001</v>
      </c>
    </row>
    <row r="1040" spans="1:14" x14ac:dyDescent="0.25">
      <c r="A1040">
        <v>724.33109899999999</v>
      </c>
      <c r="B1040" s="1">
        <f>DATE(2012,4,24) + TIME(7,56,46)</f>
        <v>41023.331087962964</v>
      </c>
      <c r="C1040">
        <v>0</v>
      </c>
      <c r="D1040">
        <v>2400</v>
      </c>
      <c r="E1040">
        <v>2400</v>
      </c>
      <c r="F1040">
        <v>0</v>
      </c>
      <c r="G1040">
        <v>1284.6774902</v>
      </c>
      <c r="H1040">
        <v>1265.9188231999999</v>
      </c>
      <c r="I1040">
        <v>1394.0610352000001</v>
      </c>
      <c r="J1040">
        <v>1374.6005858999999</v>
      </c>
      <c r="K1040">
        <v>80</v>
      </c>
      <c r="L1040">
        <v>58.629764557000001</v>
      </c>
      <c r="M1040">
        <v>50</v>
      </c>
      <c r="N1040">
        <v>49.960041046000001</v>
      </c>
    </row>
    <row r="1041" spans="1:14" x14ac:dyDescent="0.25">
      <c r="A1041">
        <v>727.87409600000001</v>
      </c>
      <c r="B1041" s="1">
        <f>DATE(2012,4,27) + TIME(20,58,41)</f>
        <v>41026.874085648145</v>
      </c>
      <c r="C1041">
        <v>0</v>
      </c>
      <c r="D1041">
        <v>2400</v>
      </c>
      <c r="E1041">
        <v>2400</v>
      </c>
      <c r="F1041">
        <v>0</v>
      </c>
      <c r="G1041">
        <v>1284.1932373</v>
      </c>
      <c r="H1041">
        <v>1265.1813964999999</v>
      </c>
      <c r="I1041">
        <v>1394.0102539</v>
      </c>
      <c r="J1041">
        <v>1374.5537108999999</v>
      </c>
      <c r="K1041">
        <v>80</v>
      </c>
      <c r="L1041">
        <v>58.009056090999998</v>
      </c>
      <c r="M1041">
        <v>50</v>
      </c>
      <c r="N1041">
        <v>49.960186004999997</v>
      </c>
    </row>
    <row r="1042" spans="1:14" x14ac:dyDescent="0.25">
      <c r="A1042">
        <v>731</v>
      </c>
      <c r="B1042" s="1">
        <f>DATE(2012,5,1) + TIME(0,0,0)</f>
        <v>41030</v>
      </c>
      <c r="C1042">
        <v>0</v>
      </c>
      <c r="D1042">
        <v>2400</v>
      </c>
      <c r="E1042">
        <v>2400</v>
      </c>
      <c r="F1042">
        <v>0</v>
      </c>
      <c r="G1042">
        <v>1283.7073975000001</v>
      </c>
      <c r="H1042">
        <v>1264.4432373</v>
      </c>
      <c r="I1042">
        <v>1393.9586182</v>
      </c>
      <c r="J1042">
        <v>1374.5059814000001</v>
      </c>
      <c r="K1042">
        <v>80</v>
      </c>
      <c r="L1042">
        <v>57.387527466000002</v>
      </c>
      <c r="M1042">
        <v>50</v>
      </c>
      <c r="N1042">
        <v>49.96031189</v>
      </c>
    </row>
    <row r="1043" spans="1:14" x14ac:dyDescent="0.25">
      <c r="A1043">
        <v>731.000001</v>
      </c>
      <c r="B1043" s="1">
        <f>DATE(2012,5,1) + TIME(0,0,0)</f>
        <v>41030</v>
      </c>
      <c r="C1043">
        <v>2400</v>
      </c>
      <c r="D1043">
        <v>0</v>
      </c>
      <c r="E1043">
        <v>0</v>
      </c>
      <c r="F1043">
        <v>2400</v>
      </c>
      <c r="G1043">
        <v>1304.6173096</v>
      </c>
      <c r="H1043">
        <v>1284.7086182</v>
      </c>
      <c r="I1043">
        <v>1373.6317139</v>
      </c>
      <c r="J1043">
        <v>1354.7414550999999</v>
      </c>
      <c r="K1043">
        <v>80</v>
      </c>
      <c r="L1043">
        <v>57.387691498000002</v>
      </c>
      <c r="M1043">
        <v>50</v>
      </c>
      <c r="N1043">
        <v>49.960205078000001</v>
      </c>
    </row>
    <row r="1044" spans="1:14" x14ac:dyDescent="0.25">
      <c r="A1044">
        <v>731.00000399999999</v>
      </c>
      <c r="B1044" s="1">
        <f>DATE(2012,5,1) + TIME(0,0,0)</f>
        <v>41030</v>
      </c>
      <c r="C1044">
        <v>2400</v>
      </c>
      <c r="D1044">
        <v>0</v>
      </c>
      <c r="E1044">
        <v>0</v>
      </c>
      <c r="F1044">
        <v>2400</v>
      </c>
      <c r="G1044">
        <v>1306.9976807</v>
      </c>
      <c r="H1044">
        <v>1287.3310547000001</v>
      </c>
      <c r="I1044">
        <v>1371.2995605000001</v>
      </c>
      <c r="J1044">
        <v>1352.4083252</v>
      </c>
      <c r="K1044">
        <v>80</v>
      </c>
      <c r="L1044">
        <v>57.388122559000003</v>
      </c>
      <c r="M1044">
        <v>50</v>
      </c>
      <c r="N1044">
        <v>49.959911345999998</v>
      </c>
    </row>
    <row r="1045" spans="1:14" x14ac:dyDescent="0.25">
      <c r="A1045">
        <v>731.00001299999997</v>
      </c>
      <c r="B1045" s="1">
        <f>DATE(2012,5,1) + TIME(0,0,1)</f>
        <v>41030.000011574077</v>
      </c>
      <c r="C1045">
        <v>2400</v>
      </c>
      <c r="D1045">
        <v>0</v>
      </c>
      <c r="E1045">
        <v>0</v>
      </c>
      <c r="F1045">
        <v>2400</v>
      </c>
      <c r="G1045">
        <v>1312.3361815999999</v>
      </c>
      <c r="H1045">
        <v>1293.0148925999999</v>
      </c>
      <c r="I1045">
        <v>1366.0676269999999</v>
      </c>
      <c r="J1045">
        <v>1347.1750488</v>
      </c>
      <c r="K1045">
        <v>80</v>
      </c>
      <c r="L1045">
        <v>57.389137267999999</v>
      </c>
      <c r="M1045">
        <v>50</v>
      </c>
      <c r="N1045">
        <v>49.959251404</v>
      </c>
    </row>
    <row r="1046" spans="1:14" x14ac:dyDescent="0.25">
      <c r="A1046">
        <v>731.00004000000001</v>
      </c>
      <c r="B1046" s="1">
        <f>DATE(2012,5,1) + TIME(0,0,3)</f>
        <v>41030.000034722223</v>
      </c>
      <c r="C1046">
        <v>2400</v>
      </c>
      <c r="D1046">
        <v>0</v>
      </c>
      <c r="E1046">
        <v>0</v>
      </c>
      <c r="F1046">
        <v>2400</v>
      </c>
      <c r="G1046">
        <v>1321.2841797000001</v>
      </c>
      <c r="H1046">
        <v>1302.1324463000001</v>
      </c>
      <c r="I1046">
        <v>1357.3226318</v>
      </c>
      <c r="J1046">
        <v>1338.4313964999999</v>
      </c>
      <c r="K1046">
        <v>80</v>
      </c>
      <c r="L1046">
        <v>57.391151428000001</v>
      </c>
      <c r="M1046">
        <v>50</v>
      </c>
      <c r="N1046">
        <v>49.958145141999999</v>
      </c>
    </row>
    <row r="1047" spans="1:14" x14ac:dyDescent="0.25">
      <c r="A1047">
        <v>731.00012100000004</v>
      </c>
      <c r="B1047" s="1">
        <f>DATE(2012,5,1) + TIME(0,0,10)</f>
        <v>41030.000115740739</v>
      </c>
      <c r="C1047">
        <v>2400</v>
      </c>
      <c r="D1047">
        <v>0</v>
      </c>
      <c r="E1047">
        <v>0</v>
      </c>
      <c r="F1047">
        <v>2400</v>
      </c>
      <c r="G1047">
        <v>1332.2999268000001</v>
      </c>
      <c r="H1047">
        <v>1313.0568848</v>
      </c>
      <c r="I1047">
        <v>1346.644043</v>
      </c>
      <c r="J1047">
        <v>1327.7606201000001</v>
      </c>
      <c r="K1047">
        <v>80</v>
      </c>
      <c r="L1047">
        <v>57.395061493</v>
      </c>
      <c r="M1047">
        <v>50</v>
      </c>
      <c r="N1047">
        <v>49.956787108999997</v>
      </c>
    </row>
    <row r="1048" spans="1:14" x14ac:dyDescent="0.25">
      <c r="A1048">
        <v>731.00036399999999</v>
      </c>
      <c r="B1048" s="1">
        <f>DATE(2012,5,1) + TIME(0,0,31)</f>
        <v>41030.000358796293</v>
      </c>
      <c r="C1048">
        <v>2400</v>
      </c>
      <c r="D1048">
        <v>0</v>
      </c>
      <c r="E1048">
        <v>0</v>
      </c>
      <c r="F1048">
        <v>2400</v>
      </c>
      <c r="G1048">
        <v>1343.8220214999999</v>
      </c>
      <c r="H1048">
        <v>1324.4355469</v>
      </c>
      <c r="I1048">
        <v>1335.6453856999999</v>
      </c>
      <c r="J1048">
        <v>1316.7766113</v>
      </c>
      <c r="K1048">
        <v>80</v>
      </c>
      <c r="L1048">
        <v>57.404067992999998</v>
      </c>
      <c r="M1048">
        <v>50</v>
      </c>
      <c r="N1048">
        <v>49.955360413000001</v>
      </c>
    </row>
    <row r="1049" spans="1:14" x14ac:dyDescent="0.25">
      <c r="A1049">
        <v>731.00109299999997</v>
      </c>
      <c r="B1049" s="1">
        <f>DATE(2012,5,1) + TIME(0,1,34)</f>
        <v>41030.001087962963</v>
      </c>
      <c r="C1049">
        <v>2400</v>
      </c>
      <c r="D1049">
        <v>0</v>
      </c>
      <c r="E1049">
        <v>0</v>
      </c>
      <c r="F1049">
        <v>2400</v>
      </c>
      <c r="G1049">
        <v>1355.7126464999999</v>
      </c>
      <c r="H1049">
        <v>1336.1788329999999</v>
      </c>
      <c r="I1049">
        <v>1324.6343993999999</v>
      </c>
      <c r="J1049">
        <v>1305.7838135</v>
      </c>
      <c r="K1049">
        <v>80</v>
      </c>
      <c r="L1049">
        <v>57.428318023999999</v>
      </c>
      <c r="M1049">
        <v>50</v>
      </c>
      <c r="N1049">
        <v>49.953845977999997</v>
      </c>
    </row>
    <row r="1050" spans="1:14" x14ac:dyDescent="0.25">
      <c r="A1050">
        <v>731.00328000000002</v>
      </c>
      <c r="B1050" s="1">
        <f>DATE(2012,5,1) + TIME(0,4,43)</f>
        <v>41030.003275462965</v>
      </c>
      <c r="C1050">
        <v>2400</v>
      </c>
      <c r="D1050">
        <v>0</v>
      </c>
      <c r="E1050">
        <v>0</v>
      </c>
      <c r="F1050">
        <v>2400</v>
      </c>
      <c r="G1050">
        <v>1368.3581543</v>
      </c>
      <c r="H1050">
        <v>1348.6682129000001</v>
      </c>
      <c r="I1050">
        <v>1313.4348144999999</v>
      </c>
      <c r="J1050">
        <v>1294.5770264</v>
      </c>
      <c r="K1050">
        <v>80</v>
      </c>
      <c r="L1050">
        <v>57.498512267999999</v>
      </c>
      <c r="M1050">
        <v>50</v>
      </c>
      <c r="N1050">
        <v>49.952041626000003</v>
      </c>
    </row>
    <row r="1051" spans="1:14" x14ac:dyDescent="0.25">
      <c r="A1051">
        <v>731.00984100000005</v>
      </c>
      <c r="B1051" s="1">
        <f>DATE(2012,5,1) + TIME(0,14,10)</f>
        <v>41030.009837962964</v>
      </c>
      <c r="C1051">
        <v>2400</v>
      </c>
      <c r="D1051">
        <v>0</v>
      </c>
      <c r="E1051">
        <v>0</v>
      </c>
      <c r="F1051">
        <v>2400</v>
      </c>
      <c r="G1051">
        <v>1381.1949463000001</v>
      </c>
      <c r="H1051">
        <v>1361.3994141000001</v>
      </c>
      <c r="I1051">
        <v>1302.1774902</v>
      </c>
      <c r="J1051">
        <v>1283.2707519999999</v>
      </c>
      <c r="K1051">
        <v>80</v>
      </c>
      <c r="L1051">
        <v>57.705718994000001</v>
      </c>
      <c r="M1051">
        <v>50</v>
      </c>
      <c r="N1051">
        <v>49.949440002000003</v>
      </c>
    </row>
    <row r="1052" spans="1:14" x14ac:dyDescent="0.25">
      <c r="A1052">
        <v>731.02952400000004</v>
      </c>
      <c r="B1052" s="1">
        <f>DATE(2012,5,1) + TIME(0,42,30)</f>
        <v>41030.029513888891</v>
      </c>
      <c r="C1052">
        <v>2400</v>
      </c>
      <c r="D1052">
        <v>0</v>
      </c>
      <c r="E1052">
        <v>0</v>
      </c>
      <c r="F1052">
        <v>2400</v>
      </c>
      <c r="G1052">
        <v>1391.4956055</v>
      </c>
      <c r="H1052">
        <v>1371.7777100000001</v>
      </c>
      <c r="I1052">
        <v>1292.9808350000001</v>
      </c>
      <c r="J1052">
        <v>1274.0289307</v>
      </c>
      <c r="K1052">
        <v>80</v>
      </c>
      <c r="L1052">
        <v>58.310161591000004</v>
      </c>
      <c r="M1052">
        <v>50</v>
      </c>
      <c r="N1052">
        <v>49.944774627999998</v>
      </c>
    </row>
    <row r="1053" spans="1:14" x14ac:dyDescent="0.25">
      <c r="A1053">
        <v>731.05433600000003</v>
      </c>
      <c r="B1053" s="1">
        <f>DATE(2012,5,1) + TIME(1,18,14)</f>
        <v>41030.054328703707</v>
      </c>
      <c r="C1053">
        <v>2400</v>
      </c>
      <c r="D1053">
        <v>0</v>
      </c>
      <c r="E1053">
        <v>0</v>
      </c>
      <c r="F1053">
        <v>2400</v>
      </c>
      <c r="G1053">
        <v>1395.5112305</v>
      </c>
      <c r="H1053">
        <v>1375.9707031</v>
      </c>
      <c r="I1053">
        <v>1289.5087891000001</v>
      </c>
      <c r="J1053">
        <v>1270.5417480000001</v>
      </c>
      <c r="K1053">
        <v>80</v>
      </c>
      <c r="L1053">
        <v>59.046821594000001</v>
      </c>
      <c r="M1053">
        <v>50</v>
      </c>
      <c r="N1053">
        <v>49.939949036000002</v>
      </c>
    </row>
    <row r="1054" spans="1:14" x14ac:dyDescent="0.25">
      <c r="A1054">
        <v>731.07971599999996</v>
      </c>
      <c r="B1054" s="1">
        <f>DATE(2012,5,1) + TIME(1,54,47)</f>
        <v>41030.079710648148</v>
      </c>
      <c r="C1054">
        <v>2400</v>
      </c>
      <c r="D1054">
        <v>0</v>
      </c>
      <c r="E1054">
        <v>0</v>
      </c>
      <c r="F1054">
        <v>2400</v>
      </c>
      <c r="G1054">
        <v>1396.9156493999999</v>
      </c>
      <c r="H1054">
        <v>1377.5632324000001</v>
      </c>
      <c r="I1054">
        <v>1288.3918457</v>
      </c>
      <c r="J1054">
        <v>1269.4196777</v>
      </c>
      <c r="K1054">
        <v>80</v>
      </c>
      <c r="L1054">
        <v>59.774925232000001</v>
      </c>
      <c r="M1054">
        <v>50</v>
      </c>
      <c r="N1054">
        <v>49.935356140000003</v>
      </c>
    </row>
    <row r="1055" spans="1:14" x14ac:dyDescent="0.25">
      <c r="A1055">
        <v>731.10562200000004</v>
      </c>
      <c r="B1055" s="1">
        <f>DATE(2012,5,1) + TIME(2,32,5)</f>
        <v>41030.105613425927</v>
      </c>
      <c r="C1055">
        <v>2400</v>
      </c>
      <c r="D1055">
        <v>0</v>
      </c>
      <c r="E1055">
        <v>0</v>
      </c>
      <c r="F1055">
        <v>2400</v>
      </c>
      <c r="G1055">
        <v>1397.3580322</v>
      </c>
      <c r="H1055">
        <v>1378.1934814000001</v>
      </c>
      <c r="I1055">
        <v>1288.0614014</v>
      </c>
      <c r="J1055">
        <v>1269.0872803</v>
      </c>
      <c r="K1055">
        <v>80</v>
      </c>
      <c r="L1055">
        <v>60.492141724</v>
      </c>
      <c r="M1055">
        <v>50</v>
      </c>
      <c r="N1055">
        <v>49.930805206000002</v>
      </c>
    </row>
    <row r="1056" spans="1:14" x14ac:dyDescent="0.25">
      <c r="A1056">
        <v>731.13205900000003</v>
      </c>
      <c r="B1056" s="1">
        <f>DATE(2012,5,1) + TIME(3,10,9)</f>
        <v>41030.132048611114</v>
      </c>
      <c r="C1056">
        <v>2400</v>
      </c>
      <c r="D1056">
        <v>0</v>
      </c>
      <c r="E1056">
        <v>0</v>
      </c>
      <c r="F1056">
        <v>2400</v>
      </c>
      <c r="G1056">
        <v>1397.4105225000001</v>
      </c>
      <c r="H1056">
        <v>1378.4288329999999</v>
      </c>
      <c r="I1056">
        <v>1287.9913329999999</v>
      </c>
      <c r="J1056">
        <v>1269.0162353999999</v>
      </c>
      <c r="K1056">
        <v>80</v>
      </c>
      <c r="L1056">
        <v>61.198089600000003</v>
      </c>
      <c r="M1056">
        <v>50</v>
      </c>
      <c r="N1056">
        <v>49.926239013999997</v>
      </c>
    </row>
    <row r="1057" spans="1:14" x14ac:dyDescent="0.25">
      <c r="A1057">
        <v>731.15904699999999</v>
      </c>
      <c r="B1057" s="1">
        <f>DATE(2012,5,1) + TIME(3,49,1)</f>
        <v>41030.159039351849</v>
      </c>
      <c r="C1057">
        <v>2400</v>
      </c>
      <c r="D1057">
        <v>0</v>
      </c>
      <c r="E1057">
        <v>0</v>
      </c>
      <c r="F1057">
        <v>2400</v>
      </c>
      <c r="G1057">
        <v>1397.2960204999999</v>
      </c>
      <c r="H1057">
        <v>1378.4914550999999</v>
      </c>
      <c r="I1057">
        <v>1287.9985352000001</v>
      </c>
      <c r="J1057">
        <v>1269.0227050999999</v>
      </c>
      <c r="K1057">
        <v>80</v>
      </c>
      <c r="L1057">
        <v>61.892772675000003</v>
      </c>
      <c r="M1057">
        <v>50</v>
      </c>
      <c r="N1057">
        <v>49.921630858999997</v>
      </c>
    </row>
    <row r="1058" spans="1:14" x14ac:dyDescent="0.25">
      <c r="A1058">
        <v>731.18661199999997</v>
      </c>
      <c r="B1058" s="1">
        <f>DATE(2012,5,1) + TIME(4,28,43)</f>
        <v>41030.186608796299</v>
      </c>
      <c r="C1058">
        <v>2400</v>
      </c>
      <c r="D1058">
        <v>0</v>
      </c>
      <c r="E1058">
        <v>0</v>
      </c>
      <c r="F1058">
        <v>2400</v>
      </c>
      <c r="G1058">
        <v>1397.1083983999999</v>
      </c>
      <c r="H1058">
        <v>1378.4750977000001</v>
      </c>
      <c r="I1058">
        <v>1288.0214844</v>
      </c>
      <c r="J1058">
        <v>1269.0451660000001</v>
      </c>
      <c r="K1058">
        <v>80</v>
      </c>
      <c r="L1058">
        <v>62.576152802000003</v>
      </c>
      <c r="M1058">
        <v>50</v>
      </c>
      <c r="N1058">
        <v>49.916969299000002</v>
      </c>
    </row>
    <row r="1059" spans="1:14" x14ac:dyDescent="0.25">
      <c r="A1059">
        <v>731.21478200000001</v>
      </c>
      <c r="B1059" s="1">
        <f>DATE(2012,5,1) + TIME(5,9,17)</f>
        <v>41030.214780092596</v>
      </c>
      <c r="C1059">
        <v>2400</v>
      </c>
      <c r="D1059">
        <v>0</v>
      </c>
      <c r="E1059">
        <v>0</v>
      </c>
      <c r="F1059">
        <v>2400</v>
      </c>
      <c r="G1059">
        <v>1396.8896483999999</v>
      </c>
      <c r="H1059">
        <v>1378.4212646000001</v>
      </c>
      <c r="I1059">
        <v>1288.0421143000001</v>
      </c>
      <c r="J1059">
        <v>1269.0654297000001</v>
      </c>
      <c r="K1059">
        <v>80</v>
      </c>
      <c r="L1059">
        <v>63.248241425000003</v>
      </c>
      <c r="M1059">
        <v>50</v>
      </c>
      <c r="N1059">
        <v>49.912254333</v>
      </c>
    </row>
    <row r="1060" spans="1:14" x14ac:dyDescent="0.25">
      <c r="A1060">
        <v>731.24358500000005</v>
      </c>
      <c r="B1060" s="1">
        <f>DATE(2012,5,1) + TIME(5,50,45)</f>
        <v>41030.243576388886</v>
      </c>
      <c r="C1060">
        <v>2400</v>
      </c>
      <c r="D1060">
        <v>0</v>
      </c>
      <c r="E1060">
        <v>0</v>
      </c>
      <c r="F1060">
        <v>2400</v>
      </c>
      <c r="G1060">
        <v>1396.6590576000001</v>
      </c>
      <c r="H1060">
        <v>1378.3498535000001</v>
      </c>
      <c r="I1060">
        <v>1288.0567627</v>
      </c>
      <c r="J1060">
        <v>1269.0795897999999</v>
      </c>
      <c r="K1060">
        <v>80</v>
      </c>
      <c r="L1060">
        <v>63.908939361999998</v>
      </c>
      <c r="M1060">
        <v>50</v>
      </c>
      <c r="N1060">
        <v>49.907474518000001</v>
      </c>
    </row>
    <row r="1061" spans="1:14" x14ac:dyDescent="0.25">
      <c r="A1061">
        <v>731.27305899999999</v>
      </c>
      <c r="B1061" s="1">
        <f>DATE(2012,5,1) + TIME(6,33,12)</f>
        <v>41030.273055555554</v>
      </c>
      <c r="C1061">
        <v>2400</v>
      </c>
      <c r="D1061">
        <v>0</v>
      </c>
      <c r="E1061">
        <v>0</v>
      </c>
      <c r="F1061">
        <v>2400</v>
      </c>
      <c r="G1061">
        <v>1396.4259033000001</v>
      </c>
      <c r="H1061">
        <v>1378.2702637</v>
      </c>
      <c r="I1061">
        <v>1288.0662841999999</v>
      </c>
      <c r="J1061">
        <v>1269.0886230000001</v>
      </c>
      <c r="K1061">
        <v>80</v>
      </c>
      <c r="L1061">
        <v>64.558334350999999</v>
      </c>
      <c r="M1061">
        <v>50</v>
      </c>
      <c r="N1061">
        <v>49.902629851999997</v>
      </c>
    </row>
    <row r="1062" spans="1:14" x14ac:dyDescent="0.25">
      <c r="A1062">
        <v>731.30324399999995</v>
      </c>
      <c r="B1062" s="1">
        <f>DATE(2012,5,1) + TIME(7,16,40)</f>
        <v>41030.303240740737</v>
      </c>
      <c r="C1062">
        <v>2400</v>
      </c>
      <c r="D1062">
        <v>0</v>
      </c>
      <c r="E1062">
        <v>0</v>
      </c>
      <c r="F1062">
        <v>2400</v>
      </c>
      <c r="G1062">
        <v>1396.1950684000001</v>
      </c>
      <c r="H1062">
        <v>1378.1873779</v>
      </c>
      <c r="I1062">
        <v>1288.0720214999999</v>
      </c>
      <c r="J1062">
        <v>1269.0938721</v>
      </c>
      <c r="K1062">
        <v>80</v>
      </c>
      <c r="L1062">
        <v>65.196510314999998</v>
      </c>
      <c r="M1062">
        <v>50</v>
      </c>
      <c r="N1062">
        <v>49.897712708</v>
      </c>
    </row>
    <row r="1063" spans="1:14" x14ac:dyDescent="0.25">
      <c r="A1063">
        <v>731.33417899999995</v>
      </c>
      <c r="B1063" s="1">
        <f>DATE(2012,5,1) + TIME(8,1,13)</f>
        <v>41030.334178240744</v>
      </c>
      <c r="C1063">
        <v>2400</v>
      </c>
      <c r="D1063">
        <v>0</v>
      </c>
      <c r="E1063">
        <v>0</v>
      </c>
      <c r="F1063">
        <v>2400</v>
      </c>
      <c r="G1063">
        <v>1395.9686279</v>
      </c>
      <c r="H1063">
        <v>1378.1037598</v>
      </c>
      <c r="I1063">
        <v>1288.0753173999999</v>
      </c>
      <c r="J1063">
        <v>1269.0968018000001</v>
      </c>
      <c r="K1063">
        <v>80</v>
      </c>
      <c r="L1063">
        <v>65.823524474999999</v>
      </c>
      <c r="M1063">
        <v>50</v>
      </c>
      <c r="N1063">
        <v>49.892726897999999</v>
      </c>
    </row>
    <row r="1064" spans="1:14" x14ac:dyDescent="0.25">
      <c r="A1064">
        <v>731.36590799999999</v>
      </c>
      <c r="B1064" s="1">
        <f>DATE(2012,5,1) + TIME(8,46,54)</f>
        <v>41030.365902777776</v>
      </c>
      <c r="C1064">
        <v>2400</v>
      </c>
      <c r="D1064">
        <v>0</v>
      </c>
      <c r="E1064">
        <v>0</v>
      </c>
      <c r="F1064">
        <v>2400</v>
      </c>
      <c r="G1064">
        <v>1395.7476807</v>
      </c>
      <c r="H1064">
        <v>1378.0206298999999</v>
      </c>
      <c r="I1064">
        <v>1288.0771483999999</v>
      </c>
      <c r="J1064">
        <v>1269.0981445</v>
      </c>
      <c r="K1064">
        <v>80</v>
      </c>
      <c r="L1064">
        <v>66.439254761000001</v>
      </c>
      <c r="M1064">
        <v>50</v>
      </c>
      <c r="N1064">
        <v>49.887657165999997</v>
      </c>
    </row>
    <row r="1065" spans="1:14" x14ac:dyDescent="0.25">
      <c r="A1065">
        <v>731.39847999999995</v>
      </c>
      <c r="B1065" s="1">
        <f>DATE(2012,5,1) + TIME(9,33,48)</f>
        <v>41030.398472222223</v>
      </c>
      <c r="C1065">
        <v>2400</v>
      </c>
      <c r="D1065">
        <v>0</v>
      </c>
      <c r="E1065">
        <v>0</v>
      </c>
      <c r="F1065">
        <v>2400</v>
      </c>
      <c r="G1065">
        <v>1395.5328368999999</v>
      </c>
      <c r="H1065">
        <v>1377.9385986</v>
      </c>
      <c r="I1065">
        <v>1288.078125</v>
      </c>
      <c r="J1065">
        <v>1269.0986327999999</v>
      </c>
      <c r="K1065">
        <v>80</v>
      </c>
      <c r="L1065">
        <v>67.043678283999995</v>
      </c>
      <c r="M1065">
        <v>50</v>
      </c>
      <c r="N1065">
        <v>49.882503509999999</v>
      </c>
    </row>
    <row r="1066" spans="1:14" x14ac:dyDescent="0.25">
      <c r="A1066">
        <v>731.43194400000004</v>
      </c>
      <c r="B1066" s="1">
        <f>DATE(2012,5,1) + TIME(10,21,59)</f>
        <v>41030.431932870371</v>
      </c>
      <c r="C1066">
        <v>2400</v>
      </c>
      <c r="D1066">
        <v>0</v>
      </c>
      <c r="E1066">
        <v>0</v>
      </c>
      <c r="F1066">
        <v>2400</v>
      </c>
      <c r="G1066">
        <v>1395.3240966999999</v>
      </c>
      <c r="H1066">
        <v>1377.8581543</v>
      </c>
      <c r="I1066">
        <v>1288.0784911999999</v>
      </c>
      <c r="J1066">
        <v>1269.0985106999999</v>
      </c>
      <c r="K1066">
        <v>80</v>
      </c>
      <c r="L1066">
        <v>67.636749268000003</v>
      </c>
      <c r="M1066">
        <v>50</v>
      </c>
      <c r="N1066">
        <v>49.877262115000001</v>
      </c>
    </row>
    <row r="1067" spans="1:14" x14ac:dyDescent="0.25">
      <c r="A1067">
        <v>731.46635800000001</v>
      </c>
      <c r="B1067" s="1">
        <f>DATE(2012,5,1) + TIME(11,11,33)</f>
        <v>41030.466354166667</v>
      </c>
      <c r="C1067">
        <v>2400</v>
      </c>
      <c r="D1067">
        <v>0</v>
      </c>
      <c r="E1067">
        <v>0</v>
      </c>
      <c r="F1067">
        <v>2400</v>
      </c>
      <c r="G1067">
        <v>1395.1213379000001</v>
      </c>
      <c r="H1067">
        <v>1377.7791748</v>
      </c>
      <c r="I1067">
        <v>1288.0784911999999</v>
      </c>
      <c r="J1067">
        <v>1269.0980225000001</v>
      </c>
      <c r="K1067">
        <v>80</v>
      </c>
      <c r="L1067">
        <v>68.218414307000003</v>
      </c>
      <c r="M1067">
        <v>50</v>
      </c>
      <c r="N1067">
        <v>49.871925353999998</v>
      </c>
    </row>
    <row r="1068" spans="1:14" x14ac:dyDescent="0.25">
      <c r="A1068">
        <v>731.50178200000005</v>
      </c>
      <c r="B1068" s="1">
        <f>DATE(2012,5,1) + TIME(12,2,33)</f>
        <v>41030.501770833333</v>
      </c>
      <c r="C1068">
        <v>2400</v>
      </c>
      <c r="D1068">
        <v>0</v>
      </c>
      <c r="E1068">
        <v>0</v>
      </c>
      <c r="F1068">
        <v>2400</v>
      </c>
      <c r="G1068">
        <v>1394.9245605000001</v>
      </c>
      <c r="H1068">
        <v>1377.7017822</v>
      </c>
      <c r="I1068">
        <v>1288.0783690999999</v>
      </c>
      <c r="J1068">
        <v>1269.0972899999999</v>
      </c>
      <c r="K1068">
        <v>80</v>
      </c>
      <c r="L1068">
        <v>68.788612365999995</v>
      </c>
      <c r="M1068">
        <v>50</v>
      </c>
      <c r="N1068">
        <v>49.866481780999997</v>
      </c>
    </row>
    <row r="1069" spans="1:14" x14ac:dyDescent="0.25">
      <c r="A1069">
        <v>731.53828099999998</v>
      </c>
      <c r="B1069" s="1">
        <f>DATE(2012,5,1) + TIME(12,55,7)</f>
        <v>41030.538275462961</v>
      </c>
      <c r="C1069">
        <v>2400</v>
      </c>
      <c r="D1069">
        <v>0</v>
      </c>
      <c r="E1069">
        <v>0</v>
      </c>
      <c r="F1069">
        <v>2400</v>
      </c>
      <c r="G1069">
        <v>1394.7333983999999</v>
      </c>
      <c r="H1069">
        <v>1377.6258545000001</v>
      </c>
      <c r="I1069">
        <v>1288.0780029</v>
      </c>
      <c r="J1069">
        <v>1269.0964355000001</v>
      </c>
      <c r="K1069">
        <v>80</v>
      </c>
      <c r="L1069">
        <v>69.347259520999998</v>
      </c>
      <c r="M1069">
        <v>50</v>
      </c>
      <c r="N1069">
        <v>49.860931395999998</v>
      </c>
    </row>
    <row r="1070" spans="1:14" x14ac:dyDescent="0.25">
      <c r="A1070">
        <v>731.57593699999995</v>
      </c>
      <c r="B1070" s="1">
        <f>DATE(2012,5,1) + TIME(13,49,20)</f>
        <v>41030.575925925928</v>
      </c>
      <c r="C1070">
        <v>2400</v>
      </c>
      <c r="D1070">
        <v>0</v>
      </c>
      <c r="E1070">
        <v>0</v>
      </c>
      <c r="F1070">
        <v>2400</v>
      </c>
      <c r="G1070">
        <v>1394.5474853999999</v>
      </c>
      <c r="H1070">
        <v>1377.5513916</v>
      </c>
      <c r="I1070">
        <v>1288.0776367000001</v>
      </c>
      <c r="J1070">
        <v>1269.0955810999999</v>
      </c>
      <c r="K1070">
        <v>80</v>
      </c>
      <c r="L1070">
        <v>69.894401549999998</v>
      </c>
      <c r="M1070">
        <v>50</v>
      </c>
      <c r="N1070">
        <v>49.855262756000002</v>
      </c>
    </row>
    <row r="1071" spans="1:14" x14ac:dyDescent="0.25">
      <c r="A1071">
        <v>731.61483199999998</v>
      </c>
      <c r="B1071" s="1">
        <f>DATE(2012,5,1) + TIME(14,45,21)</f>
        <v>41030.61482638889</v>
      </c>
      <c r="C1071">
        <v>2400</v>
      </c>
      <c r="D1071">
        <v>0</v>
      </c>
      <c r="E1071">
        <v>0</v>
      </c>
      <c r="F1071">
        <v>2400</v>
      </c>
      <c r="G1071">
        <v>1394.3668213000001</v>
      </c>
      <c r="H1071">
        <v>1377.4780272999999</v>
      </c>
      <c r="I1071">
        <v>1288.0771483999999</v>
      </c>
      <c r="J1071">
        <v>1269.0944824000001</v>
      </c>
      <c r="K1071">
        <v>80</v>
      </c>
      <c r="L1071">
        <v>70.429611206000004</v>
      </c>
      <c r="M1071">
        <v>50</v>
      </c>
      <c r="N1071">
        <v>49.849464417</v>
      </c>
    </row>
    <row r="1072" spans="1:14" x14ac:dyDescent="0.25">
      <c r="A1072">
        <v>731.65504399999998</v>
      </c>
      <c r="B1072" s="1">
        <f>DATE(2012,5,1) + TIME(15,43,15)</f>
        <v>41030.655034722222</v>
      </c>
      <c r="C1072">
        <v>2400</v>
      </c>
      <c r="D1072">
        <v>0</v>
      </c>
      <c r="E1072">
        <v>0</v>
      </c>
      <c r="F1072">
        <v>2400</v>
      </c>
      <c r="G1072">
        <v>1394.1910399999999</v>
      </c>
      <c r="H1072">
        <v>1377.4058838000001</v>
      </c>
      <c r="I1072">
        <v>1288.0765381000001</v>
      </c>
      <c r="J1072">
        <v>1269.0933838000001</v>
      </c>
      <c r="K1072">
        <v>80</v>
      </c>
      <c r="L1072">
        <v>70.952888489000003</v>
      </c>
      <c r="M1072">
        <v>50</v>
      </c>
      <c r="N1072">
        <v>49.843528747999997</v>
      </c>
    </row>
    <row r="1073" spans="1:14" x14ac:dyDescent="0.25">
      <c r="A1073">
        <v>731.69667100000004</v>
      </c>
      <c r="B1073" s="1">
        <f>DATE(2012,5,1) + TIME(16,43,12)</f>
        <v>41030.696666666663</v>
      </c>
      <c r="C1073">
        <v>2400</v>
      </c>
      <c r="D1073">
        <v>0</v>
      </c>
      <c r="E1073">
        <v>0</v>
      </c>
      <c r="F1073">
        <v>2400</v>
      </c>
      <c r="G1073">
        <v>1394.0198975000001</v>
      </c>
      <c r="H1073">
        <v>1377.3347168</v>
      </c>
      <c r="I1073">
        <v>1288.0759277</v>
      </c>
      <c r="J1073">
        <v>1269.0921631000001</v>
      </c>
      <c r="K1073">
        <v>80</v>
      </c>
      <c r="L1073">
        <v>71.464187621999997</v>
      </c>
      <c r="M1073">
        <v>50</v>
      </c>
      <c r="N1073">
        <v>49.837448119999998</v>
      </c>
    </row>
    <row r="1074" spans="1:14" x14ac:dyDescent="0.25">
      <c r="A1074">
        <v>731.73982100000001</v>
      </c>
      <c r="B1074" s="1">
        <f>DATE(2012,5,1) + TIME(17,45,20)</f>
        <v>41030.739814814813</v>
      </c>
      <c r="C1074">
        <v>2400</v>
      </c>
      <c r="D1074">
        <v>0</v>
      </c>
      <c r="E1074">
        <v>0</v>
      </c>
      <c r="F1074">
        <v>2400</v>
      </c>
      <c r="G1074">
        <v>1393.8531493999999</v>
      </c>
      <c r="H1074">
        <v>1377.2644043</v>
      </c>
      <c r="I1074">
        <v>1288.0751952999999</v>
      </c>
      <c r="J1074">
        <v>1269.0909423999999</v>
      </c>
      <c r="K1074">
        <v>80</v>
      </c>
      <c r="L1074">
        <v>71.963356017999999</v>
      </c>
      <c r="M1074">
        <v>50</v>
      </c>
      <c r="N1074">
        <v>49.831207274999997</v>
      </c>
    </row>
    <row r="1075" spans="1:14" x14ac:dyDescent="0.25">
      <c r="A1075">
        <v>731.78461100000004</v>
      </c>
      <c r="B1075" s="1">
        <f>DATE(2012,5,1) + TIME(18,49,50)</f>
        <v>41030.78460648148</v>
      </c>
      <c r="C1075">
        <v>2400</v>
      </c>
      <c r="D1075">
        <v>0</v>
      </c>
      <c r="E1075">
        <v>0</v>
      </c>
      <c r="F1075">
        <v>2400</v>
      </c>
      <c r="G1075">
        <v>1393.6905518000001</v>
      </c>
      <c r="H1075">
        <v>1377.1948242000001</v>
      </c>
      <c r="I1075">
        <v>1288.0744629000001</v>
      </c>
      <c r="J1075">
        <v>1269.0895995999999</v>
      </c>
      <c r="K1075">
        <v>80</v>
      </c>
      <c r="L1075">
        <v>72.450256347999996</v>
      </c>
      <c r="M1075">
        <v>50</v>
      </c>
      <c r="N1075">
        <v>49.824798584</v>
      </c>
    </row>
    <row r="1076" spans="1:14" x14ac:dyDescent="0.25">
      <c r="A1076">
        <v>731.83117700000003</v>
      </c>
      <c r="B1076" s="1">
        <f>DATE(2012,5,1) + TIME(19,56,53)</f>
        <v>41030.83116898148</v>
      </c>
      <c r="C1076">
        <v>2400</v>
      </c>
      <c r="D1076">
        <v>0</v>
      </c>
      <c r="E1076">
        <v>0</v>
      </c>
      <c r="F1076">
        <v>2400</v>
      </c>
      <c r="G1076">
        <v>1393.5317382999999</v>
      </c>
      <c r="H1076">
        <v>1377.1258545000001</v>
      </c>
      <c r="I1076">
        <v>1288.0737305</v>
      </c>
      <c r="J1076">
        <v>1269.0881348</v>
      </c>
      <c r="K1076">
        <v>80</v>
      </c>
      <c r="L1076">
        <v>72.924713135000005</v>
      </c>
      <c r="M1076">
        <v>50</v>
      </c>
      <c r="N1076">
        <v>49.818202972000002</v>
      </c>
    </row>
    <row r="1077" spans="1:14" x14ac:dyDescent="0.25">
      <c r="A1077">
        <v>731.87966800000004</v>
      </c>
      <c r="B1077" s="1">
        <f>DATE(2012,5,1) + TIME(21,6,43)</f>
        <v>41030.879664351851</v>
      </c>
      <c r="C1077">
        <v>2400</v>
      </c>
      <c r="D1077">
        <v>0</v>
      </c>
      <c r="E1077">
        <v>0</v>
      </c>
      <c r="F1077">
        <v>2400</v>
      </c>
      <c r="G1077">
        <v>1393.3767089999999</v>
      </c>
      <c r="H1077">
        <v>1377.057251</v>
      </c>
      <c r="I1077">
        <v>1288.072876</v>
      </c>
      <c r="J1077">
        <v>1269.0866699000001</v>
      </c>
      <c r="K1077">
        <v>80</v>
      </c>
      <c r="L1077">
        <v>73.386558532999999</v>
      </c>
      <c r="M1077">
        <v>50</v>
      </c>
      <c r="N1077">
        <v>49.811408997000001</v>
      </c>
    </row>
    <row r="1078" spans="1:14" x14ac:dyDescent="0.25">
      <c r="A1078">
        <v>731.930252</v>
      </c>
      <c r="B1078" s="1">
        <f>DATE(2012,5,1) + TIME(22,19,33)</f>
        <v>41030.930243055554</v>
      </c>
      <c r="C1078">
        <v>2400</v>
      </c>
      <c r="D1078">
        <v>0</v>
      </c>
      <c r="E1078">
        <v>0</v>
      </c>
      <c r="F1078">
        <v>2400</v>
      </c>
      <c r="G1078">
        <v>1393.2249756000001</v>
      </c>
      <c r="H1078">
        <v>1376.9890137</v>
      </c>
      <c r="I1078">
        <v>1288.0718993999999</v>
      </c>
      <c r="J1078">
        <v>1269.0850829999999</v>
      </c>
      <c r="K1078">
        <v>80</v>
      </c>
      <c r="L1078">
        <v>73.835601807000003</v>
      </c>
      <c r="M1078">
        <v>50</v>
      </c>
      <c r="N1078">
        <v>49.804393767999997</v>
      </c>
    </row>
    <row r="1079" spans="1:14" x14ac:dyDescent="0.25">
      <c r="A1079">
        <v>731.98311999999999</v>
      </c>
      <c r="B1079" s="1">
        <f>DATE(2012,5,1) + TIME(23,35,41)</f>
        <v>41030.983113425929</v>
      </c>
      <c r="C1079">
        <v>2400</v>
      </c>
      <c r="D1079">
        <v>0</v>
      </c>
      <c r="E1079">
        <v>0</v>
      </c>
      <c r="F1079">
        <v>2400</v>
      </c>
      <c r="G1079">
        <v>1393.0764160000001</v>
      </c>
      <c r="H1079">
        <v>1376.9208983999999</v>
      </c>
      <c r="I1079">
        <v>1288.0709228999999</v>
      </c>
      <c r="J1079">
        <v>1269.0834961</v>
      </c>
      <c r="K1079">
        <v>80</v>
      </c>
      <c r="L1079">
        <v>74.271629333000007</v>
      </c>
      <c r="M1079">
        <v>50</v>
      </c>
      <c r="N1079">
        <v>49.797142029</v>
      </c>
    </row>
    <row r="1080" spans="1:14" x14ac:dyDescent="0.25">
      <c r="A1080">
        <v>732.03849400000001</v>
      </c>
      <c r="B1080" s="1">
        <f>DATE(2012,5,2) + TIME(0,55,25)</f>
        <v>41031.038483796299</v>
      </c>
      <c r="C1080">
        <v>2400</v>
      </c>
      <c r="D1080">
        <v>0</v>
      </c>
      <c r="E1080">
        <v>0</v>
      </c>
      <c r="F1080">
        <v>2400</v>
      </c>
      <c r="G1080">
        <v>1392.9307861</v>
      </c>
      <c r="H1080">
        <v>1376.8526611</v>
      </c>
      <c r="I1080">
        <v>1288.0698242000001</v>
      </c>
      <c r="J1080">
        <v>1269.0817870999999</v>
      </c>
      <c r="K1080">
        <v>80</v>
      </c>
      <c r="L1080">
        <v>74.694442749000004</v>
      </c>
      <c r="M1080">
        <v>50</v>
      </c>
      <c r="N1080">
        <v>49.789630889999998</v>
      </c>
    </row>
    <row r="1081" spans="1:14" x14ac:dyDescent="0.25">
      <c r="A1081">
        <v>732.09665800000005</v>
      </c>
      <c r="B1081" s="1">
        <f>DATE(2012,5,2) + TIME(2,19,11)</f>
        <v>41031.096655092595</v>
      </c>
      <c r="C1081">
        <v>2400</v>
      </c>
      <c r="D1081">
        <v>0</v>
      </c>
      <c r="E1081">
        <v>0</v>
      </c>
      <c r="F1081">
        <v>2400</v>
      </c>
      <c r="G1081">
        <v>1392.7877197</v>
      </c>
      <c r="H1081">
        <v>1376.7841797000001</v>
      </c>
      <c r="I1081">
        <v>1288.0687256000001</v>
      </c>
      <c r="J1081">
        <v>1269.0799560999999</v>
      </c>
      <c r="K1081">
        <v>80</v>
      </c>
      <c r="L1081">
        <v>75.103965759000005</v>
      </c>
      <c r="M1081">
        <v>50</v>
      </c>
      <c r="N1081">
        <v>49.781826019</v>
      </c>
    </row>
    <row r="1082" spans="1:14" x14ac:dyDescent="0.25">
      <c r="A1082">
        <v>732.15786600000001</v>
      </c>
      <c r="B1082" s="1">
        <f>DATE(2012,5,2) + TIME(3,47,19)</f>
        <v>41031.157858796294</v>
      </c>
      <c r="C1082">
        <v>2400</v>
      </c>
      <c r="D1082">
        <v>0</v>
      </c>
      <c r="E1082">
        <v>0</v>
      </c>
      <c r="F1082">
        <v>2400</v>
      </c>
      <c r="G1082">
        <v>1392.6470947</v>
      </c>
      <c r="H1082">
        <v>1376.7154541</v>
      </c>
      <c r="I1082">
        <v>1288.0676269999999</v>
      </c>
      <c r="J1082">
        <v>1269.0780029</v>
      </c>
      <c r="K1082">
        <v>80</v>
      </c>
      <c r="L1082">
        <v>75.499534607000001</v>
      </c>
      <c r="M1082">
        <v>50</v>
      </c>
      <c r="N1082">
        <v>49.773708343999999</v>
      </c>
    </row>
    <row r="1083" spans="1:14" x14ac:dyDescent="0.25">
      <c r="A1083">
        <v>732.22245199999998</v>
      </c>
      <c r="B1083" s="1">
        <f>DATE(2012,5,2) + TIME(5,20,19)</f>
        <v>41031.222442129627</v>
      </c>
      <c r="C1083">
        <v>2400</v>
      </c>
      <c r="D1083">
        <v>0</v>
      </c>
      <c r="E1083">
        <v>0</v>
      </c>
      <c r="F1083">
        <v>2400</v>
      </c>
      <c r="G1083">
        <v>1392.5086670000001</v>
      </c>
      <c r="H1083">
        <v>1376.6459961</v>
      </c>
      <c r="I1083">
        <v>1288.0662841999999</v>
      </c>
      <c r="J1083">
        <v>1269.0760498</v>
      </c>
      <c r="K1083">
        <v>80</v>
      </c>
      <c r="L1083">
        <v>75.881088257000002</v>
      </c>
      <c r="M1083">
        <v>50</v>
      </c>
      <c r="N1083">
        <v>49.765235900999997</v>
      </c>
    </row>
    <row r="1084" spans="1:14" x14ac:dyDescent="0.25">
      <c r="A1084">
        <v>732.29080699999997</v>
      </c>
      <c r="B1084" s="1">
        <f>DATE(2012,5,2) + TIME(6,58,45)</f>
        <v>41031.290798611109</v>
      </c>
      <c r="C1084">
        <v>2400</v>
      </c>
      <c r="D1084">
        <v>0</v>
      </c>
      <c r="E1084">
        <v>0</v>
      </c>
      <c r="F1084">
        <v>2400</v>
      </c>
      <c r="G1084">
        <v>1392.3719481999999</v>
      </c>
      <c r="H1084">
        <v>1376.5759277</v>
      </c>
      <c r="I1084">
        <v>1288.0649414</v>
      </c>
      <c r="J1084">
        <v>1269.0738524999999</v>
      </c>
      <c r="K1084">
        <v>80</v>
      </c>
      <c r="L1084">
        <v>76.248336792000003</v>
      </c>
      <c r="M1084">
        <v>50</v>
      </c>
      <c r="N1084">
        <v>49.756378173999998</v>
      </c>
    </row>
    <row r="1085" spans="1:14" x14ac:dyDescent="0.25">
      <c r="A1085">
        <v>732.36338899999998</v>
      </c>
      <c r="B1085" s="1">
        <f>DATE(2012,5,2) + TIME(8,43,16)</f>
        <v>41031.363379629627</v>
      </c>
      <c r="C1085">
        <v>2400</v>
      </c>
      <c r="D1085">
        <v>0</v>
      </c>
      <c r="E1085">
        <v>0</v>
      </c>
      <c r="F1085">
        <v>2400</v>
      </c>
      <c r="G1085">
        <v>1392.2369385</v>
      </c>
      <c r="H1085">
        <v>1376.5047606999999</v>
      </c>
      <c r="I1085">
        <v>1288.0635986</v>
      </c>
      <c r="J1085">
        <v>1269.0716553</v>
      </c>
      <c r="K1085">
        <v>80</v>
      </c>
      <c r="L1085">
        <v>76.600975036999998</v>
      </c>
      <c r="M1085">
        <v>50</v>
      </c>
      <c r="N1085">
        <v>49.747081756999997</v>
      </c>
    </row>
    <row r="1086" spans="1:14" x14ac:dyDescent="0.25">
      <c r="A1086">
        <v>732.44073000000003</v>
      </c>
      <c r="B1086" s="1">
        <f>DATE(2012,5,2) + TIME(10,34,39)</f>
        <v>41031.440729166665</v>
      </c>
      <c r="C1086">
        <v>2400</v>
      </c>
      <c r="D1086">
        <v>0</v>
      </c>
      <c r="E1086">
        <v>0</v>
      </c>
      <c r="F1086">
        <v>2400</v>
      </c>
      <c r="G1086">
        <v>1392.1031493999999</v>
      </c>
      <c r="H1086">
        <v>1376.4323730000001</v>
      </c>
      <c r="I1086">
        <v>1288.0620117000001</v>
      </c>
      <c r="J1086">
        <v>1269.0693358999999</v>
      </c>
      <c r="K1086">
        <v>80</v>
      </c>
      <c r="L1086">
        <v>76.938606261999993</v>
      </c>
      <c r="M1086">
        <v>50</v>
      </c>
      <c r="N1086">
        <v>49.737300873000002</v>
      </c>
    </row>
    <row r="1087" spans="1:14" x14ac:dyDescent="0.25">
      <c r="A1087">
        <v>732.52349400000003</v>
      </c>
      <c r="B1087" s="1">
        <f>DATE(2012,5,2) + TIME(12,33,49)</f>
        <v>41031.5234837963</v>
      </c>
      <c r="C1087">
        <v>2400</v>
      </c>
      <c r="D1087">
        <v>0</v>
      </c>
      <c r="E1087">
        <v>0</v>
      </c>
      <c r="F1087">
        <v>2400</v>
      </c>
      <c r="G1087">
        <v>1391.9703368999999</v>
      </c>
      <c r="H1087">
        <v>1376.3585204999999</v>
      </c>
      <c r="I1087">
        <v>1288.0604248</v>
      </c>
      <c r="J1087">
        <v>1269.0667725000001</v>
      </c>
      <c r="K1087">
        <v>80</v>
      </c>
      <c r="L1087">
        <v>77.260925293</v>
      </c>
      <c r="M1087">
        <v>50</v>
      </c>
      <c r="N1087">
        <v>49.726963042999998</v>
      </c>
    </row>
    <row r="1088" spans="1:14" x14ac:dyDescent="0.25">
      <c r="A1088">
        <v>732.612482</v>
      </c>
      <c r="B1088" s="1">
        <f>DATE(2012,5,2) + TIME(14,41,58)</f>
        <v>41031.612476851849</v>
      </c>
      <c r="C1088">
        <v>2400</v>
      </c>
      <c r="D1088">
        <v>0</v>
      </c>
      <c r="E1088">
        <v>0</v>
      </c>
      <c r="F1088">
        <v>2400</v>
      </c>
      <c r="G1088">
        <v>1391.8381348</v>
      </c>
      <c r="H1088">
        <v>1376.2828368999999</v>
      </c>
      <c r="I1088">
        <v>1288.0587158000001</v>
      </c>
      <c r="J1088">
        <v>1269.0640868999999</v>
      </c>
      <c r="K1088">
        <v>80</v>
      </c>
      <c r="L1088">
        <v>77.567581176999994</v>
      </c>
      <c r="M1088">
        <v>50</v>
      </c>
      <c r="N1088">
        <v>49.715995788999997</v>
      </c>
    </row>
    <row r="1089" spans="1:14" x14ac:dyDescent="0.25">
      <c r="A1089">
        <v>732.70867299999998</v>
      </c>
      <c r="B1089" s="1">
        <f>DATE(2012,5,2) + TIME(17,0,29)</f>
        <v>41031.708668981482</v>
      </c>
      <c r="C1089">
        <v>2400</v>
      </c>
      <c r="D1089">
        <v>0</v>
      </c>
      <c r="E1089">
        <v>0</v>
      </c>
      <c r="F1089">
        <v>2400</v>
      </c>
      <c r="G1089">
        <v>1391.7059326000001</v>
      </c>
      <c r="H1089">
        <v>1376.2048339999999</v>
      </c>
      <c r="I1089">
        <v>1288.0567627</v>
      </c>
      <c r="J1089">
        <v>1269.0611572</v>
      </c>
      <c r="K1089">
        <v>80</v>
      </c>
      <c r="L1089">
        <v>77.858146667</v>
      </c>
      <c r="M1089">
        <v>50</v>
      </c>
      <c r="N1089">
        <v>49.704299927000001</v>
      </c>
    </row>
    <row r="1090" spans="1:14" x14ac:dyDescent="0.25">
      <c r="A1090">
        <v>732.81329200000005</v>
      </c>
      <c r="B1090" s="1">
        <f>DATE(2012,5,2) + TIME(19,31,8)</f>
        <v>41031.813287037039</v>
      </c>
      <c r="C1090">
        <v>2400</v>
      </c>
      <c r="D1090">
        <v>0</v>
      </c>
      <c r="E1090">
        <v>0</v>
      </c>
      <c r="F1090">
        <v>2400</v>
      </c>
      <c r="G1090">
        <v>1391.5734863</v>
      </c>
      <c r="H1090">
        <v>1376.1243896000001</v>
      </c>
      <c r="I1090">
        <v>1288.0548096</v>
      </c>
      <c r="J1090">
        <v>1269.0581055</v>
      </c>
      <c r="K1090">
        <v>80</v>
      </c>
      <c r="L1090">
        <v>78.132194518999995</v>
      </c>
      <c r="M1090">
        <v>50</v>
      </c>
      <c r="N1090">
        <v>49.691761016999997</v>
      </c>
    </row>
    <row r="1091" spans="1:14" x14ac:dyDescent="0.25">
      <c r="A1091">
        <v>732.92058499999996</v>
      </c>
      <c r="B1091" s="1">
        <f>DATE(2012,5,2) + TIME(22,5,38)</f>
        <v>41031.920578703706</v>
      </c>
      <c r="C1091">
        <v>2400</v>
      </c>
      <c r="D1091">
        <v>0</v>
      </c>
      <c r="E1091">
        <v>0</v>
      </c>
      <c r="F1091">
        <v>2400</v>
      </c>
      <c r="G1091">
        <v>1391.4465332</v>
      </c>
      <c r="H1091">
        <v>1376.0439452999999</v>
      </c>
      <c r="I1091">
        <v>1288.0524902</v>
      </c>
      <c r="J1091">
        <v>1269.0548096</v>
      </c>
      <c r="K1091">
        <v>80</v>
      </c>
      <c r="L1091">
        <v>78.375091553000004</v>
      </c>
      <c r="M1091">
        <v>50</v>
      </c>
      <c r="N1091">
        <v>49.678997039999999</v>
      </c>
    </row>
    <row r="1092" spans="1:14" x14ac:dyDescent="0.25">
      <c r="A1092">
        <v>733.02851599999997</v>
      </c>
      <c r="B1092" s="1">
        <f>DATE(2012,5,3) + TIME(0,41,3)</f>
        <v>41032.028506944444</v>
      </c>
      <c r="C1092">
        <v>2400</v>
      </c>
      <c r="D1092">
        <v>0</v>
      </c>
      <c r="E1092">
        <v>0</v>
      </c>
      <c r="F1092">
        <v>2400</v>
      </c>
      <c r="G1092">
        <v>1391.3270264</v>
      </c>
      <c r="H1092">
        <v>1375.9656981999999</v>
      </c>
      <c r="I1092">
        <v>1288.0500488</v>
      </c>
      <c r="J1092">
        <v>1269.0513916</v>
      </c>
      <c r="K1092">
        <v>80</v>
      </c>
      <c r="L1092">
        <v>78.586105347</v>
      </c>
      <c r="M1092">
        <v>50</v>
      </c>
      <c r="N1092">
        <v>49.666225433000001</v>
      </c>
    </row>
    <row r="1093" spans="1:14" x14ac:dyDescent="0.25">
      <c r="A1093">
        <v>733.13747899999998</v>
      </c>
      <c r="B1093" s="1">
        <f>DATE(2012,5,3) + TIME(3,17,58)</f>
        <v>41032.137476851851</v>
      </c>
      <c r="C1093">
        <v>2400</v>
      </c>
      <c r="D1093">
        <v>0</v>
      </c>
      <c r="E1093">
        <v>0</v>
      </c>
      <c r="F1093">
        <v>2400</v>
      </c>
      <c r="G1093">
        <v>1391.2142334</v>
      </c>
      <c r="H1093">
        <v>1375.8898925999999</v>
      </c>
      <c r="I1093">
        <v>1288.0476074000001</v>
      </c>
      <c r="J1093">
        <v>1269.0479736</v>
      </c>
      <c r="K1093">
        <v>80</v>
      </c>
      <c r="L1093">
        <v>78.769828795999999</v>
      </c>
      <c r="M1093">
        <v>50</v>
      </c>
      <c r="N1093">
        <v>49.653400421000001</v>
      </c>
    </row>
    <row r="1094" spans="1:14" x14ac:dyDescent="0.25">
      <c r="A1094">
        <v>733.24775399999999</v>
      </c>
      <c r="B1094" s="1">
        <f>DATE(2012,5,3) + TIME(5,56,45)</f>
        <v>41032.247743055559</v>
      </c>
      <c r="C1094">
        <v>2400</v>
      </c>
      <c r="D1094">
        <v>0</v>
      </c>
      <c r="E1094">
        <v>0</v>
      </c>
      <c r="F1094">
        <v>2400</v>
      </c>
      <c r="G1094">
        <v>1391.1069336</v>
      </c>
      <c r="H1094">
        <v>1375.8162841999999</v>
      </c>
      <c r="I1094">
        <v>1288.0451660000001</v>
      </c>
      <c r="J1094">
        <v>1269.0444336</v>
      </c>
      <c r="K1094">
        <v>80</v>
      </c>
      <c r="L1094">
        <v>78.929939270000006</v>
      </c>
      <c r="M1094">
        <v>50</v>
      </c>
      <c r="N1094">
        <v>49.640491486000002</v>
      </c>
    </row>
    <row r="1095" spans="1:14" x14ac:dyDescent="0.25">
      <c r="A1095">
        <v>733.359647</v>
      </c>
      <c r="B1095" s="1">
        <f>DATE(2012,5,3) + TIME(8,37,53)</f>
        <v>41032.3596412037</v>
      </c>
      <c r="C1095">
        <v>2400</v>
      </c>
      <c r="D1095">
        <v>0</v>
      </c>
      <c r="E1095">
        <v>0</v>
      </c>
      <c r="F1095">
        <v>2400</v>
      </c>
      <c r="G1095">
        <v>1391.0046387</v>
      </c>
      <c r="H1095">
        <v>1375.7443848</v>
      </c>
      <c r="I1095">
        <v>1288.0426024999999</v>
      </c>
      <c r="J1095">
        <v>1269.0410156</v>
      </c>
      <c r="K1095">
        <v>80</v>
      </c>
      <c r="L1095">
        <v>79.069549561000002</v>
      </c>
      <c r="M1095">
        <v>50</v>
      </c>
      <c r="N1095">
        <v>49.627471923999998</v>
      </c>
    </row>
    <row r="1096" spans="1:14" x14ac:dyDescent="0.25">
      <c r="A1096">
        <v>733.47305300000005</v>
      </c>
      <c r="B1096" s="1">
        <f>DATE(2012,5,3) + TIME(11,21,11)</f>
        <v>41032.473043981481</v>
      </c>
      <c r="C1096">
        <v>2400</v>
      </c>
      <c r="D1096">
        <v>0</v>
      </c>
      <c r="E1096">
        <v>0</v>
      </c>
      <c r="F1096">
        <v>2400</v>
      </c>
      <c r="G1096">
        <v>1390.9067382999999</v>
      </c>
      <c r="H1096">
        <v>1375.6740723</v>
      </c>
      <c r="I1096">
        <v>1288.0401611</v>
      </c>
      <c r="J1096">
        <v>1269.0374756000001</v>
      </c>
      <c r="K1096">
        <v>80</v>
      </c>
      <c r="L1096">
        <v>79.190940857000001</v>
      </c>
      <c r="M1096">
        <v>50</v>
      </c>
      <c r="N1096">
        <v>49.614345551</v>
      </c>
    </row>
    <row r="1097" spans="1:14" x14ac:dyDescent="0.25">
      <c r="A1097">
        <v>733.58821899999998</v>
      </c>
      <c r="B1097" s="1">
        <f>DATE(2012,5,3) + TIME(14,7,2)</f>
        <v>41032.588217592594</v>
      </c>
      <c r="C1097">
        <v>2400</v>
      </c>
      <c r="D1097">
        <v>0</v>
      </c>
      <c r="E1097">
        <v>0</v>
      </c>
      <c r="F1097">
        <v>2400</v>
      </c>
      <c r="G1097">
        <v>1390.8127440999999</v>
      </c>
      <c r="H1097">
        <v>1375.6053466999999</v>
      </c>
      <c r="I1097">
        <v>1288.0374756000001</v>
      </c>
      <c r="J1097">
        <v>1269.0338135</v>
      </c>
      <c r="K1097">
        <v>80</v>
      </c>
      <c r="L1097">
        <v>79.296485900999997</v>
      </c>
      <c r="M1097">
        <v>50</v>
      </c>
      <c r="N1097">
        <v>49.601085662999999</v>
      </c>
    </row>
    <row r="1098" spans="1:14" x14ac:dyDescent="0.25">
      <c r="A1098">
        <v>733.70543699999996</v>
      </c>
      <c r="B1098" s="1">
        <f>DATE(2012,5,3) + TIME(16,55,49)</f>
        <v>41032.705428240741</v>
      </c>
      <c r="C1098">
        <v>2400</v>
      </c>
      <c r="D1098">
        <v>0</v>
      </c>
      <c r="E1098">
        <v>0</v>
      </c>
      <c r="F1098">
        <v>2400</v>
      </c>
      <c r="G1098">
        <v>1390.7220459</v>
      </c>
      <c r="H1098">
        <v>1375.5379639</v>
      </c>
      <c r="I1098">
        <v>1288.0349120999999</v>
      </c>
      <c r="J1098">
        <v>1269.0301514</v>
      </c>
      <c r="K1098">
        <v>80</v>
      </c>
      <c r="L1098">
        <v>79.388237000000004</v>
      </c>
      <c r="M1098">
        <v>50</v>
      </c>
      <c r="N1098">
        <v>49.587669372999997</v>
      </c>
    </row>
    <row r="1099" spans="1:14" x14ac:dyDescent="0.25">
      <c r="A1099">
        <v>733.824972</v>
      </c>
      <c r="B1099" s="1">
        <f>DATE(2012,5,3) + TIME(19,47,57)</f>
        <v>41032.824965277781</v>
      </c>
      <c r="C1099">
        <v>2400</v>
      </c>
      <c r="D1099">
        <v>0</v>
      </c>
      <c r="E1099">
        <v>0</v>
      </c>
      <c r="F1099">
        <v>2400</v>
      </c>
      <c r="G1099">
        <v>1390.6343993999999</v>
      </c>
      <c r="H1099">
        <v>1375.4716797000001</v>
      </c>
      <c r="I1099">
        <v>1288.0322266000001</v>
      </c>
      <c r="J1099">
        <v>1269.0263672000001</v>
      </c>
      <c r="K1099">
        <v>80</v>
      </c>
      <c r="L1099">
        <v>79.467941284000005</v>
      </c>
      <c r="M1099">
        <v>50</v>
      </c>
      <c r="N1099">
        <v>49.574066162000001</v>
      </c>
    </row>
    <row r="1100" spans="1:14" x14ac:dyDescent="0.25">
      <c r="A1100">
        <v>733.94708400000002</v>
      </c>
      <c r="B1100" s="1">
        <f>DATE(2012,5,3) + TIME(22,43,48)</f>
        <v>41032.947083333333</v>
      </c>
      <c r="C1100">
        <v>2400</v>
      </c>
      <c r="D1100">
        <v>0</v>
      </c>
      <c r="E1100">
        <v>0</v>
      </c>
      <c r="F1100">
        <v>2400</v>
      </c>
      <c r="G1100">
        <v>1390.5491943</v>
      </c>
      <c r="H1100">
        <v>1375.4064940999999</v>
      </c>
      <c r="I1100">
        <v>1288.0295410000001</v>
      </c>
      <c r="J1100">
        <v>1269.0225829999999</v>
      </c>
      <c r="K1100">
        <v>80</v>
      </c>
      <c r="L1100">
        <v>79.537094116000006</v>
      </c>
      <c r="M1100">
        <v>50</v>
      </c>
      <c r="N1100">
        <v>49.560253142999997</v>
      </c>
    </row>
    <row r="1101" spans="1:14" x14ac:dyDescent="0.25">
      <c r="A1101">
        <v>734.07207200000005</v>
      </c>
      <c r="B1101" s="1">
        <f>DATE(2012,5,4) + TIME(1,43,47)</f>
        <v>41033.072071759256</v>
      </c>
      <c r="C1101">
        <v>2400</v>
      </c>
      <c r="D1101">
        <v>0</v>
      </c>
      <c r="E1101">
        <v>0</v>
      </c>
      <c r="F1101">
        <v>2400</v>
      </c>
      <c r="G1101">
        <v>1390.4661865</v>
      </c>
      <c r="H1101">
        <v>1375.3420410000001</v>
      </c>
      <c r="I1101">
        <v>1288.0267334</v>
      </c>
      <c r="J1101">
        <v>1269.0186768000001</v>
      </c>
      <c r="K1101">
        <v>80</v>
      </c>
      <c r="L1101">
        <v>79.59703064</v>
      </c>
      <c r="M1101">
        <v>50</v>
      </c>
      <c r="N1101">
        <v>49.546195984000001</v>
      </c>
    </row>
    <row r="1102" spans="1:14" x14ac:dyDescent="0.25">
      <c r="A1102">
        <v>734.20025399999997</v>
      </c>
      <c r="B1102" s="1">
        <f>DATE(2012,5,4) + TIME(4,48,21)</f>
        <v>41033.200243055559</v>
      </c>
      <c r="C1102">
        <v>2400</v>
      </c>
      <c r="D1102">
        <v>0</v>
      </c>
      <c r="E1102">
        <v>0</v>
      </c>
      <c r="F1102">
        <v>2400</v>
      </c>
      <c r="G1102">
        <v>1390.3850098</v>
      </c>
      <c r="H1102">
        <v>1375.2783202999999</v>
      </c>
      <c r="I1102">
        <v>1288.0238036999999</v>
      </c>
      <c r="J1102">
        <v>1269.0147704999999</v>
      </c>
      <c r="K1102">
        <v>80</v>
      </c>
      <c r="L1102">
        <v>79.648880004999995</v>
      </c>
      <c r="M1102">
        <v>50</v>
      </c>
      <c r="N1102">
        <v>49.531864165999998</v>
      </c>
    </row>
    <row r="1103" spans="1:14" x14ac:dyDescent="0.25">
      <c r="A1103">
        <v>734.33197399999995</v>
      </c>
      <c r="B1103" s="1">
        <f>DATE(2012,5,4) + TIME(7,58,2)</f>
        <v>41033.331967592596</v>
      </c>
      <c r="C1103">
        <v>2400</v>
      </c>
      <c r="D1103">
        <v>0</v>
      </c>
      <c r="E1103">
        <v>0</v>
      </c>
      <c r="F1103">
        <v>2400</v>
      </c>
      <c r="G1103">
        <v>1390.3054199000001</v>
      </c>
      <c r="H1103">
        <v>1375.2150879000001</v>
      </c>
      <c r="I1103">
        <v>1288.020874</v>
      </c>
      <c r="J1103">
        <v>1269.0106201000001</v>
      </c>
      <c r="K1103">
        <v>80</v>
      </c>
      <c r="L1103">
        <v>79.693664550999998</v>
      </c>
      <c r="M1103">
        <v>50</v>
      </c>
      <c r="N1103">
        <v>49.517230988000001</v>
      </c>
    </row>
    <row r="1104" spans="1:14" x14ac:dyDescent="0.25">
      <c r="A1104">
        <v>734.46760700000004</v>
      </c>
      <c r="B1104" s="1">
        <f>DATE(2012,5,4) + TIME(11,13,21)</f>
        <v>41033.467604166668</v>
      </c>
      <c r="C1104">
        <v>2400</v>
      </c>
      <c r="D1104">
        <v>0</v>
      </c>
      <c r="E1104">
        <v>0</v>
      </c>
      <c r="F1104">
        <v>2400</v>
      </c>
      <c r="G1104">
        <v>1390.2270507999999</v>
      </c>
      <c r="H1104">
        <v>1375.1523437999999</v>
      </c>
      <c r="I1104">
        <v>1288.0178223</v>
      </c>
      <c r="J1104">
        <v>1269.0064697</v>
      </c>
      <c r="K1104">
        <v>80</v>
      </c>
      <c r="L1104">
        <v>79.732254028</v>
      </c>
      <c r="M1104">
        <v>50</v>
      </c>
      <c r="N1104">
        <v>49.502254485999998</v>
      </c>
    </row>
    <row r="1105" spans="1:14" x14ac:dyDescent="0.25">
      <c r="A1105">
        <v>734.60756600000002</v>
      </c>
      <c r="B1105" s="1">
        <f>DATE(2012,5,4) + TIME(14,34,53)</f>
        <v>41033.607557870368</v>
      </c>
      <c r="C1105">
        <v>2400</v>
      </c>
      <c r="D1105">
        <v>0</v>
      </c>
      <c r="E1105">
        <v>0</v>
      </c>
      <c r="F1105">
        <v>2400</v>
      </c>
      <c r="G1105">
        <v>1390.1496582</v>
      </c>
      <c r="H1105">
        <v>1375.0897216999999</v>
      </c>
      <c r="I1105">
        <v>1288.0146483999999</v>
      </c>
      <c r="J1105">
        <v>1269.0020752</v>
      </c>
      <c r="K1105">
        <v>80</v>
      </c>
      <c r="L1105">
        <v>79.765426636000001</v>
      </c>
      <c r="M1105">
        <v>50</v>
      </c>
      <c r="N1105">
        <v>49.486896514999998</v>
      </c>
    </row>
    <row r="1106" spans="1:14" x14ac:dyDescent="0.25">
      <c r="A1106">
        <v>734.75230699999997</v>
      </c>
      <c r="B1106" s="1">
        <f>DATE(2012,5,4) + TIME(18,3,19)</f>
        <v>41033.752303240741</v>
      </c>
      <c r="C1106">
        <v>2400</v>
      </c>
      <c r="D1106">
        <v>0</v>
      </c>
      <c r="E1106">
        <v>0</v>
      </c>
      <c r="F1106">
        <v>2400</v>
      </c>
      <c r="G1106">
        <v>1390.0729980000001</v>
      </c>
      <c r="H1106">
        <v>1375.0273437999999</v>
      </c>
      <c r="I1106">
        <v>1288.0114745999999</v>
      </c>
      <c r="J1106">
        <v>1268.9975586</v>
      </c>
      <c r="K1106">
        <v>80</v>
      </c>
      <c r="L1106">
        <v>79.793861389</v>
      </c>
      <c r="M1106">
        <v>50</v>
      </c>
      <c r="N1106">
        <v>49.471122741999999</v>
      </c>
    </row>
    <row r="1107" spans="1:14" x14ac:dyDescent="0.25">
      <c r="A1107">
        <v>734.90233999999998</v>
      </c>
      <c r="B1107" s="1">
        <f>DATE(2012,5,4) + TIME(21,39,22)</f>
        <v>41033.902337962965</v>
      </c>
      <c r="C1107">
        <v>2400</v>
      </c>
      <c r="D1107">
        <v>0</v>
      </c>
      <c r="E1107">
        <v>0</v>
      </c>
      <c r="F1107">
        <v>2400</v>
      </c>
      <c r="G1107">
        <v>1389.9969481999999</v>
      </c>
      <c r="H1107">
        <v>1374.9649658000001</v>
      </c>
      <c r="I1107">
        <v>1288.0080565999999</v>
      </c>
      <c r="J1107">
        <v>1268.9929199000001</v>
      </c>
      <c r="K1107">
        <v>80</v>
      </c>
      <c r="L1107">
        <v>79.818168639999996</v>
      </c>
      <c r="M1107">
        <v>50</v>
      </c>
      <c r="N1107">
        <v>49.454875946000001</v>
      </c>
    </row>
    <row r="1108" spans="1:14" x14ac:dyDescent="0.25">
      <c r="A1108">
        <v>735.058267</v>
      </c>
      <c r="B1108" s="1">
        <f>DATE(2012,5,5) + TIME(1,23,54)</f>
        <v>41034.058263888888</v>
      </c>
      <c r="C1108">
        <v>2400</v>
      </c>
      <c r="D1108">
        <v>0</v>
      </c>
      <c r="E1108">
        <v>0</v>
      </c>
      <c r="F1108">
        <v>2400</v>
      </c>
      <c r="G1108">
        <v>1389.9211425999999</v>
      </c>
      <c r="H1108">
        <v>1374.9024658000001</v>
      </c>
      <c r="I1108">
        <v>1288.0045166</v>
      </c>
      <c r="J1108">
        <v>1268.9881591999999</v>
      </c>
      <c r="K1108">
        <v>80</v>
      </c>
      <c r="L1108">
        <v>79.838867187999995</v>
      </c>
      <c r="M1108">
        <v>50</v>
      </c>
      <c r="N1108">
        <v>49.438106537000003</v>
      </c>
    </row>
    <row r="1109" spans="1:14" x14ac:dyDescent="0.25">
      <c r="A1109">
        <v>735.22079699999995</v>
      </c>
      <c r="B1109" s="1">
        <f>DATE(2012,5,5) + TIME(5,17,56)</f>
        <v>41034.22078703704</v>
      </c>
      <c r="C1109">
        <v>2400</v>
      </c>
      <c r="D1109">
        <v>0</v>
      </c>
      <c r="E1109">
        <v>0</v>
      </c>
      <c r="F1109">
        <v>2400</v>
      </c>
      <c r="G1109">
        <v>1389.8452147999999</v>
      </c>
      <c r="H1109">
        <v>1374.8395995999999</v>
      </c>
      <c r="I1109">
        <v>1288.0008545000001</v>
      </c>
      <c r="J1109">
        <v>1268.9831543</v>
      </c>
      <c r="K1109">
        <v>80</v>
      </c>
      <c r="L1109">
        <v>79.856430054</v>
      </c>
      <c r="M1109">
        <v>50</v>
      </c>
      <c r="N1109">
        <v>49.420753478999998</v>
      </c>
    </row>
    <row r="1110" spans="1:14" x14ac:dyDescent="0.25">
      <c r="A1110">
        <v>735.39060099999995</v>
      </c>
      <c r="B1110" s="1">
        <f>DATE(2012,5,5) + TIME(9,22,27)</f>
        <v>41034.390590277777</v>
      </c>
      <c r="C1110">
        <v>2400</v>
      </c>
      <c r="D1110">
        <v>0</v>
      </c>
      <c r="E1110">
        <v>0</v>
      </c>
      <c r="F1110">
        <v>2400</v>
      </c>
      <c r="G1110">
        <v>1389.7691649999999</v>
      </c>
      <c r="H1110">
        <v>1374.7763672000001</v>
      </c>
      <c r="I1110">
        <v>1287.9970702999999</v>
      </c>
      <c r="J1110">
        <v>1268.9779053</v>
      </c>
      <c r="K1110">
        <v>80</v>
      </c>
      <c r="L1110">
        <v>79.871276855000005</v>
      </c>
      <c r="M1110">
        <v>50</v>
      </c>
      <c r="N1110">
        <v>49.402751922999997</v>
      </c>
    </row>
    <row r="1111" spans="1:14" x14ac:dyDescent="0.25">
      <c r="A1111">
        <v>735.56819800000005</v>
      </c>
      <c r="B1111" s="1">
        <f>DATE(2012,5,5) + TIME(13,38,12)</f>
        <v>41034.568194444444</v>
      </c>
      <c r="C1111">
        <v>2400</v>
      </c>
      <c r="D1111">
        <v>0</v>
      </c>
      <c r="E1111">
        <v>0</v>
      </c>
      <c r="F1111">
        <v>2400</v>
      </c>
      <c r="G1111">
        <v>1389.692749</v>
      </c>
      <c r="H1111">
        <v>1374.7124022999999</v>
      </c>
      <c r="I1111">
        <v>1287.9930420000001</v>
      </c>
      <c r="J1111">
        <v>1268.9725341999999</v>
      </c>
      <c r="K1111">
        <v>80</v>
      </c>
      <c r="L1111">
        <v>79.883735657000003</v>
      </c>
      <c r="M1111">
        <v>50</v>
      </c>
      <c r="N1111">
        <v>49.384059905999997</v>
      </c>
    </row>
    <row r="1112" spans="1:14" x14ac:dyDescent="0.25">
      <c r="A1112">
        <v>735.75231799999995</v>
      </c>
      <c r="B1112" s="1">
        <f>DATE(2012,5,5) + TIME(18,3,20)</f>
        <v>41034.752314814818</v>
      </c>
      <c r="C1112">
        <v>2400</v>
      </c>
      <c r="D1112">
        <v>0</v>
      </c>
      <c r="E1112">
        <v>0</v>
      </c>
      <c r="F1112">
        <v>2400</v>
      </c>
      <c r="G1112">
        <v>1389.6157227000001</v>
      </c>
      <c r="H1112">
        <v>1374.6478271000001</v>
      </c>
      <c r="I1112">
        <v>1287.9888916</v>
      </c>
      <c r="J1112">
        <v>1268.9667969</v>
      </c>
      <c r="K1112">
        <v>80</v>
      </c>
      <c r="L1112">
        <v>79.894058228000006</v>
      </c>
      <c r="M1112">
        <v>50</v>
      </c>
      <c r="N1112">
        <v>49.364788054999998</v>
      </c>
    </row>
    <row r="1113" spans="1:14" x14ac:dyDescent="0.25">
      <c r="A1113">
        <v>735.94372199999998</v>
      </c>
      <c r="B1113" s="1">
        <f>DATE(2012,5,5) + TIME(22,38,57)</f>
        <v>41034.943715277775</v>
      </c>
      <c r="C1113">
        <v>2400</v>
      </c>
      <c r="D1113">
        <v>0</v>
      </c>
      <c r="E1113">
        <v>0</v>
      </c>
      <c r="F1113">
        <v>2400</v>
      </c>
      <c r="G1113">
        <v>1389.5386963000001</v>
      </c>
      <c r="H1113">
        <v>1374.5831298999999</v>
      </c>
      <c r="I1113">
        <v>1287.9844971</v>
      </c>
      <c r="J1113">
        <v>1268.9609375</v>
      </c>
      <c r="K1113">
        <v>80</v>
      </c>
      <c r="L1113">
        <v>79.902580260999997</v>
      </c>
      <c r="M1113">
        <v>50</v>
      </c>
      <c r="N1113">
        <v>49.344867706000002</v>
      </c>
    </row>
    <row r="1114" spans="1:14" x14ac:dyDescent="0.25">
      <c r="A1114">
        <v>736.14329399999997</v>
      </c>
      <c r="B1114" s="1">
        <f>DATE(2012,5,6) + TIME(3,26,20)</f>
        <v>41035.143287037034</v>
      </c>
      <c r="C1114">
        <v>2400</v>
      </c>
      <c r="D1114">
        <v>0</v>
      </c>
      <c r="E1114">
        <v>0</v>
      </c>
      <c r="F1114">
        <v>2400</v>
      </c>
      <c r="G1114">
        <v>1389.4614257999999</v>
      </c>
      <c r="H1114">
        <v>1374.5181885</v>
      </c>
      <c r="I1114">
        <v>1287.9799805</v>
      </c>
      <c r="J1114">
        <v>1268.9547118999999</v>
      </c>
      <c r="K1114">
        <v>80</v>
      </c>
      <c r="L1114">
        <v>79.909599303999997</v>
      </c>
      <c r="M1114">
        <v>50</v>
      </c>
      <c r="N1114">
        <v>49.324230194000002</v>
      </c>
    </row>
    <row r="1115" spans="1:14" x14ac:dyDescent="0.25">
      <c r="A1115">
        <v>736.35182199999997</v>
      </c>
      <c r="B1115" s="1">
        <f>DATE(2012,5,6) + TIME(8,26,37)</f>
        <v>41035.351817129631</v>
      </c>
      <c r="C1115">
        <v>2400</v>
      </c>
      <c r="D1115">
        <v>0</v>
      </c>
      <c r="E1115">
        <v>0</v>
      </c>
      <c r="F1115">
        <v>2400</v>
      </c>
      <c r="G1115">
        <v>1389.3836670000001</v>
      </c>
      <c r="H1115">
        <v>1374.4527588000001</v>
      </c>
      <c r="I1115">
        <v>1287.9752197</v>
      </c>
      <c r="J1115">
        <v>1268.9483643000001</v>
      </c>
      <c r="K1115">
        <v>80</v>
      </c>
      <c r="L1115">
        <v>79.915351868000002</v>
      </c>
      <c r="M1115">
        <v>50</v>
      </c>
      <c r="N1115">
        <v>49.302806854000004</v>
      </c>
    </row>
    <row r="1116" spans="1:14" x14ac:dyDescent="0.25">
      <c r="A1116">
        <v>736.57030499999996</v>
      </c>
      <c r="B1116" s="1">
        <f>DATE(2012,5,6) + TIME(13,41,14)</f>
        <v>41035.570300925923</v>
      </c>
      <c r="C1116">
        <v>2400</v>
      </c>
      <c r="D1116">
        <v>0</v>
      </c>
      <c r="E1116">
        <v>0</v>
      </c>
      <c r="F1116">
        <v>2400</v>
      </c>
      <c r="G1116">
        <v>1389.3052978999999</v>
      </c>
      <c r="H1116">
        <v>1374.3865966999999</v>
      </c>
      <c r="I1116">
        <v>1287.9703368999999</v>
      </c>
      <c r="J1116">
        <v>1268.9416504000001</v>
      </c>
      <c r="K1116">
        <v>80</v>
      </c>
      <c r="L1116">
        <v>79.920051575000002</v>
      </c>
      <c r="M1116">
        <v>50</v>
      </c>
      <c r="N1116">
        <v>49.280521393000001</v>
      </c>
    </row>
    <row r="1117" spans="1:14" x14ac:dyDescent="0.25">
      <c r="A1117">
        <v>736.79117799999995</v>
      </c>
      <c r="B1117" s="1">
        <f>DATE(2012,5,6) + TIME(18,59,17)</f>
        <v>41035.791168981479</v>
      </c>
      <c r="C1117">
        <v>2400</v>
      </c>
      <c r="D1117">
        <v>0</v>
      </c>
      <c r="E1117">
        <v>0</v>
      </c>
      <c r="F1117">
        <v>2400</v>
      </c>
      <c r="G1117">
        <v>1389.2260742000001</v>
      </c>
      <c r="H1117">
        <v>1374.3198242000001</v>
      </c>
      <c r="I1117">
        <v>1287.9649658000001</v>
      </c>
      <c r="J1117">
        <v>1268.9346923999999</v>
      </c>
      <c r="K1117">
        <v>80</v>
      </c>
      <c r="L1117">
        <v>79.923759459999999</v>
      </c>
      <c r="M1117">
        <v>50</v>
      </c>
      <c r="N1117">
        <v>49.257972717000001</v>
      </c>
    </row>
    <row r="1118" spans="1:14" x14ac:dyDescent="0.25">
      <c r="A1118">
        <v>737.01402499999995</v>
      </c>
      <c r="B1118" s="1">
        <f>DATE(2012,5,7) + TIME(0,20,11)</f>
        <v>41036.014016203706</v>
      </c>
      <c r="C1118">
        <v>2400</v>
      </c>
      <c r="D1118">
        <v>0</v>
      </c>
      <c r="E1118">
        <v>0</v>
      </c>
      <c r="F1118">
        <v>2400</v>
      </c>
      <c r="G1118">
        <v>1389.1486815999999</v>
      </c>
      <c r="H1118">
        <v>1374.2543945</v>
      </c>
      <c r="I1118">
        <v>1287.9595947</v>
      </c>
      <c r="J1118">
        <v>1268.9276123</v>
      </c>
      <c r="K1118">
        <v>80</v>
      </c>
      <c r="L1118">
        <v>79.926689147999994</v>
      </c>
      <c r="M1118">
        <v>50</v>
      </c>
      <c r="N1118">
        <v>49.235225677000003</v>
      </c>
    </row>
    <row r="1119" spans="1:14" x14ac:dyDescent="0.25">
      <c r="A1119">
        <v>737.23949100000004</v>
      </c>
      <c r="B1119" s="1">
        <f>DATE(2012,5,7) + TIME(5,44,52)</f>
        <v>41036.239490740743</v>
      </c>
      <c r="C1119">
        <v>2400</v>
      </c>
      <c r="D1119">
        <v>0</v>
      </c>
      <c r="E1119">
        <v>0</v>
      </c>
      <c r="F1119">
        <v>2400</v>
      </c>
      <c r="G1119">
        <v>1389.0729980000001</v>
      </c>
      <c r="H1119">
        <v>1374.1906738</v>
      </c>
      <c r="I1119">
        <v>1287.9542236</v>
      </c>
      <c r="J1119">
        <v>1268.9204102000001</v>
      </c>
      <c r="K1119">
        <v>80</v>
      </c>
      <c r="L1119">
        <v>79.929023743000002</v>
      </c>
      <c r="M1119">
        <v>50</v>
      </c>
      <c r="N1119">
        <v>49.212249755999999</v>
      </c>
    </row>
    <row r="1120" spans="1:14" x14ac:dyDescent="0.25">
      <c r="A1120">
        <v>737.46821</v>
      </c>
      <c r="B1120" s="1">
        <f>DATE(2012,5,7) + TIME(11,14,13)</f>
        <v>41036.468206018515</v>
      </c>
      <c r="C1120">
        <v>2400</v>
      </c>
      <c r="D1120">
        <v>0</v>
      </c>
      <c r="E1120">
        <v>0</v>
      </c>
      <c r="F1120">
        <v>2400</v>
      </c>
      <c r="G1120">
        <v>1388.9989014</v>
      </c>
      <c r="H1120">
        <v>1374.1281738</v>
      </c>
      <c r="I1120">
        <v>1287.9487305</v>
      </c>
      <c r="J1120">
        <v>1268.9130858999999</v>
      </c>
      <c r="K1120">
        <v>80</v>
      </c>
      <c r="L1120">
        <v>79.930885314999998</v>
      </c>
      <c r="M1120">
        <v>50</v>
      </c>
      <c r="N1120">
        <v>49.189002991000002</v>
      </c>
    </row>
    <row r="1121" spans="1:14" x14ac:dyDescent="0.25">
      <c r="A1121">
        <v>737.69965300000001</v>
      </c>
      <c r="B1121" s="1">
        <f>DATE(2012,5,7) + TIME(16,47,30)</f>
        <v>41036.699652777781</v>
      </c>
      <c r="C1121">
        <v>2400</v>
      </c>
      <c r="D1121">
        <v>0</v>
      </c>
      <c r="E1121">
        <v>0</v>
      </c>
      <c r="F1121">
        <v>2400</v>
      </c>
      <c r="G1121">
        <v>1388.9259033000001</v>
      </c>
      <c r="H1121">
        <v>1374.0667725000001</v>
      </c>
      <c r="I1121">
        <v>1287.9432373</v>
      </c>
      <c r="J1121">
        <v>1268.9057617000001</v>
      </c>
      <c r="K1121">
        <v>80</v>
      </c>
      <c r="L1121">
        <v>79.932373046999999</v>
      </c>
      <c r="M1121">
        <v>50</v>
      </c>
      <c r="N1121">
        <v>49.165546417000002</v>
      </c>
    </row>
    <row r="1122" spans="1:14" x14ac:dyDescent="0.25">
      <c r="A1122">
        <v>737.93438400000002</v>
      </c>
      <c r="B1122" s="1">
        <f>DATE(2012,5,7) + TIME(22,25,30)</f>
        <v>41036.934374999997</v>
      </c>
      <c r="C1122">
        <v>2400</v>
      </c>
      <c r="D1122">
        <v>0</v>
      </c>
      <c r="E1122">
        <v>0</v>
      </c>
      <c r="F1122">
        <v>2400</v>
      </c>
      <c r="G1122">
        <v>1388.8542480000001</v>
      </c>
      <c r="H1122">
        <v>1374.0065918</v>
      </c>
      <c r="I1122">
        <v>1287.9376221</v>
      </c>
      <c r="J1122">
        <v>1268.8983154</v>
      </c>
      <c r="K1122">
        <v>80</v>
      </c>
      <c r="L1122">
        <v>79.933570861999996</v>
      </c>
      <c r="M1122">
        <v>50</v>
      </c>
      <c r="N1122">
        <v>49.141841888000002</v>
      </c>
    </row>
    <row r="1123" spans="1:14" x14ac:dyDescent="0.25">
      <c r="A1123">
        <v>738.173002</v>
      </c>
      <c r="B1123" s="1">
        <f>DATE(2012,5,8) + TIME(4,9,7)</f>
        <v>41037.172997685186</v>
      </c>
      <c r="C1123">
        <v>2400</v>
      </c>
      <c r="D1123">
        <v>0</v>
      </c>
      <c r="E1123">
        <v>0</v>
      </c>
      <c r="F1123">
        <v>2400</v>
      </c>
      <c r="G1123">
        <v>1388.7836914</v>
      </c>
      <c r="H1123">
        <v>1373.9472656</v>
      </c>
      <c r="I1123">
        <v>1287.9318848</v>
      </c>
      <c r="J1123">
        <v>1268.8907471</v>
      </c>
      <c r="K1123">
        <v>80</v>
      </c>
      <c r="L1123">
        <v>79.934539795000006</v>
      </c>
      <c r="M1123">
        <v>50</v>
      </c>
      <c r="N1123">
        <v>49.117847443000002</v>
      </c>
    </row>
    <row r="1124" spans="1:14" x14ac:dyDescent="0.25">
      <c r="A1124">
        <v>738.41613199999995</v>
      </c>
      <c r="B1124" s="1">
        <f>DATE(2012,5,8) + TIME(9,59,13)</f>
        <v>41037.416122685187</v>
      </c>
      <c r="C1124">
        <v>2400</v>
      </c>
      <c r="D1124">
        <v>0</v>
      </c>
      <c r="E1124">
        <v>0</v>
      </c>
      <c r="F1124">
        <v>2400</v>
      </c>
      <c r="G1124">
        <v>1388.7139893000001</v>
      </c>
      <c r="H1124">
        <v>1373.8886719</v>
      </c>
      <c r="I1124">
        <v>1287.9261475000001</v>
      </c>
      <c r="J1124">
        <v>1268.8830565999999</v>
      </c>
      <c r="K1124">
        <v>80</v>
      </c>
      <c r="L1124">
        <v>79.935325622999997</v>
      </c>
      <c r="M1124">
        <v>50</v>
      </c>
      <c r="N1124">
        <v>49.093521117999998</v>
      </c>
    </row>
    <row r="1125" spans="1:14" x14ac:dyDescent="0.25">
      <c r="A1125">
        <v>738.66443000000004</v>
      </c>
      <c r="B1125" s="1">
        <f>DATE(2012,5,8) + TIME(15,56,46)</f>
        <v>41037.664421296293</v>
      </c>
      <c r="C1125">
        <v>2400</v>
      </c>
      <c r="D1125">
        <v>0</v>
      </c>
      <c r="E1125">
        <v>0</v>
      </c>
      <c r="F1125">
        <v>2400</v>
      </c>
      <c r="G1125">
        <v>1388.6448975000001</v>
      </c>
      <c r="H1125">
        <v>1373.8306885</v>
      </c>
      <c r="I1125">
        <v>1287.9202881000001</v>
      </c>
      <c r="J1125">
        <v>1268.8752440999999</v>
      </c>
      <c r="K1125">
        <v>80</v>
      </c>
      <c r="L1125">
        <v>79.935974121000001</v>
      </c>
      <c r="M1125">
        <v>50</v>
      </c>
      <c r="N1125">
        <v>49.068813323999997</v>
      </c>
    </row>
    <row r="1126" spans="1:14" x14ac:dyDescent="0.25">
      <c r="A1126">
        <v>738.91859499999998</v>
      </c>
      <c r="B1126" s="1">
        <f>DATE(2012,5,8) + TIME(22,2,46)</f>
        <v>41037.918587962966</v>
      </c>
      <c r="C1126">
        <v>2400</v>
      </c>
      <c r="D1126">
        <v>0</v>
      </c>
      <c r="E1126">
        <v>0</v>
      </c>
      <c r="F1126">
        <v>2400</v>
      </c>
      <c r="G1126">
        <v>1388.5761719</v>
      </c>
      <c r="H1126">
        <v>1373.7731934000001</v>
      </c>
      <c r="I1126">
        <v>1287.9141846</v>
      </c>
      <c r="J1126">
        <v>1268.8671875</v>
      </c>
      <c r="K1126">
        <v>80</v>
      </c>
      <c r="L1126">
        <v>79.936508179</v>
      </c>
      <c r="M1126">
        <v>50</v>
      </c>
      <c r="N1126">
        <v>49.043670654000003</v>
      </c>
    </row>
    <row r="1127" spans="1:14" x14ac:dyDescent="0.25">
      <c r="A1127">
        <v>739.17938900000001</v>
      </c>
      <c r="B1127" s="1">
        <f>DATE(2012,5,9) + TIME(4,18,19)</f>
        <v>41038.179386574076</v>
      </c>
      <c r="C1127">
        <v>2400</v>
      </c>
      <c r="D1127">
        <v>0</v>
      </c>
      <c r="E1127">
        <v>0</v>
      </c>
      <c r="F1127">
        <v>2400</v>
      </c>
      <c r="G1127">
        <v>1388.5076904</v>
      </c>
      <c r="H1127">
        <v>1373.7159423999999</v>
      </c>
      <c r="I1127">
        <v>1287.9080810999999</v>
      </c>
      <c r="J1127">
        <v>1268.8588867000001</v>
      </c>
      <c r="K1127">
        <v>80</v>
      </c>
      <c r="L1127">
        <v>79.936950683999996</v>
      </c>
      <c r="M1127">
        <v>50</v>
      </c>
      <c r="N1127">
        <v>49.018032073999997</v>
      </c>
    </row>
    <row r="1128" spans="1:14" x14ac:dyDescent="0.25">
      <c r="A1128">
        <v>739.44764199999997</v>
      </c>
      <c r="B1128" s="1">
        <f>DATE(2012,5,9) + TIME(10,44,36)</f>
        <v>41038.447638888887</v>
      </c>
      <c r="C1128">
        <v>2400</v>
      </c>
      <c r="D1128">
        <v>0</v>
      </c>
      <c r="E1128">
        <v>0</v>
      </c>
      <c r="F1128">
        <v>2400</v>
      </c>
      <c r="G1128">
        <v>1388.4393310999999</v>
      </c>
      <c r="H1128">
        <v>1373.6586914</v>
      </c>
      <c r="I1128">
        <v>1287.9017334</v>
      </c>
      <c r="J1128">
        <v>1268.8504639</v>
      </c>
      <c r="K1128">
        <v>80</v>
      </c>
      <c r="L1128">
        <v>79.937316894999995</v>
      </c>
      <c r="M1128">
        <v>50</v>
      </c>
      <c r="N1128">
        <v>48.991828918000003</v>
      </c>
    </row>
    <row r="1129" spans="1:14" x14ac:dyDescent="0.25">
      <c r="A1129">
        <v>739.72427500000003</v>
      </c>
      <c r="B1129" s="1">
        <f>DATE(2012,5,9) + TIME(17,22,57)</f>
        <v>41038.724270833336</v>
      </c>
      <c r="C1129">
        <v>2400</v>
      </c>
      <c r="D1129">
        <v>0</v>
      </c>
      <c r="E1129">
        <v>0</v>
      </c>
      <c r="F1129">
        <v>2400</v>
      </c>
      <c r="G1129">
        <v>1388.3708495999999</v>
      </c>
      <c r="H1129">
        <v>1373.6015625</v>
      </c>
      <c r="I1129">
        <v>1287.8951416</v>
      </c>
      <c r="J1129">
        <v>1268.8417969</v>
      </c>
      <c r="K1129">
        <v>80</v>
      </c>
      <c r="L1129">
        <v>79.937629700000002</v>
      </c>
      <c r="M1129">
        <v>50</v>
      </c>
      <c r="N1129">
        <v>48.964992522999999</v>
      </c>
    </row>
    <row r="1130" spans="1:14" x14ac:dyDescent="0.25">
      <c r="A1130">
        <v>740.01050099999998</v>
      </c>
      <c r="B1130" s="1">
        <f>DATE(2012,5,10) + TIME(0,15,7)</f>
        <v>41039.010497685187</v>
      </c>
      <c r="C1130">
        <v>2400</v>
      </c>
      <c r="D1130">
        <v>0</v>
      </c>
      <c r="E1130">
        <v>0</v>
      </c>
      <c r="F1130">
        <v>2400</v>
      </c>
      <c r="G1130">
        <v>1388.302124</v>
      </c>
      <c r="H1130">
        <v>1373.5441894999999</v>
      </c>
      <c r="I1130">
        <v>1287.8884277</v>
      </c>
      <c r="J1130">
        <v>1268.8328856999999</v>
      </c>
      <c r="K1130">
        <v>80</v>
      </c>
      <c r="L1130">
        <v>79.937881469999994</v>
      </c>
      <c r="M1130">
        <v>50</v>
      </c>
      <c r="N1130">
        <v>48.937427520999996</v>
      </c>
    </row>
    <row r="1131" spans="1:14" x14ac:dyDescent="0.25">
      <c r="A1131">
        <v>740.30701599999998</v>
      </c>
      <c r="B1131" s="1">
        <f>DATE(2012,5,10) + TIME(7,22,6)</f>
        <v>41039.307013888887</v>
      </c>
      <c r="C1131">
        <v>2400</v>
      </c>
      <c r="D1131">
        <v>0</v>
      </c>
      <c r="E1131">
        <v>0</v>
      </c>
      <c r="F1131">
        <v>2400</v>
      </c>
      <c r="G1131">
        <v>1388.2327881000001</v>
      </c>
      <c r="H1131">
        <v>1373.4863281</v>
      </c>
      <c r="I1131">
        <v>1287.8814697</v>
      </c>
      <c r="J1131">
        <v>1268.8236084</v>
      </c>
      <c r="K1131">
        <v>80</v>
      </c>
      <c r="L1131">
        <v>79.938102721999996</v>
      </c>
      <c r="M1131">
        <v>50</v>
      </c>
      <c r="N1131">
        <v>48.909076691000003</v>
      </c>
    </row>
    <row r="1132" spans="1:14" x14ac:dyDescent="0.25">
      <c r="A1132">
        <v>740.61075800000003</v>
      </c>
      <c r="B1132" s="1">
        <f>DATE(2012,5,10) + TIME(14,39,29)</f>
        <v>41039.610752314817</v>
      </c>
      <c r="C1132">
        <v>2400</v>
      </c>
      <c r="D1132">
        <v>0</v>
      </c>
      <c r="E1132">
        <v>0</v>
      </c>
      <c r="F1132">
        <v>2400</v>
      </c>
      <c r="G1132">
        <v>1388.1627197</v>
      </c>
      <c r="H1132">
        <v>1373.4281006000001</v>
      </c>
      <c r="I1132">
        <v>1287.8741454999999</v>
      </c>
      <c r="J1132">
        <v>1268.8139647999999</v>
      </c>
      <c r="K1132">
        <v>80</v>
      </c>
      <c r="L1132">
        <v>79.938285828000005</v>
      </c>
      <c r="M1132">
        <v>50</v>
      </c>
      <c r="N1132">
        <v>48.880138397000003</v>
      </c>
    </row>
    <row r="1133" spans="1:14" x14ac:dyDescent="0.25">
      <c r="A1133">
        <v>740.92266099999995</v>
      </c>
      <c r="B1133" s="1">
        <f>DATE(2012,5,10) + TIME(22,8,37)</f>
        <v>41039.922650462962</v>
      </c>
      <c r="C1133">
        <v>2400</v>
      </c>
      <c r="D1133">
        <v>0</v>
      </c>
      <c r="E1133">
        <v>0</v>
      </c>
      <c r="F1133">
        <v>2400</v>
      </c>
      <c r="G1133">
        <v>1388.0928954999999</v>
      </c>
      <c r="H1133">
        <v>1373.3701172000001</v>
      </c>
      <c r="I1133">
        <v>1287.8666992000001</v>
      </c>
      <c r="J1133">
        <v>1268.8040771000001</v>
      </c>
      <c r="K1133">
        <v>80</v>
      </c>
      <c r="L1133">
        <v>79.938430785999998</v>
      </c>
      <c r="M1133">
        <v>50</v>
      </c>
      <c r="N1133">
        <v>48.850566864000001</v>
      </c>
    </row>
    <row r="1134" spans="1:14" x14ac:dyDescent="0.25">
      <c r="A1134">
        <v>741.24365399999999</v>
      </c>
      <c r="B1134" s="1">
        <f>DATE(2012,5,11) + TIME(5,50,51)</f>
        <v>41040.243645833332</v>
      </c>
      <c r="C1134">
        <v>2400</v>
      </c>
      <c r="D1134">
        <v>0</v>
      </c>
      <c r="E1134">
        <v>0</v>
      </c>
      <c r="F1134">
        <v>2400</v>
      </c>
      <c r="G1134">
        <v>1388.0230713000001</v>
      </c>
      <c r="H1134">
        <v>1373.3120117000001</v>
      </c>
      <c r="I1134">
        <v>1287.8590088000001</v>
      </c>
      <c r="J1134">
        <v>1268.7939452999999</v>
      </c>
      <c r="K1134">
        <v>80</v>
      </c>
      <c r="L1134">
        <v>79.938560486</v>
      </c>
      <c r="M1134">
        <v>50</v>
      </c>
      <c r="N1134">
        <v>48.820301055999998</v>
      </c>
    </row>
    <row r="1135" spans="1:14" x14ac:dyDescent="0.25">
      <c r="A1135">
        <v>741.57477700000004</v>
      </c>
      <c r="B1135" s="1">
        <f>DATE(2012,5,11) + TIME(13,47,40)</f>
        <v>41040.57476851852</v>
      </c>
      <c r="C1135">
        <v>2400</v>
      </c>
      <c r="D1135">
        <v>0</v>
      </c>
      <c r="E1135">
        <v>0</v>
      </c>
      <c r="F1135">
        <v>2400</v>
      </c>
      <c r="G1135">
        <v>1387.9530029</v>
      </c>
      <c r="H1135">
        <v>1373.2539062000001</v>
      </c>
      <c r="I1135">
        <v>1287.8510742000001</v>
      </c>
      <c r="J1135">
        <v>1268.7835693</v>
      </c>
      <c r="K1135">
        <v>80</v>
      </c>
      <c r="L1135">
        <v>79.938667296999995</v>
      </c>
      <c r="M1135">
        <v>50</v>
      </c>
      <c r="N1135">
        <v>48.789272308000001</v>
      </c>
    </row>
    <row r="1136" spans="1:14" x14ac:dyDescent="0.25">
      <c r="A1136">
        <v>741.91721800000005</v>
      </c>
      <c r="B1136" s="1">
        <f>DATE(2012,5,11) + TIME(22,0,47)</f>
        <v>41040.917210648149</v>
      </c>
      <c r="C1136">
        <v>2400</v>
      </c>
      <c r="D1136">
        <v>0</v>
      </c>
      <c r="E1136">
        <v>0</v>
      </c>
      <c r="F1136">
        <v>2400</v>
      </c>
      <c r="G1136">
        <v>1387.8825684000001</v>
      </c>
      <c r="H1136">
        <v>1373.1955565999999</v>
      </c>
      <c r="I1136">
        <v>1287.8430175999999</v>
      </c>
      <c r="J1136">
        <v>1268.7727050999999</v>
      </c>
      <c r="K1136">
        <v>80</v>
      </c>
      <c r="L1136">
        <v>79.938751221000004</v>
      </c>
      <c r="M1136">
        <v>50</v>
      </c>
      <c r="N1136">
        <v>48.757392883000001</v>
      </c>
    </row>
    <row r="1137" spans="1:14" x14ac:dyDescent="0.25">
      <c r="A1137">
        <v>742.26594299999999</v>
      </c>
      <c r="B1137" s="1">
        <f>DATE(2012,5,12) + TIME(6,22,57)</f>
        <v>41041.2659375</v>
      </c>
      <c r="C1137">
        <v>2400</v>
      </c>
      <c r="D1137">
        <v>0</v>
      </c>
      <c r="E1137">
        <v>0</v>
      </c>
      <c r="F1137">
        <v>2400</v>
      </c>
      <c r="G1137">
        <v>1387.8115233999999</v>
      </c>
      <c r="H1137">
        <v>1373.1367187999999</v>
      </c>
      <c r="I1137">
        <v>1287.8344727000001</v>
      </c>
      <c r="J1137">
        <v>1268.7615966999999</v>
      </c>
      <c r="K1137">
        <v>80</v>
      </c>
      <c r="L1137">
        <v>79.938819885000001</v>
      </c>
      <c r="M1137">
        <v>50</v>
      </c>
      <c r="N1137">
        <v>48.724994658999996</v>
      </c>
    </row>
    <row r="1138" spans="1:14" x14ac:dyDescent="0.25">
      <c r="A1138">
        <v>742.61768800000004</v>
      </c>
      <c r="B1138" s="1">
        <f>DATE(2012,5,12) + TIME(14,49,28)</f>
        <v>41041.617685185185</v>
      </c>
      <c r="C1138">
        <v>2400</v>
      </c>
      <c r="D1138">
        <v>0</v>
      </c>
      <c r="E1138">
        <v>0</v>
      </c>
      <c r="F1138">
        <v>2400</v>
      </c>
      <c r="G1138">
        <v>1387.7410889</v>
      </c>
      <c r="H1138">
        <v>1373.0784911999999</v>
      </c>
      <c r="I1138">
        <v>1287.8258057</v>
      </c>
      <c r="J1138">
        <v>1268.7502440999999</v>
      </c>
      <c r="K1138">
        <v>80</v>
      </c>
      <c r="L1138">
        <v>79.938873290999993</v>
      </c>
      <c r="M1138">
        <v>50</v>
      </c>
      <c r="N1138">
        <v>48.692314148000001</v>
      </c>
    </row>
    <row r="1139" spans="1:14" x14ac:dyDescent="0.25">
      <c r="A1139">
        <v>742.97343899999998</v>
      </c>
      <c r="B1139" s="1">
        <f>DATE(2012,5,12) + TIME(23,21,45)</f>
        <v>41041.973437499997</v>
      </c>
      <c r="C1139">
        <v>2400</v>
      </c>
      <c r="D1139">
        <v>0</v>
      </c>
      <c r="E1139">
        <v>0</v>
      </c>
      <c r="F1139">
        <v>2400</v>
      </c>
      <c r="G1139">
        <v>1387.6717529</v>
      </c>
      <c r="H1139">
        <v>1373.0211182</v>
      </c>
      <c r="I1139">
        <v>1287.8170166</v>
      </c>
      <c r="J1139">
        <v>1268.7387695</v>
      </c>
      <c r="K1139">
        <v>80</v>
      </c>
      <c r="L1139">
        <v>79.938919067</v>
      </c>
      <c r="M1139">
        <v>50</v>
      </c>
      <c r="N1139">
        <v>48.659339905000003</v>
      </c>
    </row>
    <row r="1140" spans="1:14" x14ac:dyDescent="0.25">
      <c r="A1140">
        <v>743.33416899999997</v>
      </c>
      <c r="B1140" s="1">
        <f>DATE(2012,5,13) + TIME(8,1,12)</f>
        <v>41042.334166666667</v>
      </c>
      <c r="C1140">
        <v>2400</v>
      </c>
      <c r="D1140">
        <v>0</v>
      </c>
      <c r="E1140">
        <v>0</v>
      </c>
      <c r="F1140">
        <v>2400</v>
      </c>
      <c r="G1140">
        <v>1387.6032714999999</v>
      </c>
      <c r="H1140">
        <v>1372.9647216999999</v>
      </c>
      <c r="I1140">
        <v>1287.8081055</v>
      </c>
      <c r="J1140">
        <v>1268.7271728999999</v>
      </c>
      <c r="K1140">
        <v>80</v>
      </c>
      <c r="L1140">
        <v>79.938949585000003</v>
      </c>
      <c r="M1140">
        <v>50</v>
      </c>
      <c r="N1140">
        <v>48.626041411999999</v>
      </c>
    </row>
    <row r="1141" spans="1:14" x14ac:dyDescent="0.25">
      <c r="A1141">
        <v>743.700873</v>
      </c>
      <c r="B1141" s="1">
        <f>DATE(2012,5,13) + TIME(16,49,15)</f>
        <v>41042.700868055559</v>
      </c>
      <c r="C1141">
        <v>2400</v>
      </c>
      <c r="D1141">
        <v>0</v>
      </c>
      <c r="E1141">
        <v>0</v>
      </c>
      <c r="F1141">
        <v>2400</v>
      </c>
      <c r="G1141">
        <v>1387.5355225000001</v>
      </c>
      <c r="H1141">
        <v>1372.9088135</v>
      </c>
      <c r="I1141">
        <v>1287.7990723</v>
      </c>
      <c r="J1141">
        <v>1268.715332</v>
      </c>
      <c r="K1141">
        <v>80</v>
      </c>
      <c r="L1141">
        <v>79.938980103000006</v>
      </c>
      <c r="M1141">
        <v>50</v>
      </c>
      <c r="N1141">
        <v>48.592357634999999</v>
      </c>
    </row>
    <row r="1142" spans="1:14" x14ac:dyDescent="0.25">
      <c r="A1142">
        <v>744.07458999999994</v>
      </c>
      <c r="B1142" s="1">
        <f>DATE(2012,5,14) + TIME(1,47,24)</f>
        <v>41043.074583333335</v>
      </c>
      <c r="C1142">
        <v>2400</v>
      </c>
      <c r="D1142">
        <v>0</v>
      </c>
      <c r="E1142">
        <v>0</v>
      </c>
      <c r="F1142">
        <v>2400</v>
      </c>
      <c r="G1142">
        <v>1387.4683838000001</v>
      </c>
      <c r="H1142">
        <v>1372.8533935999999</v>
      </c>
      <c r="I1142">
        <v>1287.7899170000001</v>
      </c>
      <c r="J1142">
        <v>1268.7033690999999</v>
      </c>
      <c r="K1142">
        <v>80</v>
      </c>
      <c r="L1142">
        <v>79.938995360999996</v>
      </c>
      <c r="M1142">
        <v>50</v>
      </c>
      <c r="N1142">
        <v>48.558235168000003</v>
      </c>
    </row>
    <row r="1143" spans="1:14" x14ac:dyDescent="0.25">
      <c r="A1143">
        <v>744.45589500000006</v>
      </c>
      <c r="B1143" s="1">
        <f>DATE(2012,5,14) + TIME(10,56,29)</f>
        <v>41043.455891203703</v>
      </c>
      <c r="C1143">
        <v>2400</v>
      </c>
      <c r="D1143">
        <v>0</v>
      </c>
      <c r="E1143">
        <v>0</v>
      </c>
      <c r="F1143">
        <v>2400</v>
      </c>
      <c r="G1143">
        <v>1387.4014893000001</v>
      </c>
      <c r="H1143">
        <v>1372.7982178</v>
      </c>
      <c r="I1143">
        <v>1287.7806396000001</v>
      </c>
      <c r="J1143">
        <v>1268.6910399999999</v>
      </c>
      <c r="K1143">
        <v>80</v>
      </c>
      <c r="L1143">
        <v>79.939010620000005</v>
      </c>
      <c r="M1143">
        <v>50</v>
      </c>
      <c r="N1143">
        <v>48.523635863999999</v>
      </c>
    </row>
    <row r="1144" spans="1:14" x14ac:dyDescent="0.25">
      <c r="A1144">
        <v>744.84421699999996</v>
      </c>
      <c r="B1144" s="1">
        <f>DATE(2012,5,14) + TIME(20,15,40)</f>
        <v>41043.844212962962</v>
      </c>
      <c r="C1144">
        <v>2400</v>
      </c>
      <c r="D1144">
        <v>0</v>
      </c>
      <c r="E1144">
        <v>0</v>
      </c>
      <c r="F1144">
        <v>2400</v>
      </c>
      <c r="G1144">
        <v>1387.3347168</v>
      </c>
      <c r="H1144">
        <v>1372.7432861</v>
      </c>
      <c r="I1144">
        <v>1287.7709961</v>
      </c>
      <c r="J1144">
        <v>1268.6784668</v>
      </c>
      <c r="K1144">
        <v>80</v>
      </c>
      <c r="L1144">
        <v>79.939018250000004</v>
      </c>
      <c r="M1144">
        <v>50</v>
      </c>
      <c r="N1144">
        <v>48.488582610999998</v>
      </c>
    </row>
    <row r="1145" spans="1:14" x14ac:dyDescent="0.25">
      <c r="A1145">
        <v>745.24035600000002</v>
      </c>
      <c r="B1145" s="1">
        <f>DATE(2012,5,15) + TIME(5,46,6)</f>
        <v>41044.240347222221</v>
      </c>
      <c r="C1145">
        <v>2400</v>
      </c>
      <c r="D1145">
        <v>0</v>
      </c>
      <c r="E1145">
        <v>0</v>
      </c>
      <c r="F1145">
        <v>2400</v>
      </c>
      <c r="G1145">
        <v>1387.2683105000001</v>
      </c>
      <c r="H1145">
        <v>1372.6887207</v>
      </c>
      <c r="I1145">
        <v>1287.7613524999999</v>
      </c>
      <c r="J1145">
        <v>1268.6656493999999</v>
      </c>
      <c r="K1145">
        <v>80</v>
      </c>
      <c r="L1145">
        <v>79.939018250000004</v>
      </c>
      <c r="M1145">
        <v>50</v>
      </c>
      <c r="N1145">
        <v>48.453037262000002</v>
      </c>
    </row>
    <row r="1146" spans="1:14" x14ac:dyDescent="0.25">
      <c r="A1146">
        <v>745.64545599999997</v>
      </c>
      <c r="B1146" s="1">
        <f>DATE(2012,5,15) + TIME(15,29,27)</f>
        <v>41044.645451388889</v>
      </c>
      <c r="C1146">
        <v>2400</v>
      </c>
      <c r="D1146">
        <v>0</v>
      </c>
      <c r="E1146">
        <v>0</v>
      </c>
      <c r="F1146">
        <v>2400</v>
      </c>
      <c r="G1146">
        <v>1387.2021483999999</v>
      </c>
      <c r="H1146">
        <v>1372.6342772999999</v>
      </c>
      <c r="I1146">
        <v>1287.7513428</v>
      </c>
      <c r="J1146">
        <v>1268.6525879000001</v>
      </c>
      <c r="K1146">
        <v>80</v>
      </c>
      <c r="L1146">
        <v>79.939018250000004</v>
      </c>
      <c r="M1146">
        <v>50</v>
      </c>
      <c r="N1146">
        <v>48.416919708000002</v>
      </c>
    </row>
    <row r="1147" spans="1:14" x14ac:dyDescent="0.25">
      <c r="A1147">
        <v>746.06074699999999</v>
      </c>
      <c r="B1147" s="1">
        <f>DATE(2012,5,16) + TIME(1,27,28)</f>
        <v>41045.060740740744</v>
      </c>
      <c r="C1147">
        <v>2400</v>
      </c>
      <c r="D1147">
        <v>0</v>
      </c>
      <c r="E1147">
        <v>0</v>
      </c>
      <c r="F1147">
        <v>2400</v>
      </c>
      <c r="G1147">
        <v>1387.1358643000001</v>
      </c>
      <c r="H1147">
        <v>1372.5798339999999</v>
      </c>
      <c r="I1147">
        <v>1287.7410889</v>
      </c>
      <c r="J1147">
        <v>1268.6391602000001</v>
      </c>
      <c r="K1147">
        <v>80</v>
      </c>
      <c r="L1147">
        <v>79.939018250000004</v>
      </c>
      <c r="M1147">
        <v>50</v>
      </c>
      <c r="N1147">
        <v>48.380157470999997</v>
      </c>
    </row>
    <row r="1148" spans="1:14" x14ac:dyDescent="0.25">
      <c r="A1148">
        <v>746.487571</v>
      </c>
      <c r="B1148" s="1">
        <f>DATE(2012,5,16) + TIME(11,42,6)</f>
        <v>41045.487569444442</v>
      </c>
      <c r="C1148">
        <v>2400</v>
      </c>
      <c r="D1148">
        <v>0</v>
      </c>
      <c r="E1148">
        <v>0</v>
      </c>
      <c r="F1148">
        <v>2400</v>
      </c>
      <c r="G1148">
        <v>1387.0694579999999</v>
      </c>
      <c r="H1148">
        <v>1372.5253906</v>
      </c>
      <c r="I1148">
        <v>1287.7305908000001</v>
      </c>
      <c r="J1148">
        <v>1268.6254882999999</v>
      </c>
      <c r="K1148">
        <v>80</v>
      </c>
      <c r="L1148">
        <v>79.939018250000004</v>
      </c>
      <c r="M1148">
        <v>50</v>
      </c>
      <c r="N1148">
        <v>48.342655182000001</v>
      </c>
    </row>
    <row r="1149" spans="1:14" x14ac:dyDescent="0.25">
      <c r="A1149">
        <v>746.92742299999998</v>
      </c>
      <c r="B1149" s="1">
        <f>DATE(2012,5,16) + TIME(22,15,29)</f>
        <v>41045.927418981482</v>
      </c>
      <c r="C1149">
        <v>2400</v>
      </c>
      <c r="D1149">
        <v>0</v>
      </c>
      <c r="E1149">
        <v>0</v>
      </c>
      <c r="F1149">
        <v>2400</v>
      </c>
      <c r="G1149">
        <v>1387.0028076000001</v>
      </c>
      <c r="H1149">
        <v>1372.4705810999999</v>
      </c>
      <c r="I1149">
        <v>1287.7197266000001</v>
      </c>
      <c r="J1149">
        <v>1268.6112060999999</v>
      </c>
      <c r="K1149">
        <v>80</v>
      </c>
      <c r="L1149">
        <v>79.939010620000005</v>
      </c>
      <c r="M1149">
        <v>50</v>
      </c>
      <c r="N1149">
        <v>48.304306029999999</v>
      </c>
    </row>
    <row r="1150" spans="1:14" x14ac:dyDescent="0.25">
      <c r="A1150">
        <v>747.37651700000004</v>
      </c>
      <c r="B1150" s="1">
        <f>DATE(2012,5,17) + TIME(9,2,11)</f>
        <v>41046.376516203702</v>
      </c>
      <c r="C1150">
        <v>2400</v>
      </c>
      <c r="D1150">
        <v>0</v>
      </c>
      <c r="E1150">
        <v>0</v>
      </c>
      <c r="F1150">
        <v>2400</v>
      </c>
      <c r="G1150">
        <v>1386.9355469</v>
      </c>
      <c r="H1150">
        <v>1372.4154053</v>
      </c>
      <c r="I1150">
        <v>1287.7086182</v>
      </c>
      <c r="J1150">
        <v>1268.5965576000001</v>
      </c>
      <c r="K1150">
        <v>80</v>
      </c>
      <c r="L1150">
        <v>79.939002990999995</v>
      </c>
      <c r="M1150">
        <v>50</v>
      </c>
      <c r="N1150">
        <v>48.26530838</v>
      </c>
    </row>
    <row r="1151" spans="1:14" x14ac:dyDescent="0.25">
      <c r="A1151">
        <v>747.83565899999996</v>
      </c>
      <c r="B1151" s="1">
        <f>DATE(2012,5,17) + TIME(20,3,20)</f>
        <v>41046.835648148146</v>
      </c>
      <c r="C1151">
        <v>2400</v>
      </c>
      <c r="D1151">
        <v>0</v>
      </c>
      <c r="E1151">
        <v>0</v>
      </c>
      <c r="F1151">
        <v>2400</v>
      </c>
      <c r="G1151">
        <v>1386.8684082</v>
      </c>
      <c r="H1151">
        <v>1372.3603516000001</v>
      </c>
      <c r="I1151">
        <v>1287.6971435999999</v>
      </c>
      <c r="J1151">
        <v>1268.5816649999999</v>
      </c>
      <c r="K1151">
        <v>80</v>
      </c>
      <c r="L1151">
        <v>79.938987732000001</v>
      </c>
      <c r="M1151">
        <v>50</v>
      </c>
      <c r="N1151">
        <v>48.225639342999997</v>
      </c>
    </row>
    <row r="1152" spans="1:14" x14ac:dyDescent="0.25">
      <c r="A1152">
        <v>748.29987800000004</v>
      </c>
      <c r="B1152" s="1">
        <f>DATE(2012,5,18) + TIME(7,11,49)</f>
        <v>41047.299872685187</v>
      </c>
      <c r="C1152">
        <v>2400</v>
      </c>
      <c r="D1152">
        <v>0</v>
      </c>
      <c r="E1152">
        <v>0</v>
      </c>
      <c r="F1152">
        <v>2400</v>
      </c>
      <c r="G1152">
        <v>1386.8011475000001</v>
      </c>
      <c r="H1152">
        <v>1372.3052978999999</v>
      </c>
      <c r="I1152">
        <v>1287.6853027</v>
      </c>
      <c r="J1152">
        <v>1268.5662841999999</v>
      </c>
      <c r="K1152">
        <v>80</v>
      </c>
      <c r="L1152">
        <v>79.938980103000006</v>
      </c>
      <c r="M1152">
        <v>50</v>
      </c>
      <c r="N1152">
        <v>48.185585021999998</v>
      </c>
    </row>
    <row r="1153" spans="1:14" x14ac:dyDescent="0.25">
      <c r="A1153">
        <v>748.76735099999996</v>
      </c>
      <c r="B1153" s="1">
        <f>DATE(2012,5,18) + TIME(18,24,59)</f>
        <v>41047.76734953704</v>
      </c>
      <c r="C1153">
        <v>2400</v>
      </c>
      <c r="D1153">
        <v>0</v>
      </c>
      <c r="E1153">
        <v>0</v>
      </c>
      <c r="F1153">
        <v>2400</v>
      </c>
      <c r="G1153">
        <v>1386.7347411999999</v>
      </c>
      <c r="H1153">
        <v>1372.2508545000001</v>
      </c>
      <c r="I1153">
        <v>1287.6733397999999</v>
      </c>
      <c r="J1153">
        <v>1268.5506591999999</v>
      </c>
      <c r="K1153">
        <v>80</v>
      </c>
      <c r="L1153">
        <v>79.938972473000007</v>
      </c>
      <c r="M1153">
        <v>50</v>
      </c>
      <c r="N1153">
        <v>48.145313262999998</v>
      </c>
    </row>
    <row r="1154" spans="1:14" x14ac:dyDescent="0.25">
      <c r="A1154">
        <v>749.23939199999995</v>
      </c>
      <c r="B1154" s="1">
        <f>DATE(2012,5,19) + TIME(5,44,43)</f>
        <v>41048.239386574074</v>
      </c>
      <c r="C1154">
        <v>2400</v>
      </c>
      <c r="D1154">
        <v>0</v>
      </c>
      <c r="E1154">
        <v>0</v>
      </c>
      <c r="F1154">
        <v>2400</v>
      </c>
      <c r="G1154">
        <v>1386.6691894999999</v>
      </c>
      <c r="H1154">
        <v>1372.1972656</v>
      </c>
      <c r="I1154">
        <v>1287.6612548999999</v>
      </c>
      <c r="J1154">
        <v>1268.5349120999999</v>
      </c>
      <c r="K1154">
        <v>80</v>
      </c>
      <c r="L1154">
        <v>79.938957213999998</v>
      </c>
      <c r="M1154">
        <v>50</v>
      </c>
      <c r="N1154">
        <v>48.104804993000002</v>
      </c>
    </row>
    <row r="1155" spans="1:14" x14ac:dyDescent="0.25">
      <c r="A1155">
        <v>749.71730400000001</v>
      </c>
      <c r="B1155" s="1">
        <f>DATE(2012,5,19) + TIME(17,12,55)</f>
        <v>41048.717303240737</v>
      </c>
      <c r="C1155">
        <v>2400</v>
      </c>
      <c r="D1155">
        <v>0</v>
      </c>
      <c r="E1155">
        <v>0</v>
      </c>
      <c r="F1155">
        <v>2400</v>
      </c>
      <c r="G1155">
        <v>1386.6044922000001</v>
      </c>
      <c r="H1155">
        <v>1372.1441649999999</v>
      </c>
      <c r="I1155">
        <v>1287.6490478999999</v>
      </c>
      <c r="J1155">
        <v>1268.519043</v>
      </c>
      <c r="K1155">
        <v>80</v>
      </c>
      <c r="L1155">
        <v>79.938949585000003</v>
      </c>
      <c r="M1155">
        <v>50</v>
      </c>
      <c r="N1155">
        <v>48.064018249999997</v>
      </c>
    </row>
    <row r="1156" spans="1:14" x14ac:dyDescent="0.25">
      <c r="A1156">
        <v>750.20241799999997</v>
      </c>
      <c r="B1156" s="1">
        <f>DATE(2012,5,20) + TIME(4,51,28)</f>
        <v>41049.202407407407</v>
      </c>
      <c r="C1156">
        <v>2400</v>
      </c>
      <c r="D1156">
        <v>0</v>
      </c>
      <c r="E1156">
        <v>0</v>
      </c>
      <c r="F1156">
        <v>2400</v>
      </c>
      <c r="G1156">
        <v>1386.5401611</v>
      </c>
      <c r="H1156">
        <v>1372.0915527</v>
      </c>
      <c r="I1156">
        <v>1287.6365966999999</v>
      </c>
      <c r="J1156">
        <v>1268.5028076000001</v>
      </c>
      <c r="K1156">
        <v>80</v>
      </c>
      <c r="L1156">
        <v>79.938934325999995</v>
      </c>
      <c r="M1156">
        <v>50</v>
      </c>
      <c r="N1156">
        <v>48.022884369000003</v>
      </c>
    </row>
    <row r="1157" spans="1:14" x14ac:dyDescent="0.25">
      <c r="A1157">
        <v>750.69612800000004</v>
      </c>
      <c r="B1157" s="1">
        <f>DATE(2012,5,20) + TIME(16,42,25)</f>
        <v>41049.696122685185</v>
      </c>
      <c r="C1157">
        <v>2400</v>
      </c>
      <c r="D1157">
        <v>0</v>
      </c>
      <c r="E1157">
        <v>0</v>
      </c>
      <c r="F1157">
        <v>2400</v>
      </c>
      <c r="G1157">
        <v>1386.4763184000001</v>
      </c>
      <c r="H1157">
        <v>1372.0393065999999</v>
      </c>
      <c r="I1157">
        <v>1287.6240233999999</v>
      </c>
      <c r="J1157">
        <v>1268.4863281</v>
      </c>
      <c r="K1157">
        <v>80</v>
      </c>
      <c r="L1157">
        <v>79.938926696999999</v>
      </c>
      <c r="M1157">
        <v>50</v>
      </c>
      <c r="N1157">
        <v>47.981319427000003</v>
      </c>
    </row>
    <row r="1158" spans="1:14" x14ac:dyDescent="0.25">
      <c r="A1158">
        <v>751.19991200000004</v>
      </c>
      <c r="B1158" s="1">
        <f>DATE(2012,5,21) + TIME(4,47,52)</f>
        <v>41050.199907407405</v>
      </c>
      <c r="C1158">
        <v>2400</v>
      </c>
      <c r="D1158">
        <v>0</v>
      </c>
      <c r="E1158">
        <v>0</v>
      </c>
      <c r="F1158">
        <v>2400</v>
      </c>
      <c r="G1158">
        <v>1386.4125977000001</v>
      </c>
      <c r="H1158">
        <v>1371.9871826000001</v>
      </c>
      <c r="I1158">
        <v>1287.6112060999999</v>
      </c>
      <c r="J1158">
        <v>1268.4694824000001</v>
      </c>
      <c r="K1158">
        <v>80</v>
      </c>
      <c r="L1158">
        <v>79.938911438000005</v>
      </c>
      <c r="M1158">
        <v>50</v>
      </c>
      <c r="N1158">
        <v>47.939228057999998</v>
      </c>
    </row>
    <row r="1159" spans="1:14" x14ac:dyDescent="0.25">
      <c r="A1159">
        <v>751.71535200000005</v>
      </c>
      <c r="B1159" s="1">
        <f>DATE(2012,5,21) + TIME(17,10,6)</f>
        <v>41050.71534722222</v>
      </c>
      <c r="C1159">
        <v>2400</v>
      </c>
      <c r="D1159">
        <v>0</v>
      </c>
      <c r="E1159">
        <v>0</v>
      </c>
      <c r="F1159">
        <v>2400</v>
      </c>
      <c r="G1159">
        <v>1386.3488769999999</v>
      </c>
      <c r="H1159">
        <v>1371.9350586</v>
      </c>
      <c r="I1159">
        <v>1287.5980225000001</v>
      </c>
      <c r="J1159">
        <v>1268.4522704999999</v>
      </c>
      <c r="K1159">
        <v>80</v>
      </c>
      <c r="L1159">
        <v>79.938903808999996</v>
      </c>
      <c r="M1159">
        <v>50</v>
      </c>
      <c r="N1159">
        <v>47.896503447999997</v>
      </c>
    </row>
    <row r="1160" spans="1:14" x14ac:dyDescent="0.25">
      <c r="A1160">
        <v>752.24257699999998</v>
      </c>
      <c r="B1160" s="1">
        <f>DATE(2012,5,22) + TIME(5,49,18)</f>
        <v>41051.242569444446</v>
      </c>
      <c r="C1160">
        <v>2400</v>
      </c>
      <c r="D1160">
        <v>0</v>
      </c>
      <c r="E1160">
        <v>0</v>
      </c>
      <c r="F1160">
        <v>2400</v>
      </c>
      <c r="G1160">
        <v>1386.2849120999999</v>
      </c>
      <c r="H1160">
        <v>1371.8828125</v>
      </c>
      <c r="I1160">
        <v>1287.5844727000001</v>
      </c>
      <c r="J1160">
        <v>1268.4345702999999</v>
      </c>
      <c r="K1160">
        <v>80</v>
      </c>
      <c r="L1160">
        <v>79.938896178999997</v>
      </c>
      <c r="M1160">
        <v>50</v>
      </c>
      <c r="N1160">
        <v>47.853115082000002</v>
      </c>
    </row>
    <row r="1161" spans="1:14" x14ac:dyDescent="0.25">
      <c r="A1161">
        <v>752.78029700000002</v>
      </c>
      <c r="B1161" s="1">
        <f>DATE(2012,5,22) + TIME(18,43,37)</f>
        <v>41051.780289351853</v>
      </c>
      <c r="C1161">
        <v>2400</v>
      </c>
      <c r="D1161">
        <v>0</v>
      </c>
      <c r="E1161">
        <v>0</v>
      </c>
      <c r="F1161">
        <v>2400</v>
      </c>
      <c r="G1161">
        <v>1386.2208252</v>
      </c>
      <c r="H1161">
        <v>1371.8303223</v>
      </c>
      <c r="I1161">
        <v>1287.5705565999999</v>
      </c>
      <c r="J1161">
        <v>1268.4163818</v>
      </c>
      <c r="K1161">
        <v>80</v>
      </c>
      <c r="L1161">
        <v>79.938880920000003</v>
      </c>
      <c r="M1161">
        <v>50</v>
      </c>
      <c r="N1161">
        <v>47.809108733999999</v>
      </c>
    </row>
    <row r="1162" spans="1:14" x14ac:dyDescent="0.25">
      <c r="A1162">
        <v>753.33020099999999</v>
      </c>
      <c r="B1162" s="1">
        <f>DATE(2012,5,23) + TIME(7,55,29)</f>
        <v>41052.330196759256</v>
      </c>
      <c r="C1162">
        <v>2400</v>
      </c>
      <c r="D1162">
        <v>0</v>
      </c>
      <c r="E1162">
        <v>0</v>
      </c>
      <c r="F1162">
        <v>2400</v>
      </c>
      <c r="G1162">
        <v>1386.1567382999999</v>
      </c>
      <c r="H1162">
        <v>1371.7779541</v>
      </c>
      <c r="I1162">
        <v>1287.5562743999999</v>
      </c>
      <c r="J1162">
        <v>1268.3978271000001</v>
      </c>
      <c r="K1162">
        <v>80</v>
      </c>
      <c r="L1162">
        <v>79.938873290999993</v>
      </c>
      <c r="M1162">
        <v>50</v>
      </c>
      <c r="N1162">
        <v>47.764411926000001</v>
      </c>
    </row>
    <row r="1163" spans="1:14" x14ac:dyDescent="0.25">
      <c r="A1163">
        <v>753.89407400000005</v>
      </c>
      <c r="B1163" s="1">
        <f>DATE(2012,5,23) + TIME(21,27,27)</f>
        <v>41052.894062500003</v>
      </c>
      <c r="C1163">
        <v>2400</v>
      </c>
      <c r="D1163">
        <v>0</v>
      </c>
      <c r="E1163">
        <v>0</v>
      </c>
      <c r="F1163">
        <v>2400</v>
      </c>
      <c r="G1163">
        <v>1386.0925293</v>
      </c>
      <c r="H1163">
        <v>1371.7253418</v>
      </c>
      <c r="I1163">
        <v>1287.541626</v>
      </c>
      <c r="J1163">
        <v>1268.3786620999999</v>
      </c>
      <c r="K1163">
        <v>80</v>
      </c>
      <c r="L1163">
        <v>79.938865661999998</v>
      </c>
      <c r="M1163">
        <v>50</v>
      </c>
      <c r="N1163">
        <v>47.718921661000003</v>
      </c>
    </row>
    <row r="1164" spans="1:14" x14ac:dyDescent="0.25">
      <c r="A1164">
        <v>754.47389699999997</v>
      </c>
      <c r="B1164" s="1">
        <f>DATE(2012,5,24) + TIME(11,22,24)</f>
        <v>41053.47388888889</v>
      </c>
      <c r="C1164">
        <v>2400</v>
      </c>
      <c r="D1164">
        <v>0</v>
      </c>
      <c r="E1164">
        <v>0</v>
      </c>
      <c r="F1164">
        <v>2400</v>
      </c>
      <c r="G1164">
        <v>1386.027832</v>
      </c>
      <c r="H1164">
        <v>1371.6724853999999</v>
      </c>
      <c r="I1164">
        <v>1287.5266113</v>
      </c>
      <c r="J1164">
        <v>1268.3590088000001</v>
      </c>
      <c r="K1164">
        <v>80</v>
      </c>
      <c r="L1164">
        <v>79.938858031999999</v>
      </c>
      <c r="M1164">
        <v>50</v>
      </c>
      <c r="N1164">
        <v>47.672523499</v>
      </c>
    </row>
    <row r="1165" spans="1:14" x14ac:dyDescent="0.25">
      <c r="A1165">
        <v>755.06825600000002</v>
      </c>
      <c r="B1165" s="1">
        <f>DATE(2012,5,25) + TIME(1,38,17)</f>
        <v>41054.068252314813</v>
      </c>
      <c r="C1165">
        <v>2400</v>
      </c>
      <c r="D1165">
        <v>0</v>
      </c>
      <c r="E1165">
        <v>0</v>
      </c>
      <c r="F1165">
        <v>2400</v>
      </c>
      <c r="G1165">
        <v>1385.9626464999999</v>
      </c>
      <c r="H1165">
        <v>1371.6192627</v>
      </c>
      <c r="I1165">
        <v>1287.5109863</v>
      </c>
      <c r="J1165">
        <v>1268.3386230000001</v>
      </c>
      <c r="K1165">
        <v>80</v>
      </c>
      <c r="L1165">
        <v>79.938850403000004</v>
      </c>
      <c r="M1165">
        <v>50</v>
      </c>
      <c r="N1165">
        <v>47.625247954999999</v>
      </c>
    </row>
    <row r="1166" spans="1:14" x14ac:dyDescent="0.25">
      <c r="A1166">
        <v>755.66468099999997</v>
      </c>
      <c r="B1166" s="1">
        <f>DATE(2012,5,25) + TIME(15,57,8)</f>
        <v>41054.664675925924</v>
      </c>
      <c r="C1166">
        <v>2400</v>
      </c>
      <c r="D1166">
        <v>0</v>
      </c>
      <c r="E1166">
        <v>0</v>
      </c>
      <c r="F1166">
        <v>2400</v>
      </c>
      <c r="G1166">
        <v>1385.8970947</v>
      </c>
      <c r="H1166">
        <v>1371.5656738</v>
      </c>
      <c r="I1166">
        <v>1287.4948730000001</v>
      </c>
      <c r="J1166">
        <v>1268.317749</v>
      </c>
      <c r="K1166">
        <v>80</v>
      </c>
      <c r="L1166">
        <v>79.938842773000005</v>
      </c>
      <c r="M1166">
        <v>50</v>
      </c>
      <c r="N1166">
        <v>47.577690124999997</v>
      </c>
    </row>
    <row r="1167" spans="1:14" x14ac:dyDescent="0.25">
      <c r="A1167">
        <v>756.26491599999997</v>
      </c>
      <c r="B1167" s="1">
        <f>DATE(2012,5,26) + TIME(6,21,28)</f>
        <v>41055.264907407407</v>
      </c>
      <c r="C1167">
        <v>2400</v>
      </c>
      <c r="D1167">
        <v>0</v>
      </c>
      <c r="E1167">
        <v>0</v>
      </c>
      <c r="F1167">
        <v>2400</v>
      </c>
      <c r="G1167">
        <v>1385.8326416</v>
      </c>
      <c r="H1167">
        <v>1371.5129394999999</v>
      </c>
      <c r="I1167">
        <v>1287.4786377</v>
      </c>
      <c r="J1167">
        <v>1268.2965088000001</v>
      </c>
      <c r="K1167">
        <v>80</v>
      </c>
      <c r="L1167">
        <v>79.938835143999995</v>
      </c>
      <c r="M1167">
        <v>50</v>
      </c>
      <c r="N1167">
        <v>47.529930114999999</v>
      </c>
    </row>
    <row r="1168" spans="1:14" x14ac:dyDescent="0.25">
      <c r="A1168">
        <v>756.87066700000003</v>
      </c>
      <c r="B1168" s="1">
        <f>DATE(2012,5,26) + TIME(20,53,45)</f>
        <v>41055.870659722219</v>
      </c>
      <c r="C1168">
        <v>2400</v>
      </c>
      <c r="D1168">
        <v>0</v>
      </c>
      <c r="E1168">
        <v>0</v>
      </c>
      <c r="F1168">
        <v>2400</v>
      </c>
      <c r="G1168">
        <v>1385.7689209</v>
      </c>
      <c r="H1168">
        <v>1371.4608154</v>
      </c>
      <c r="I1168">
        <v>1287.4622803</v>
      </c>
      <c r="J1168">
        <v>1268.2751464999999</v>
      </c>
      <c r="K1168">
        <v>80</v>
      </c>
      <c r="L1168">
        <v>79.938827515</v>
      </c>
      <c r="M1168">
        <v>50</v>
      </c>
      <c r="N1168">
        <v>47.481964111000003</v>
      </c>
    </row>
    <row r="1169" spans="1:14" x14ac:dyDescent="0.25">
      <c r="A1169">
        <v>757.483653</v>
      </c>
      <c r="B1169" s="1">
        <f>DATE(2012,5,27) + TIME(11,36,27)</f>
        <v>41056.48364583333</v>
      </c>
      <c r="C1169">
        <v>2400</v>
      </c>
      <c r="D1169">
        <v>0</v>
      </c>
      <c r="E1169">
        <v>0</v>
      </c>
      <c r="F1169">
        <v>2400</v>
      </c>
      <c r="G1169">
        <v>1385.7059326000001</v>
      </c>
      <c r="H1169">
        <v>1371.4091797000001</v>
      </c>
      <c r="I1169">
        <v>1287.4456786999999</v>
      </c>
      <c r="J1169">
        <v>1268.253418</v>
      </c>
      <c r="K1169">
        <v>80</v>
      </c>
      <c r="L1169">
        <v>79.938819885000001</v>
      </c>
      <c r="M1169">
        <v>50</v>
      </c>
      <c r="N1169">
        <v>47.433734893999997</v>
      </c>
    </row>
    <row r="1170" spans="1:14" x14ac:dyDescent="0.25">
      <c r="A1170">
        <v>758.105638</v>
      </c>
      <c r="B1170" s="1">
        <f>DATE(2012,5,28) + TIME(2,32,7)</f>
        <v>41057.105636574073</v>
      </c>
      <c r="C1170">
        <v>2400</v>
      </c>
      <c r="D1170">
        <v>0</v>
      </c>
      <c r="E1170">
        <v>0</v>
      </c>
      <c r="F1170">
        <v>2400</v>
      </c>
      <c r="G1170">
        <v>1385.6431885</v>
      </c>
      <c r="H1170">
        <v>1371.3579102000001</v>
      </c>
      <c r="I1170">
        <v>1287.4287108999999</v>
      </c>
      <c r="J1170">
        <v>1268.2312012</v>
      </c>
      <c r="K1170">
        <v>80</v>
      </c>
      <c r="L1170">
        <v>79.938819885000001</v>
      </c>
      <c r="M1170">
        <v>50</v>
      </c>
      <c r="N1170">
        <v>47.385154724000003</v>
      </c>
    </row>
    <row r="1171" spans="1:14" x14ac:dyDescent="0.25">
      <c r="A1171">
        <v>758.73846900000001</v>
      </c>
      <c r="B1171" s="1">
        <f>DATE(2012,5,28) + TIME(17,43,23)</f>
        <v>41057.73846064815</v>
      </c>
      <c r="C1171">
        <v>2400</v>
      </c>
      <c r="D1171">
        <v>0</v>
      </c>
      <c r="E1171">
        <v>0</v>
      </c>
      <c r="F1171">
        <v>2400</v>
      </c>
      <c r="G1171">
        <v>1385.5808105000001</v>
      </c>
      <c r="H1171">
        <v>1371.3068848</v>
      </c>
      <c r="I1171">
        <v>1287.411499</v>
      </c>
      <c r="J1171">
        <v>1268.2086182</v>
      </c>
      <c r="K1171">
        <v>80</v>
      </c>
      <c r="L1171">
        <v>79.938812256000006</v>
      </c>
      <c r="M1171">
        <v>50</v>
      </c>
      <c r="N1171">
        <v>47.336116791000002</v>
      </c>
    </row>
    <row r="1172" spans="1:14" x14ac:dyDescent="0.25">
      <c r="A1172">
        <v>759.384096</v>
      </c>
      <c r="B1172" s="1">
        <f>DATE(2012,5,29) + TIME(9,13,5)</f>
        <v>41058.384085648147</v>
      </c>
      <c r="C1172">
        <v>2400</v>
      </c>
      <c r="D1172">
        <v>0</v>
      </c>
      <c r="E1172">
        <v>0</v>
      </c>
      <c r="F1172">
        <v>2400</v>
      </c>
      <c r="G1172">
        <v>1385.5184326000001</v>
      </c>
      <c r="H1172">
        <v>1371.2557373</v>
      </c>
      <c r="I1172">
        <v>1287.3937988</v>
      </c>
      <c r="J1172">
        <v>1268.1854248</v>
      </c>
      <c r="K1172">
        <v>80</v>
      </c>
      <c r="L1172">
        <v>79.938812256000006</v>
      </c>
      <c r="M1172">
        <v>50</v>
      </c>
      <c r="N1172">
        <v>47.286499022999998</v>
      </c>
    </row>
    <row r="1173" spans="1:14" x14ac:dyDescent="0.25">
      <c r="A1173">
        <v>760.04187200000001</v>
      </c>
      <c r="B1173" s="1">
        <f>DATE(2012,5,30) + TIME(1,0,17)</f>
        <v>41059.041863425926</v>
      </c>
      <c r="C1173">
        <v>2400</v>
      </c>
      <c r="D1173">
        <v>0</v>
      </c>
      <c r="E1173">
        <v>0</v>
      </c>
      <c r="F1173">
        <v>2400</v>
      </c>
      <c r="G1173">
        <v>1385.4559326000001</v>
      </c>
      <c r="H1173">
        <v>1371.2045897999999</v>
      </c>
      <c r="I1173">
        <v>1287.3757324000001</v>
      </c>
      <c r="J1173">
        <v>1268.1616211</v>
      </c>
      <c r="K1173">
        <v>80</v>
      </c>
      <c r="L1173">
        <v>79.938812256000006</v>
      </c>
      <c r="M1173">
        <v>50</v>
      </c>
      <c r="N1173">
        <v>47.236286163000003</v>
      </c>
    </row>
    <row r="1174" spans="1:14" x14ac:dyDescent="0.25">
      <c r="A1174">
        <v>760.71251900000004</v>
      </c>
      <c r="B1174" s="1">
        <f>DATE(2012,5,30) + TIME(17,6,1)</f>
        <v>41059.712511574071</v>
      </c>
      <c r="C1174">
        <v>2400</v>
      </c>
      <c r="D1174">
        <v>0</v>
      </c>
      <c r="E1174">
        <v>0</v>
      </c>
      <c r="F1174">
        <v>2400</v>
      </c>
      <c r="G1174">
        <v>1385.3933105000001</v>
      </c>
      <c r="H1174">
        <v>1371.1533202999999</v>
      </c>
      <c r="I1174">
        <v>1287.3570557</v>
      </c>
      <c r="J1174">
        <v>1268.137207</v>
      </c>
      <c r="K1174">
        <v>80</v>
      </c>
      <c r="L1174">
        <v>79.938812256000006</v>
      </c>
      <c r="M1174">
        <v>50</v>
      </c>
      <c r="N1174">
        <v>47.185436248999999</v>
      </c>
    </row>
    <row r="1175" spans="1:14" x14ac:dyDescent="0.25">
      <c r="A1175">
        <v>761.39810799999998</v>
      </c>
      <c r="B1175" s="1">
        <f>DATE(2012,5,31) + TIME(9,33,16)</f>
        <v>41060.398101851853</v>
      </c>
      <c r="C1175">
        <v>2400</v>
      </c>
      <c r="D1175">
        <v>0</v>
      </c>
      <c r="E1175">
        <v>0</v>
      </c>
      <c r="F1175">
        <v>2400</v>
      </c>
      <c r="G1175">
        <v>1385.3306885</v>
      </c>
      <c r="H1175">
        <v>1371.1020507999999</v>
      </c>
      <c r="I1175">
        <v>1287.3380127</v>
      </c>
      <c r="J1175">
        <v>1268.1120605000001</v>
      </c>
      <c r="K1175">
        <v>80</v>
      </c>
      <c r="L1175">
        <v>79.938812256000006</v>
      </c>
      <c r="M1175">
        <v>50</v>
      </c>
      <c r="N1175">
        <v>47.133846282999997</v>
      </c>
    </row>
    <row r="1176" spans="1:14" x14ac:dyDescent="0.25">
      <c r="A1176">
        <v>762</v>
      </c>
      <c r="B1176" s="1">
        <f>DATE(2012,6,1) + TIME(0,0,0)</f>
        <v>41061</v>
      </c>
      <c r="C1176">
        <v>2400</v>
      </c>
      <c r="D1176">
        <v>0</v>
      </c>
      <c r="E1176">
        <v>0</v>
      </c>
      <c r="F1176">
        <v>2400</v>
      </c>
      <c r="G1176">
        <v>1385.2675781</v>
      </c>
      <c r="H1176">
        <v>1371.0504149999999</v>
      </c>
      <c r="I1176">
        <v>1287.3178711</v>
      </c>
      <c r="J1176">
        <v>1268.0866699000001</v>
      </c>
      <c r="K1176">
        <v>80</v>
      </c>
      <c r="L1176">
        <v>79.938804626000007</v>
      </c>
      <c r="M1176">
        <v>50</v>
      </c>
      <c r="N1176">
        <v>47.085857390999998</v>
      </c>
    </row>
    <row r="1177" spans="1:14" x14ac:dyDescent="0.25">
      <c r="A1177">
        <v>762.702765</v>
      </c>
      <c r="B1177" s="1">
        <f>DATE(2012,6,1) + TIME(16,51,58)</f>
        <v>41061.70275462963</v>
      </c>
      <c r="C1177">
        <v>2400</v>
      </c>
      <c r="D1177">
        <v>0</v>
      </c>
      <c r="E1177">
        <v>0</v>
      </c>
      <c r="F1177">
        <v>2400</v>
      </c>
      <c r="G1177">
        <v>1385.2132568</v>
      </c>
      <c r="H1177">
        <v>1371.0058594</v>
      </c>
      <c r="I1177">
        <v>1287.3010254000001</v>
      </c>
      <c r="J1177">
        <v>1268.0631103999999</v>
      </c>
      <c r="K1177">
        <v>80</v>
      </c>
      <c r="L1177">
        <v>79.938812256000006</v>
      </c>
      <c r="M1177">
        <v>50</v>
      </c>
      <c r="N1177">
        <v>47.034584045000003</v>
      </c>
    </row>
    <row r="1178" spans="1:14" x14ac:dyDescent="0.25">
      <c r="A1178">
        <v>763.07325200000002</v>
      </c>
      <c r="B1178" s="1">
        <f>DATE(2012,6,2) + TIME(1,45,29)</f>
        <v>41062.073252314818</v>
      </c>
      <c r="C1178">
        <v>2400</v>
      </c>
      <c r="D1178">
        <v>0</v>
      </c>
      <c r="E1178">
        <v>0</v>
      </c>
      <c r="F1178">
        <v>2400</v>
      </c>
      <c r="G1178">
        <v>1385.1507568</v>
      </c>
      <c r="H1178">
        <v>1370.9545897999999</v>
      </c>
      <c r="I1178">
        <v>1287.2786865</v>
      </c>
      <c r="J1178">
        <v>1268.0380858999999</v>
      </c>
      <c r="K1178">
        <v>80</v>
      </c>
      <c r="L1178">
        <v>79.938804626000007</v>
      </c>
      <c r="M1178">
        <v>50</v>
      </c>
      <c r="N1178">
        <v>46.999946594000001</v>
      </c>
    </row>
    <row r="1179" spans="1:14" x14ac:dyDescent="0.25">
      <c r="A1179">
        <v>763.44374000000005</v>
      </c>
      <c r="B1179" s="1">
        <f>DATE(2012,6,2) + TIME(10,38,59)</f>
        <v>41062.443738425929</v>
      </c>
      <c r="C1179">
        <v>2400</v>
      </c>
      <c r="D1179">
        <v>0</v>
      </c>
      <c r="E1179">
        <v>0</v>
      </c>
      <c r="F1179">
        <v>2400</v>
      </c>
      <c r="G1179">
        <v>1385.1179199000001</v>
      </c>
      <c r="H1179">
        <v>1370.9276123</v>
      </c>
      <c r="I1179">
        <v>1287.2680664</v>
      </c>
      <c r="J1179">
        <v>1268.0229492000001</v>
      </c>
      <c r="K1179">
        <v>80</v>
      </c>
      <c r="L1179">
        <v>79.938796996999997</v>
      </c>
      <c r="M1179">
        <v>50</v>
      </c>
      <c r="N1179">
        <v>46.967391968000001</v>
      </c>
    </row>
    <row r="1180" spans="1:14" x14ac:dyDescent="0.25">
      <c r="A1180">
        <v>763.81422699999996</v>
      </c>
      <c r="B1180" s="1">
        <f>DATE(2012,6,2) + TIME(19,32,29)</f>
        <v>41062.81422453704</v>
      </c>
      <c r="C1180">
        <v>2400</v>
      </c>
      <c r="D1180">
        <v>0</v>
      </c>
      <c r="E1180">
        <v>0</v>
      </c>
      <c r="F1180">
        <v>2400</v>
      </c>
      <c r="G1180">
        <v>1385.0858154</v>
      </c>
      <c r="H1180">
        <v>1370.9011230000001</v>
      </c>
      <c r="I1180">
        <v>1287.2574463000001</v>
      </c>
      <c r="J1180">
        <v>1268.0080565999999</v>
      </c>
      <c r="K1180">
        <v>80</v>
      </c>
      <c r="L1180">
        <v>79.938796996999997</v>
      </c>
      <c r="M1180">
        <v>50</v>
      </c>
      <c r="N1180">
        <v>46.936325072999999</v>
      </c>
    </row>
    <row r="1181" spans="1:14" x14ac:dyDescent="0.25">
      <c r="A1181">
        <v>764.55520200000001</v>
      </c>
      <c r="B1181" s="1">
        <f>DATE(2012,6,3) + TIME(13,19,29)</f>
        <v>41063.555196759262</v>
      </c>
      <c r="C1181">
        <v>2400</v>
      </c>
      <c r="D1181">
        <v>0</v>
      </c>
      <c r="E1181">
        <v>0</v>
      </c>
      <c r="F1181">
        <v>2400</v>
      </c>
      <c r="G1181">
        <v>1385.0541992000001</v>
      </c>
      <c r="H1181">
        <v>1370.8752440999999</v>
      </c>
      <c r="I1181">
        <v>1287.2484131000001</v>
      </c>
      <c r="J1181">
        <v>1267.9916992000001</v>
      </c>
      <c r="K1181">
        <v>80</v>
      </c>
      <c r="L1181">
        <v>79.938812256000006</v>
      </c>
      <c r="M1181">
        <v>50</v>
      </c>
      <c r="N1181">
        <v>46.890041351000001</v>
      </c>
    </row>
    <row r="1182" spans="1:14" x14ac:dyDescent="0.25">
      <c r="A1182">
        <v>765.29695700000002</v>
      </c>
      <c r="B1182" s="1">
        <f>DATE(2012,6,4) + TIME(7,7,37)</f>
        <v>41064.296956018516</v>
      </c>
      <c r="C1182">
        <v>2400</v>
      </c>
      <c r="D1182">
        <v>0</v>
      </c>
      <c r="E1182">
        <v>0</v>
      </c>
      <c r="F1182">
        <v>2400</v>
      </c>
      <c r="G1182">
        <v>1384.9914550999999</v>
      </c>
      <c r="H1182">
        <v>1370.8237305</v>
      </c>
      <c r="I1182">
        <v>1287.2260742000001</v>
      </c>
      <c r="J1182">
        <v>1267.9633789</v>
      </c>
      <c r="K1182">
        <v>80</v>
      </c>
      <c r="L1182">
        <v>79.938819885000001</v>
      </c>
      <c r="M1182">
        <v>50</v>
      </c>
      <c r="N1182">
        <v>46.839862822999997</v>
      </c>
    </row>
    <row r="1183" spans="1:14" x14ac:dyDescent="0.25">
      <c r="A1183">
        <v>766.04353800000001</v>
      </c>
      <c r="B1183" s="1">
        <f>DATE(2012,6,5) + TIME(1,2,41)</f>
        <v>41065.043530092589</v>
      </c>
      <c r="C1183">
        <v>2400</v>
      </c>
      <c r="D1183">
        <v>0</v>
      </c>
      <c r="E1183">
        <v>0</v>
      </c>
      <c r="F1183">
        <v>2400</v>
      </c>
      <c r="G1183">
        <v>1384.9294434000001</v>
      </c>
      <c r="H1183">
        <v>1370.7728271000001</v>
      </c>
      <c r="I1183">
        <v>1287.2036132999999</v>
      </c>
      <c r="J1183">
        <v>1267.9342041</v>
      </c>
      <c r="K1183">
        <v>80</v>
      </c>
      <c r="L1183">
        <v>79.938827515</v>
      </c>
      <c r="M1183">
        <v>50</v>
      </c>
      <c r="N1183">
        <v>46.787536621000001</v>
      </c>
    </row>
    <row r="1184" spans="1:14" x14ac:dyDescent="0.25">
      <c r="A1184">
        <v>766.79689800000006</v>
      </c>
      <c r="B1184" s="1">
        <f>DATE(2012,6,5) + TIME(19,7,31)</f>
        <v>41065.796886574077</v>
      </c>
      <c r="C1184">
        <v>2400</v>
      </c>
      <c r="D1184">
        <v>0</v>
      </c>
      <c r="E1184">
        <v>0</v>
      </c>
      <c r="F1184">
        <v>2400</v>
      </c>
      <c r="G1184">
        <v>1384.8680420000001</v>
      </c>
      <c r="H1184">
        <v>1370.7224120999999</v>
      </c>
      <c r="I1184">
        <v>1287.1809082</v>
      </c>
      <c r="J1184">
        <v>1267.9044189000001</v>
      </c>
      <c r="K1184">
        <v>80</v>
      </c>
      <c r="L1184">
        <v>79.938835143999995</v>
      </c>
      <c r="M1184">
        <v>50</v>
      </c>
      <c r="N1184">
        <v>46.733943939</v>
      </c>
    </row>
    <row r="1185" spans="1:14" x14ac:dyDescent="0.25">
      <c r="A1185">
        <v>767.559032</v>
      </c>
      <c r="B1185" s="1">
        <f>DATE(2012,6,6) + TIME(13,25,0)</f>
        <v>41066.559027777781</v>
      </c>
      <c r="C1185">
        <v>2400</v>
      </c>
      <c r="D1185">
        <v>0</v>
      </c>
      <c r="E1185">
        <v>0</v>
      </c>
      <c r="F1185">
        <v>2400</v>
      </c>
      <c r="G1185">
        <v>1384.8070068</v>
      </c>
      <c r="H1185">
        <v>1370.6722411999999</v>
      </c>
      <c r="I1185">
        <v>1287.1579589999999</v>
      </c>
      <c r="J1185">
        <v>1267.8740233999999</v>
      </c>
      <c r="K1185">
        <v>80</v>
      </c>
      <c r="L1185">
        <v>79.938835143999995</v>
      </c>
      <c r="M1185">
        <v>50</v>
      </c>
      <c r="N1185">
        <v>46.679504395000002</v>
      </c>
    </row>
    <row r="1186" spans="1:14" x14ac:dyDescent="0.25">
      <c r="A1186">
        <v>768.33199999999999</v>
      </c>
      <c r="B1186" s="1">
        <f>DATE(2012,6,7) + TIME(7,58,4)</f>
        <v>41067.331990740742</v>
      </c>
      <c r="C1186">
        <v>2400</v>
      </c>
      <c r="D1186">
        <v>0</v>
      </c>
      <c r="E1186">
        <v>0</v>
      </c>
      <c r="F1186">
        <v>2400</v>
      </c>
      <c r="G1186">
        <v>1384.7464600000001</v>
      </c>
      <c r="H1186">
        <v>1370.6224365</v>
      </c>
      <c r="I1186">
        <v>1287.1343993999999</v>
      </c>
      <c r="J1186">
        <v>1267.8427733999999</v>
      </c>
      <c r="K1186">
        <v>80</v>
      </c>
      <c r="L1186">
        <v>79.938842773000005</v>
      </c>
      <c r="M1186">
        <v>50</v>
      </c>
      <c r="N1186">
        <v>46.624366760000001</v>
      </c>
    </row>
    <row r="1187" spans="1:14" x14ac:dyDescent="0.25">
      <c r="A1187">
        <v>769.11795700000005</v>
      </c>
      <c r="B1187" s="1">
        <f>DATE(2012,6,8) + TIME(2,49,51)</f>
        <v>41068.117951388886</v>
      </c>
      <c r="C1187">
        <v>2400</v>
      </c>
      <c r="D1187">
        <v>0</v>
      </c>
      <c r="E1187">
        <v>0</v>
      </c>
      <c r="F1187">
        <v>2400</v>
      </c>
      <c r="G1187">
        <v>1384.6859131000001</v>
      </c>
      <c r="H1187">
        <v>1370.5725098</v>
      </c>
      <c r="I1187">
        <v>1287.1103516000001</v>
      </c>
      <c r="J1187">
        <v>1267.8106689000001</v>
      </c>
      <c r="K1187">
        <v>80</v>
      </c>
      <c r="L1187">
        <v>79.938858031999999</v>
      </c>
      <c r="M1187">
        <v>50</v>
      </c>
      <c r="N1187">
        <v>46.568550109999997</v>
      </c>
    </row>
    <row r="1188" spans="1:14" x14ac:dyDescent="0.25">
      <c r="A1188">
        <v>769.91918199999998</v>
      </c>
      <c r="B1188" s="1">
        <f>DATE(2012,6,8) + TIME(22,3,37)</f>
        <v>41068.919178240743</v>
      </c>
      <c r="C1188">
        <v>2400</v>
      </c>
      <c r="D1188">
        <v>0</v>
      </c>
      <c r="E1188">
        <v>0</v>
      </c>
      <c r="F1188">
        <v>2400</v>
      </c>
      <c r="G1188">
        <v>1384.6253661999999</v>
      </c>
      <c r="H1188">
        <v>1370.5227050999999</v>
      </c>
      <c r="I1188">
        <v>1287.0855713000001</v>
      </c>
      <c r="J1188">
        <v>1267.7777100000001</v>
      </c>
      <c r="K1188">
        <v>80</v>
      </c>
      <c r="L1188">
        <v>79.938865661999998</v>
      </c>
      <c r="M1188">
        <v>50</v>
      </c>
      <c r="N1188">
        <v>46.511993408000002</v>
      </c>
    </row>
    <row r="1189" spans="1:14" x14ac:dyDescent="0.25">
      <c r="A1189">
        <v>770.73814400000003</v>
      </c>
      <c r="B1189" s="1">
        <f>DATE(2012,6,9) + TIME(17,42,55)</f>
        <v>41069.738136574073</v>
      </c>
      <c r="C1189">
        <v>2400</v>
      </c>
      <c r="D1189">
        <v>0</v>
      </c>
      <c r="E1189">
        <v>0</v>
      </c>
      <c r="F1189">
        <v>2400</v>
      </c>
      <c r="G1189">
        <v>1384.5645752</v>
      </c>
      <c r="H1189">
        <v>1370.4726562000001</v>
      </c>
      <c r="I1189">
        <v>1287.0601807</v>
      </c>
      <c r="J1189">
        <v>1267.7436522999999</v>
      </c>
      <c r="K1189">
        <v>80</v>
      </c>
      <c r="L1189">
        <v>79.938873290999993</v>
      </c>
      <c r="M1189">
        <v>50</v>
      </c>
      <c r="N1189">
        <v>46.454586028999998</v>
      </c>
    </row>
    <row r="1190" spans="1:14" x14ac:dyDescent="0.25">
      <c r="A1190">
        <v>771.57755199999997</v>
      </c>
      <c r="B1190" s="1">
        <f>DATE(2012,6,10) + TIME(13,51,40)</f>
        <v>41070.577546296299</v>
      </c>
      <c r="C1190">
        <v>2400</v>
      </c>
      <c r="D1190">
        <v>0</v>
      </c>
      <c r="E1190">
        <v>0</v>
      </c>
      <c r="F1190">
        <v>2400</v>
      </c>
      <c r="G1190">
        <v>1384.503418</v>
      </c>
      <c r="H1190">
        <v>1370.4222411999999</v>
      </c>
      <c r="I1190">
        <v>1287.0339355000001</v>
      </c>
      <c r="J1190">
        <v>1267.7084961</v>
      </c>
      <c r="K1190">
        <v>80</v>
      </c>
      <c r="L1190">
        <v>79.938888550000001</v>
      </c>
      <c r="M1190">
        <v>50</v>
      </c>
      <c r="N1190">
        <v>46.396183014000002</v>
      </c>
    </row>
    <row r="1191" spans="1:14" x14ac:dyDescent="0.25">
      <c r="A1191">
        <v>772.44098699999995</v>
      </c>
      <c r="B1191" s="1">
        <f>DATE(2012,6,11) + TIME(10,35,1)</f>
        <v>41071.440983796296</v>
      </c>
      <c r="C1191">
        <v>2400</v>
      </c>
      <c r="D1191">
        <v>0</v>
      </c>
      <c r="E1191">
        <v>0</v>
      </c>
      <c r="F1191">
        <v>2400</v>
      </c>
      <c r="G1191">
        <v>1384.4417725000001</v>
      </c>
      <c r="H1191">
        <v>1370.3713379000001</v>
      </c>
      <c r="I1191">
        <v>1287.0067139</v>
      </c>
      <c r="J1191">
        <v>1267.671875</v>
      </c>
      <c r="K1191">
        <v>80</v>
      </c>
      <c r="L1191">
        <v>79.938896178999997</v>
      </c>
      <c r="M1191">
        <v>50</v>
      </c>
      <c r="N1191">
        <v>46.336589813000003</v>
      </c>
    </row>
    <row r="1192" spans="1:14" x14ac:dyDescent="0.25">
      <c r="A1192">
        <v>773.32463700000005</v>
      </c>
      <c r="B1192" s="1">
        <f>DATE(2012,6,12) + TIME(7,47,28)</f>
        <v>41072.324629629627</v>
      </c>
      <c r="C1192">
        <v>2400</v>
      </c>
      <c r="D1192">
        <v>0</v>
      </c>
      <c r="E1192">
        <v>0</v>
      </c>
      <c r="F1192">
        <v>2400</v>
      </c>
      <c r="G1192">
        <v>1384.3793945</v>
      </c>
      <c r="H1192">
        <v>1370.3198242000001</v>
      </c>
      <c r="I1192">
        <v>1286.9783935999999</v>
      </c>
      <c r="J1192">
        <v>1267.6336670000001</v>
      </c>
      <c r="K1192">
        <v>80</v>
      </c>
      <c r="L1192">
        <v>79.938911438000005</v>
      </c>
      <c r="M1192">
        <v>50</v>
      </c>
      <c r="N1192">
        <v>46.275852202999999</v>
      </c>
    </row>
    <row r="1193" spans="1:14" x14ac:dyDescent="0.25">
      <c r="A1193">
        <v>774.20898899999997</v>
      </c>
      <c r="B1193" s="1">
        <f>DATE(2012,6,13) + TIME(5,0,56)</f>
        <v>41073.208981481483</v>
      </c>
      <c r="C1193">
        <v>2400</v>
      </c>
      <c r="D1193">
        <v>0</v>
      </c>
      <c r="E1193">
        <v>0</v>
      </c>
      <c r="F1193">
        <v>2400</v>
      </c>
      <c r="G1193">
        <v>1384.3165283000001</v>
      </c>
      <c r="H1193">
        <v>1370.2679443</v>
      </c>
      <c r="I1193">
        <v>1286.9489745999999</v>
      </c>
      <c r="J1193">
        <v>1267.5942382999999</v>
      </c>
      <c r="K1193">
        <v>80</v>
      </c>
      <c r="L1193">
        <v>79.938926696999999</v>
      </c>
      <c r="M1193">
        <v>50</v>
      </c>
      <c r="N1193">
        <v>46.214656830000003</v>
      </c>
    </row>
    <row r="1194" spans="1:14" x14ac:dyDescent="0.25">
      <c r="A1194">
        <v>775.09622999999999</v>
      </c>
      <c r="B1194" s="1">
        <f>DATE(2012,6,14) + TIME(2,18,34)</f>
        <v>41074.096226851849</v>
      </c>
      <c r="C1194">
        <v>2400</v>
      </c>
      <c r="D1194">
        <v>0</v>
      </c>
      <c r="E1194">
        <v>0</v>
      </c>
      <c r="F1194">
        <v>2400</v>
      </c>
      <c r="G1194">
        <v>1384.2546387</v>
      </c>
      <c r="H1194">
        <v>1370.2166748</v>
      </c>
      <c r="I1194">
        <v>1286.9191894999999</v>
      </c>
      <c r="J1194">
        <v>1267.5539550999999</v>
      </c>
      <c r="K1194">
        <v>80</v>
      </c>
      <c r="L1194">
        <v>79.938941955999994</v>
      </c>
      <c r="M1194">
        <v>50</v>
      </c>
      <c r="N1194">
        <v>46.153282165999997</v>
      </c>
    </row>
    <row r="1195" spans="1:14" x14ac:dyDescent="0.25">
      <c r="A1195">
        <v>775.98880899999995</v>
      </c>
      <c r="B1195" s="1">
        <f>DATE(2012,6,14) + TIME(23,43,53)</f>
        <v>41074.988807870373</v>
      </c>
      <c r="C1195">
        <v>2400</v>
      </c>
      <c r="D1195">
        <v>0</v>
      </c>
      <c r="E1195">
        <v>0</v>
      </c>
      <c r="F1195">
        <v>2400</v>
      </c>
      <c r="G1195">
        <v>1384.1933594</v>
      </c>
      <c r="H1195">
        <v>1370.1661377</v>
      </c>
      <c r="I1195">
        <v>1286.8889160000001</v>
      </c>
      <c r="J1195">
        <v>1267.5130615</v>
      </c>
      <c r="K1195">
        <v>80</v>
      </c>
      <c r="L1195">
        <v>79.938957213999998</v>
      </c>
      <c r="M1195">
        <v>50</v>
      </c>
      <c r="N1195">
        <v>46.091766356999997</v>
      </c>
    </row>
    <row r="1196" spans="1:14" x14ac:dyDescent="0.25">
      <c r="A1196">
        <v>776.88915999999995</v>
      </c>
      <c r="B1196" s="1">
        <f>DATE(2012,6,15) + TIME(21,20,23)</f>
        <v>41075.889155092591</v>
      </c>
      <c r="C1196">
        <v>2400</v>
      </c>
      <c r="D1196">
        <v>0</v>
      </c>
      <c r="E1196">
        <v>0</v>
      </c>
      <c r="F1196">
        <v>2400</v>
      </c>
      <c r="G1196">
        <v>1384.1328125</v>
      </c>
      <c r="H1196">
        <v>1370.1159668</v>
      </c>
      <c r="I1196">
        <v>1286.8581543</v>
      </c>
      <c r="J1196">
        <v>1267.4711914</v>
      </c>
      <c r="K1196">
        <v>80</v>
      </c>
      <c r="L1196">
        <v>79.938972473000007</v>
      </c>
      <c r="M1196">
        <v>50</v>
      </c>
      <c r="N1196">
        <v>46.030052185000002</v>
      </c>
    </row>
    <row r="1197" spans="1:14" x14ac:dyDescent="0.25">
      <c r="A1197">
        <v>777.799756</v>
      </c>
      <c r="B1197" s="1">
        <f>DATE(2012,6,16) + TIME(19,11,38)</f>
        <v>41076.799745370372</v>
      </c>
      <c r="C1197">
        <v>2400</v>
      </c>
      <c r="D1197">
        <v>0</v>
      </c>
      <c r="E1197">
        <v>0</v>
      </c>
      <c r="F1197">
        <v>2400</v>
      </c>
      <c r="G1197">
        <v>1384.0726318</v>
      </c>
      <c r="H1197">
        <v>1370.0660399999999</v>
      </c>
      <c r="I1197">
        <v>1286.8266602000001</v>
      </c>
      <c r="J1197">
        <v>1267.4283447</v>
      </c>
      <c r="K1197">
        <v>80</v>
      </c>
      <c r="L1197">
        <v>79.938987732000001</v>
      </c>
      <c r="M1197">
        <v>50</v>
      </c>
      <c r="N1197">
        <v>45.968013763000002</v>
      </c>
    </row>
    <row r="1198" spans="1:14" x14ac:dyDescent="0.25">
      <c r="A1198">
        <v>778.72313999999994</v>
      </c>
      <c r="B1198" s="1">
        <f>DATE(2012,6,17) + TIME(17,21,19)</f>
        <v>41077.723136574074</v>
      </c>
      <c r="C1198">
        <v>2400</v>
      </c>
      <c r="D1198">
        <v>0</v>
      </c>
      <c r="E1198">
        <v>0</v>
      </c>
      <c r="F1198">
        <v>2400</v>
      </c>
      <c r="G1198">
        <v>1384.0126952999999</v>
      </c>
      <c r="H1198">
        <v>1370.0163574000001</v>
      </c>
      <c r="I1198">
        <v>1286.7944336</v>
      </c>
      <c r="J1198">
        <v>1267.3842772999999</v>
      </c>
      <c r="K1198">
        <v>80</v>
      </c>
      <c r="L1198">
        <v>79.939010620000005</v>
      </c>
      <c r="M1198">
        <v>50</v>
      </c>
      <c r="N1198">
        <v>45.905506133999999</v>
      </c>
    </row>
    <row r="1199" spans="1:14" x14ac:dyDescent="0.25">
      <c r="A1199">
        <v>779.66197499999998</v>
      </c>
      <c r="B1199" s="1">
        <f>DATE(2012,6,18) + TIME(15,53,14)</f>
        <v>41078.66196759259</v>
      </c>
      <c r="C1199">
        <v>2400</v>
      </c>
      <c r="D1199">
        <v>0</v>
      </c>
      <c r="E1199">
        <v>0</v>
      </c>
      <c r="F1199">
        <v>2400</v>
      </c>
      <c r="G1199">
        <v>1383.9527588000001</v>
      </c>
      <c r="H1199">
        <v>1369.9665527</v>
      </c>
      <c r="I1199">
        <v>1286.7613524999999</v>
      </c>
      <c r="J1199">
        <v>1267.3388672000001</v>
      </c>
      <c r="K1199">
        <v>80</v>
      </c>
      <c r="L1199">
        <v>79.939025878999999</v>
      </c>
      <c r="M1199">
        <v>50</v>
      </c>
      <c r="N1199">
        <v>45.842365264999998</v>
      </c>
    </row>
    <row r="1200" spans="1:14" x14ac:dyDescent="0.25">
      <c r="A1200">
        <v>780.61909900000001</v>
      </c>
      <c r="B1200" s="1">
        <f>DATE(2012,6,19) + TIME(14,51,30)</f>
        <v>41079.619097222225</v>
      </c>
      <c r="C1200">
        <v>2400</v>
      </c>
      <c r="D1200">
        <v>0</v>
      </c>
      <c r="E1200">
        <v>0</v>
      </c>
      <c r="F1200">
        <v>2400</v>
      </c>
      <c r="G1200">
        <v>1383.8927002</v>
      </c>
      <c r="H1200">
        <v>1369.9167480000001</v>
      </c>
      <c r="I1200">
        <v>1286.7272949000001</v>
      </c>
      <c r="J1200">
        <v>1267.2919922000001</v>
      </c>
      <c r="K1200">
        <v>80</v>
      </c>
      <c r="L1200">
        <v>79.939048767000003</v>
      </c>
      <c r="M1200">
        <v>50</v>
      </c>
      <c r="N1200">
        <v>45.778404236</v>
      </c>
    </row>
    <row r="1201" spans="1:14" x14ac:dyDescent="0.25">
      <c r="A1201">
        <v>781.59756900000002</v>
      </c>
      <c r="B1201" s="1">
        <f>DATE(2012,6,20) + TIME(14,20,29)</f>
        <v>41080.597557870373</v>
      </c>
      <c r="C1201">
        <v>2400</v>
      </c>
      <c r="D1201">
        <v>0</v>
      </c>
      <c r="E1201">
        <v>0</v>
      </c>
      <c r="F1201">
        <v>2400</v>
      </c>
      <c r="G1201">
        <v>1383.8323975000001</v>
      </c>
      <c r="H1201">
        <v>1369.8665771000001</v>
      </c>
      <c r="I1201">
        <v>1286.6920166</v>
      </c>
      <c r="J1201">
        <v>1267.2434082</v>
      </c>
      <c r="K1201">
        <v>80</v>
      </c>
      <c r="L1201">
        <v>79.939071655000006</v>
      </c>
      <c r="M1201">
        <v>50</v>
      </c>
      <c r="N1201">
        <v>45.713439940999997</v>
      </c>
    </row>
    <row r="1202" spans="1:14" x14ac:dyDescent="0.25">
      <c r="A1202">
        <v>782.59860800000001</v>
      </c>
      <c r="B1202" s="1">
        <f>DATE(2012,6,21) + TIME(14,21,59)</f>
        <v>41081.598599537036</v>
      </c>
      <c r="C1202">
        <v>2400</v>
      </c>
      <c r="D1202">
        <v>0</v>
      </c>
      <c r="E1202">
        <v>0</v>
      </c>
      <c r="F1202">
        <v>2400</v>
      </c>
      <c r="G1202">
        <v>1383.7716064000001</v>
      </c>
      <c r="H1202">
        <v>1369.8160399999999</v>
      </c>
      <c r="I1202">
        <v>1286.6555175999999</v>
      </c>
      <c r="J1202">
        <v>1267.1929932</v>
      </c>
      <c r="K1202">
        <v>80</v>
      </c>
      <c r="L1202">
        <v>79.939094542999996</v>
      </c>
      <c r="M1202">
        <v>50</v>
      </c>
      <c r="N1202">
        <v>45.647323608000001</v>
      </c>
    </row>
    <row r="1203" spans="1:14" x14ac:dyDescent="0.25">
      <c r="A1203">
        <v>783.61938199999997</v>
      </c>
      <c r="B1203" s="1">
        <f>DATE(2012,6,22) + TIME(14,51,54)</f>
        <v>41082.619375000002</v>
      </c>
      <c r="C1203">
        <v>2400</v>
      </c>
      <c r="D1203">
        <v>0</v>
      </c>
      <c r="E1203">
        <v>0</v>
      </c>
      <c r="F1203">
        <v>2400</v>
      </c>
      <c r="G1203">
        <v>1383.7103271000001</v>
      </c>
      <c r="H1203">
        <v>1369.7650146000001</v>
      </c>
      <c r="I1203">
        <v>1286.6175536999999</v>
      </c>
      <c r="J1203">
        <v>1267.1403809000001</v>
      </c>
      <c r="K1203">
        <v>80</v>
      </c>
      <c r="L1203">
        <v>79.939117432000003</v>
      </c>
      <c r="M1203">
        <v>50</v>
      </c>
      <c r="N1203">
        <v>45.580070495999998</v>
      </c>
    </row>
    <row r="1204" spans="1:14" x14ac:dyDescent="0.25">
      <c r="A1204">
        <v>784.66018599999995</v>
      </c>
      <c r="B1204" s="1">
        <f>DATE(2012,6,23) + TIME(15,50,40)</f>
        <v>41083.660185185188</v>
      </c>
      <c r="C1204">
        <v>2400</v>
      </c>
      <c r="D1204">
        <v>0</v>
      </c>
      <c r="E1204">
        <v>0</v>
      </c>
      <c r="F1204">
        <v>2400</v>
      </c>
      <c r="G1204">
        <v>1383.6488036999999</v>
      </c>
      <c r="H1204">
        <v>1369.7137451000001</v>
      </c>
      <c r="I1204">
        <v>1286.5783690999999</v>
      </c>
      <c r="J1204">
        <v>1267.0859375</v>
      </c>
      <c r="K1204">
        <v>80</v>
      </c>
      <c r="L1204">
        <v>79.939140320000007</v>
      </c>
      <c r="M1204">
        <v>50</v>
      </c>
      <c r="N1204">
        <v>45.511684418000002</v>
      </c>
    </row>
    <row r="1205" spans="1:14" x14ac:dyDescent="0.25">
      <c r="A1205">
        <v>785.70339300000001</v>
      </c>
      <c r="B1205" s="1">
        <f>DATE(2012,6,24) + TIME(16,52,53)</f>
        <v>41084.7033912037</v>
      </c>
      <c r="C1205">
        <v>2400</v>
      </c>
      <c r="D1205">
        <v>0</v>
      </c>
      <c r="E1205">
        <v>0</v>
      </c>
      <c r="F1205">
        <v>2400</v>
      </c>
      <c r="G1205">
        <v>1383.5869141000001</v>
      </c>
      <c r="H1205">
        <v>1369.6621094</v>
      </c>
      <c r="I1205">
        <v>1286.5377197</v>
      </c>
      <c r="J1205">
        <v>1267.0294189000001</v>
      </c>
      <c r="K1205">
        <v>80</v>
      </c>
      <c r="L1205">
        <v>79.939163207999997</v>
      </c>
      <c r="M1205">
        <v>50</v>
      </c>
      <c r="N1205">
        <v>45.442695618000002</v>
      </c>
    </row>
    <row r="1206" spans="1:14" x14ac:dyDescent="0.25">
      <c r="A1206">
        <v>786.75177900000006</v>
      </c>
      <c r="B1206" s="1">
        <f>DATE(2012,6,25) + TIME(18,2,33)</f>
        <v>41085.751770833333</v>
      </c>
      <c r="C1206">
        <v>2400</v>
      </c>
      <c r="D1206">
        <v>0</v>
      </c>
      <c r="E1206">
        <v>0</v>
      </c>
      <c r="F1206">
        <v>2400</v>
      </c>
      <c r="G1206">
        <v>1383.5258789</v>
      </c>
      <c r="H1206">
        <v>1369.6110839999999</v>
      </c>
      <c r="I1206">
        <v>1286.4963379000001</v>
      </c>
      <c r="J1206">
        <v>1266.9716797000001</v>
      </c>
      <c r="K1206">
        <v>80</v>
      </c>
      <c r="L1206">
        <v>79.939193725999999</v>
      </c>
      <c r="M1206">
        <v>50</v>
      </c>
      <c r="N1206">
        <v>45.373352050999998</v>
      </c>
    </row>
    <row r="1207" spans="1:14" x14ac:dyDescent="0.25">
      <c r="A1207">
        <v>787.808222</v>
      </c>
      <c r="B1207" s="1">
        <f>DATE(2012,6,26) + TIME(19,23,50)</f>
        <v>41086.808217592596</v>
      </c>
      <c r="C1207">
        <v>2400</v>
      </c>
      <c r="D1207">
        <v>0</v>
      </c>
      <c r="E1207">
        <v>0</v>
      </c>
      <c r="F1207">
        <v>2400</v>
      </c>
      <c r="G1207">
        <v>1383.465332</v>
      </c>
      <c r="H1207">
        <v>1369.5605469</v>
      </c>
      <c r="I1207">
        <v>1286.4542236</v>
      </c>
      <c r="J1207">
        <v>1266.9124756000001</v>
      </c>
      <c r="K1207">
        <v>80</v>
      </c>
      <c r="L1207">
        <v>79.939216614000003</v>
      </c>
      <c r="M1207">
        <v>50</v>
      </c>
      <c r="N1207">
        <v>45.303653717000003</v>
      </c>
    </row>
    <row r="1208" spans="1:14" x14ac:dyDescent="0.25">
      <c r="A1208">
        <v>788.87562600000001</v>
      </c>
      <c r="B1208" s="1">
        <f>DATE(2012,6,27) + TIME(21,0,54)</f>
        <v>41087.875625000001</v>
      </c>
      <c r="C1208">
        <v>2400</v>
      </c>
      <c r="D1208">
        <v>0</v>
      </c>
      <c r="E1208">
        <v>0</v>
      </c>
      <c r="F1208">
        <v>2400</v>
      </c>
      <c r="G1208">
        <v>1383.4052733999999</v>
      </c>
      <c r="H1208">
        <v>1369.5102539</v>
      </c>
      <c r="I1208">
        <v>1286.4110106999999</v>
      </c>
      <c r="J1208">
        <v>1266.8516846</v>
      </c>
      <c r="K1208">
        <v>80</v>
      </c>
      <c r="L1208">
        <v>79.939247131000002</v>
      </c>
      <c r="M1208">
        <v>50</v>
      </c>
      <c r="N1208">
        <v>45.233497620000001</v>
      </c>
    </row>
    <row r="1209" spans="1:14" x14ac:dyDescent="0.25">
      <c r="A1209">
        <v>789.95698900000002</v>
      </c>
      <c r="B1209" s="1">
        <f>DATE(2012,6,28) + TIME(22,58,3)</f>
        <v>41088.956979166665</v>
      </c>
      <c r="C1209">
        <v>2400</v>
      </c>
      <c r="D1209">
        <v>0</v>
      </c>
      <c r="E1209">
        <v>0</v>
      </c>
      <c r="F1209">
        <v>2400</v>
      </c>
      <c r="G1209">
        <v>1383.3453368999999</v>
      </c>
      <c r="H1209">
        <v>1369.4600829999999</v>
      </c>
      <c r="I1209">
        <v>1286.3668213000001</v>
      </c>
      <c r="J1209">
        <v>1266.7891846</v>
      </c>
      <c r="K1209">
        <v>80</v>
      </c>
      <c r="L1209">
        <v>79.939277649000005</v>
      </c>
      <c r="M1209">
        <v>50</v>
      </c>
      <c r="N1209">
        <v>45.162719727000002</v>
      </c>
    </row>
    <row r="1210" spans="1:14" x14ac:dyDescent="0.25">
      <c r="A1210">
        <v>791.055432</v>
      </c>
      <c r="B1210" s="1">
        <f>DATE(2012,6,30) + TIME(1,19,49)</f>
        <v>41090.055428240739</v>
      </c>
      <c r="C1210">
        <v>2400</v>
      </c>
      <c r="D1210">
        <v>0</v>
      </c>
      <c r="E1210">
        <v>0</v>
      </c>
      <c r="F1210">
        <v>2400</v>
      </c>
      <c r="G1210">
        <v>1383.2855225000001</v>
      </c>
      <c r="H1210">
        <v>1369.4099120999999</v>
      </c>
      <c r="I1210">
        <v>1286.3212891000001</v>
      </c>
      <c r="J1210">
        <v>1266.7247314000001</v>
      </c>
      <c r="K1210">
        <v>80</v>
      </c>
      <c r="L1210">
        <v>79.939308166999993</v>
      </c>
      <c r="M1210">
        <v>50</v>
      </c>
      <c r="N1210">
        <v>45.091125488000003</v>
      </c>
    </row>
    <row r="1211" spans="1:14" x14ac:dyDescent="0.25">
      <c r="A1211">
        <v>792</v>
      </c>
      <c r="B1211" s="1">
        <f>DATE(2012,7,1) + TIME(0,0,0)</f>
        <v>41091</v>
      </c>
      <c r="C1211">
        <v>2400</v>
      </c>
      <c r="D1211">
        <v>0</v>
      </c>
      <c r="E1211">
        <v>0</v>
      </c>
      <c r="F1211">
        <v>2400</v>
      </c>
      <c r="G1211">
        <v>1383.2254639</v>
      </c>
      <c r="H1211">
        <v>1369.3594971</v>
      </c>
      <c r="I1211">
        <v>1286.2740478999999</v>
      </c>
      <c r="J1211">
        <v>1266.6591797000001</v>
      </c>
      <c r="K1211">
        <v>80</v>
      </c>
      <c r="L1211">
        <v>79.939331054999997</v>
      </c>
      <c r="M1211">
        <v>50</v>
      </c>
      <c r="N1211">
        <v>45.024009704999997</v>
      </c>
    </row>
    <row r="1212" spans="1:14" x14ac:dyDescent="0.25">
      <c r="A1212">
        <v>793.112348</v>
      </c>
      <c r="B1212" s="1">
        <f>DATE(2012,7,2) + TIME(2,41,46)</f>
        <v>41092.112337962964</v>
      </c>
      <c r="C1212">
        <v>2400</v>
      </c>
      <c r="D1212">
        <v>0</v>
      </c>
      <c r="E1212">
        <v>0</v>
      </c>
      <c r="F1212">
        <v>2400</v>
      </c>
      <c r="G1212">
        <v>1383.1745605000001</v>
      </c>
      <c r="H1212">
        <v>1369.3167725000001</v>
      </c>
      <c r="I1212">
        <v>1286.2331543</v>
      </c>
      <c r="J1212">
        <v>1266.5986327999999</v>
      </c>
      <c r="K1212">
        <v>80</v>
      </c>
      <c r="L1212">
        <v>79.939361571999996</v>
      </c>
      <c r="M1212">
        <v>50</v>
      </c>
      <c r="N1212">
        <v>44.954299927000001</v>
      </c>
    </row>
    <row r="1213" spans="1:14" x14ac:dyDescent="0.25">
      <c r="A1213">
        <v>794.25798999999995</v>
      </c>
      <c r="B1213" s="1">
        <f>DATE(2012,7,3) + TIME(6,11,30)</f>
        <v>41093.257986111108</v>
      </c>
      <c r="C1213">
        <v>2400</v>
      </c>
      <c r="D1213">
        <v>0</v>
      </c>
      <c r="E1213">
        <v>0</v>
      </c>
      <c r="F1213">
        <v>2400</v>
      </c>
      <c r="G1213">
        <v>1383.1153564000001</v>
      </c>
      <c r="H1213">
        <v>1369.2670897999999</v>
      </c>
      <c r="I1213">
        <v>1286.1844481999999</v>
      </c>
      <c r="J1213">
        <v>1266.5290527</v>
      </c>
      <c r="K1213">
        <v>80</v>
      </c>
      <c r="L1213">
        <v>79.939392089999998</v>
      </c>
      <c r="M1213">
        <v>50</v>
      </c>
      <c r="N1213">
        <v>44.881729126000003</v>
      </c>
    </row>
    <row r="1214" spans="1:14" x14ac:dyDescent="0.25">
      <c r="A1214">
        <v>795.42601400000001</v>
      </c>
      <c r="B1214" s="1">
        <f>DATE(2012,7,4) + TIME(10,13,27)</f>
        <v>41094.426006944443</v>
      </c>
      <c r="C1214">
        <v>2400</v>
      </c>
      <c r="D1214">
        <v>0</v>
      </c>
      <c r="E1214">
        <v>0</v>
      </c>
      <c r="F1214">
        <v>2400</v>
      </c>
      <c r="G1214">
        <v>1383.0552978999999</v>
      </c>
      <c r="H1214">
        <v>1369.2164307</v>
      </c>
      <c r="I1214">
        <v>1286.1333007999999</v>
      </c>
      <c r="J1214">
        <v>1266.4559326000001</v>
      </c>
      <c r="K1214">
        <v>80</v>
      </c>
      <c r="L1214">
        <v>79.939430236999996</v>
      </c>
      <c r="M1214">
        <v>50</v>
      </c>
      <c r="N1214">
        <v>44.806991576999998</v>
      </c>
    </row>
    <row r="1215" spans="1:14" x14ac:dyDescent="0.25">
      <c r="A1215">
        <v>796.62030900000002</v>
      </c>
      <c r="B1215" s="1">
        <f>DATE(2012,7,5) + TIME(14,53,14)</f>
        <v>41095.620300925926</v>
      </c>
      <c r="C1215">
        <v>2400</v>
      </c>
      <c r="D1215">
        <v>0</v>
      </c>
      <c r="E1215">
        <v>0</v>
      </c>
      <c r="F1215">
        <v>2400</v>
      </c>
      <c r="G1215">
        <v>1382.994751</v>
      </c>
      <c r="H1215">
        <v>1369.1655272999999</v>
      </c>
      <c r="I1215">
        <v>1286.0803223</v>
      </c>
      <c r="J1215">
        <v>1266.3797606999999</v>
      </c>
      <c r="K1215">
        <v>80</v>
      </c>
      <c r="L1215">
        <v>79.939468383999994</v>
      </c>
      <c r="M1215">
        <v>50</v>
      </c>
      <c r="N1215">
        <v>44.730388640999998</v>
      </c>
    </row>
    <row r="1216" spans="1:14" x14ac:dyDescent="0.25">
      <c r="A1216">
        <v>797.83791799999995</v>
      </c>
      <c r="B1216" s="1">
        <f>DATE(2012,7,6) + TIME(20,6,36)</f>
        <v>41096.837916666664</v>
      </c>
      <c r="C1216">
        <v>2400</v>
      </c>
      <c r="D1216">
        <v>0</v>
      </c>
      <c r="E1216">
        <v>0</v>
      </c>
      <c r="F1216">
        <v>2400</v>
      </c>
      <c r="G1216">
        <v>1382.9337158000001</v>
      </c>
      <c r="H1216">
        <v>1369.1140137</v>
      </c>
      <c r="I1216">
        <v>1286.0253906</v>
      </c>
      <c r="J1216">
        <v>1266.300293</v>
      </c>
      <c r="K1216">
        <v>80</v>
      </c>
      <c r="L1216">
        <v>79.939498900999993</v>
      </c>
      <c r="M1216">
        <v>50</v>
      </c>
      <c r="N1216">
        <v>44.652088165000002</v>
      </c>
    </row>
    <row r="1217" spans="1:14" x14ac:dyDescent="0.25">
      <c r="A1217">
        <v>799.06127600000002</v>
      </c>
      <c r="B1217" s="1">
        <f>DATE(2012,7,8) + TIME(1,28,14)</f>
        <v>41098.061273148145</v>
      </c>
      <c r="C1217">
        <v>2400</v>
      </c>
      <c r="D1217">
        <v>0</v>
      </c>
      <c r="E1217">
        <v>0</v>
      </c>
      <c r="F1217">
        <v>2400</v>
      </c>
      <c r="G1217">
        <v>1382.8723144999999</v>
      </c>
      <c r="H1217">
        <v>1369.0622559000001</v>
      </c>
      <c r="I1217">
        <v>1285.9683838000001</v>
      </c>
      <c r="J1217">
        <v>1266.2178954999999</v>
      </c>
      <c r="K1217">
        <v>80</v>
      </c>
      <c r="L1217">
        <v>79.939537048000005</v>
      </c>
      <c r="M1217">
        <v>50</v>
      </c>
      <c r="N1217">
        <v>44.572654724000003</v>
      </c>
    </row>
    <row r="1218" spans="1:14" x14ac:dyDescent="0.25">
      <c r="A1218">
        <v>800.29384200000004</v>
      </c>
      <c r="B1218" s="1">
        <f>DATE(2012,7,9) + TIME(7,3,7)</f>
        <v>41099.29383101852</v>
      </c>
      <c r="C1218">
        <v>2400</v>
      </c>
      <c r="D1218">
        <v>0</v>
      </c>
      <c r="E1218">
        <v>0</v>
      </c>
      <c r="F1218">
        <v>2400</v>
      </c>
      <c r="G1218">
        <v>1382.8115233999999</v>
      </c>
      <c r="H1218">
        <v>1369.0108643000001</v>
      </c>
      <c r="I1218">
        <v>1285.9102783000001</v>
      </c>
      <c r="J1218">
        <v>1266.1331786999999</v>
      </c>
      <c r="K1218">
        <v>80</v>
      </c>
      <c r="L1218">
        <v>79.939575195000003</v>
      </c>
      <c r="M1218">
        <v>50</v>
      </c>
      <c r="N1218">
        <v>44.492412567000002</v>
      </c>
    </row>
    <row r="1219" spans="1:14" x14ac:dyDescent="0.25">
      <c r="A1219">
        <v>801.53324199999997</v>
      </c>
      <c r="B1219" s="1">
        <f>DATE(2012,7,10) + TIME(12,47,52)</f>
        <v>41100.53324074074</v>
      </c>
      <c r="C1219">
        <v>2400</v>
      </c>
      <c r="D1219">
        <v>0</v>
      </c>
      <c r="E1219">
        <v>0</v>
      </c>
      <c r="F1219">
        <v>2400</v>
      </c>
      <c r="G1219">
        <v>1382.7509766000001</v>
      </c>
      <c r="H1219">
        <v>1368.9595947</v>
      </c>
      <c r="I1219">
        <v>1285.8507079999999</v>
      </c>
      <c r="J1219">
        <v>1266.0462646000001</v>
      </c>
      <c r="K1219">
        <v>80</v>
      </c>
      <c r="L1219">
        <v>79.939613342000001</v>
      </c>
      <c r="M1219">
        <v>50</v>
      </c>
      <c r="N1219">
        <v>44.411514281999999</v>
      </c>
    </row>
    <row r="1220" spans="1:14" x14ac:dyDescent="0.25">
      <c r="A1220">
        <v>802.78230699999995</v>
      </c>
      <c r="B1220" s="1">
        <f>DATE(2012,7,11) + TIME(18,46,31)</f>
        <v>41101.78230324074</v>
      </c>
      <c r="C1220">
        <v>2400</v>
      </c>
      <c r="D1220">
        <v>0</v>
      </c>
      <c r="E1220">
        <v>0</v>
      </c>
      <c r="F1220">
        <v>2400</v>
      </c>
      <c r="G1220">
        <v>1382.690918</v>
      </c>
      <c r="H1220">
        <v>1368.9088135</v>
      </c>
      <c r="I1220">
        <v>1285.7899170000001</v>
      </c>
      <c r="J1220">
        <v>1265.9571533000001</v>
      </c>
      <c r="K1220">
        <v>80</v>
      </c>
      <c r="L1220">
        <v>79.939651488999999</v>
      </c>
      <c r="M1220">
        <v>50</v>
      </c>
      <c r="N1220">
        <v>44.329959869</v>
      </c>
    </row>
    <row r="1221" spans="1:14" x14ac:dyDescent="0.25">
      <c r="A1221">
        <v>804.04431699999998</v>
      </c>
      <c r="B1221" s="1">
        <f>DATE(2012,7,13) + TIME(1,3,48)</f>
        <v>41103.044305555559</v>
      </c>
      <c r="C1221">
        <v>2400</v>
      </c>
      <c r="D1221">
        <v>0</v>
      </c>
      <c r="E1221">
        <v>0</v>
      </c>
      <c r="F1221">
        <v>2400</v>
      </c>
      <c r="G1221">
        <v>1382.6311035000001</v>
      </c>
      <c r="H1221">
        <v>1368.8581543</v>
      </c>
      <c r="I1221">
        <v>1285.7277832</v>
      </c>
      <c r="J1221">
        <v>1265.8656006000001</v>
      </c>
      <c r="K1221">
        <v>80</v>
      </c>
      <c r="L1221">
        <v>79.939697265999996</v>
      </c>
      <c r="M1221">
        <v>50</v>
      </c>
      <c r="N1221">
        <v>44.247623443999998</v>
      </c>
    </row>
    <row r="1222" spans="1:14" x14ac:dyDescent="0.25">
      <c r="A1222">
        <v>805.32267899999999</v>
      </c>
      <c r="B1222" s="1">
        <f>DATE(2012,7,14) + TIME(7,44,39)</f>
        <v>41104.32267361111</v>
      </c>
      <c r="C1222">
        <v>2400</v>
      </c>
      <c r="D1222">
        <v>0</v>
      </c>
      <c r="E1222">
        <v>0</v>
      </c>
      <c r="F1222">
        <v>2400</v>
      </c>
      <c r="G1222">
        <v>1382.5715332</v>
      </c>
      <c r="H1222">
        <v>1368.8074951000001</v>
      </c>
      <c r="I1222">
        <v>1285.6639404</v>
      </c>
      <c r="J1222">
        <v>1265.7713623</v>
      </c>
      <c r="K1222">
        <v>80</v>
      </c>
      <c r="L1222">
        <v>79.939735412999994</v>
      </c>
      <c r="M1222">
        <v>50</v>
      </c>
      <c r="N1222">
        <v>44.164306641000003</v>
      </c>
    </row>
    <row r="1223" spans="1:14" x14ac:dyDescent="0.25">
      <c r="A1223">
        <v>806.62093100000004</v>
      </c>
      <c r="B1223" s="1">
        <f>DATE(2012,7,15) + TIME(14,54,8)</f>
        <v>41105.620925925927</v>
      </c>
      <c r="C1223">
        <v>2400</v>
      </c>
      <c r="D1223">
        <v>0</v>
      </c>
      <c r="E1223">
        <v>0</v>
      </c>
      <c r="F1223">
        <v>2400</v>
      </c>
      <c r="G1223">
        <v>1382.5119629000001</v>
      </c>
      <c r="H1223">
        <v>1368.7568358999999</v>
      </c>
      <c r="I1223">
        <v>1285.5983887</v>
      </c>
      <c r="J1223">
        <v>1265.6740723</v>
      </c>
      <c r="K1223">
        <v>80</v>
      </c>
      <c r="L1223">
        <v>79.939781189000001</v>
      </c>
      <c r="M1223">
        <v>50</v>
      </c>
      <c r="N1223">
        <v>44.079784392999997</v>
      </c>
    </row>
    <row r="1224" spans="1:14" x14ac:dyDescent="0.25">
      <c r="A1224">
        <v>807.94284700000003</v>
      </c>
      <c r="B1224" s="1">
        <f>DATE(2012,7,16) + TIME(22,37,41)</f>
        <v>41106.942835648151</v>
      </c>
      <c r="C1224">
        <v>2400</v>
      </c>
      <c r="D1224">
        <v>0</v>
      </c>
      <c r="E1224">
        <v>0</v>
      </c>
      <c r="F1224">
        <v>2400</v>
      </c>
      <c r="G1224">
        <v>1382.4522704999999</v>
      </c>
      <c r="H1224">
        <v>1368.7060547000001</v>
      </c>
      <c r="I1224">
        <v>1285.5307617000001</v>
      </c>
      <c r="J1224">
        <v>1265.5734863</v>
      </c>
      <c r="K1224">
        <v>80</v>
      </c>
      <c r="L1224">
        <v>79.939819335999999</v>
      </c>
      <c r="M1224">
        <v>50</v>
      </c>
      <c r="N1224">
        <v>43.993812560999999</v>
      </c>
    </row>
    <row r="1225" spans="1:14" x14ac:dyDescent="0.25">
      <c r="A1225">
        <v>809.29248700000005</v>
      </c>
      <c r="B1225" s="1">
        <f>DATE(2012,7,18) + TIME(7,1,10)</f>
        <v>41108.29247685185</v>
      </c>
      <c r="C1225">
        <v>2400</v>
      </c>
      <c r="D1225">
        <v>0</v>
      </c>
      <c r="E1225">
        <v>0</v>
      </c>
      <c r="F1225">
        <v>2400</v>
      </c>
      <c r="G1225">
        <v>1382.3920897999999</v>
      </c>
      <c r="H1225">
        <v>1368.6549072</v>
      </c>
      <c r="I1225">
        <v>1285.4610596</v>
      </c>
      <c r="J1225">
        <v>1265.4692382999999</v>
      </c>
      <c r="K1225">
        <v>80</v>
      </c>
      <c r="L1225">
        <v>79.939865112000007</v>
      </c>
      <c r="M1225">
        <v>50</v>
      </c>
      <c r="N1225">
        <v>43.906120299999998</v>
      </c>
    </row>
    <row r="1226" spans="1:14" x14ac:dyDescent="0.25">
      <c r="A1226">
        <v>810.66548399999999</v>
      </c>
      <c r="B1226" s="1">
        <f>DATE(2012,7,19) + TIME(15,58,17)</f>
        <v>41109.66547453704</v>
      </c>
      <c r="C1226">
        <v>2400</v>
      </c>
      <c r="D1226">
        <v>0</v>
      </c>
      <c r="E1226">
        <v>0</v>
      </c>
      <c r="F1226">
        <v>2400</v>
      </c>
      <c r="G1226">
        <v>1382.331543</v>
      </c>
      <c r="H1226">
        <v>1368.6032714999999</v>
      </c>
      <c r="I1226">
        <v>1285.3887939000001</v>
      </c>
      <c r="J1226">
        <v>1265.3609618999999</v>
      </c>
      <c r="K1226">
        <v>80</v>
      </c>
      <c r="L1226">
        <v>79.939910889000004</v>
      </c>
      <c r="M1226">
        <v>50</v>
      </c>
      <c r="N1226">
        <v>43.816642760999997</v>
      </c>
    </row>
    <row r="1227" spans="1:14" x14ac:dyDescent="0.25">
      <c r="A1227">
        <v>812.05405499999995</v>
      </c>
      <c r="B1227" s="1">
        <f>DATE(2012,7,21) + TIME(1,17,50)</f>
        <v>41111.054050925923</v>
      </c>
      <c r="C1227">
        <v>2400</v>
      </c>
      <c r="D1227">
        <v>0</v>
      </c>
      <c r="E1227">
        <v>0</v>
      </c>
      <c r="F1227">
        <v>2400</v>
      </c>
      <c r="G1227">
        <v>1382.2706298999999</v>
      </c>
      <c r="H1227">
        <v>1368.5512695</v>
      </c>
      <c r="I1227">
        <v>1285.3142089999999</v>
      </c>
      <c r="J1227">
        <v>1265.2489014</v>
      </c>
      <c r="K1227">
        <v>80</v>
      </c>
      <c r="L1227">
        <v>79.939956664999997</v>
      </c>
      <c r="M1227">
        <v>50</v>
      </c>
      <c r="N1227">
        <v>43.725601196</v>
      </c>
    </row>
    <row r="1228" spans="1:14" x14ac:dyDescent="0.25">
      <c r="A1228">
        <v>813.46231399999999</v>
      </c>
      <c r="B1228" s="1">
        <f>DATE(2012,7,22) + TIME(11,5,43)</f>
        <v>41112.46230324074</v>
      </c>
      <c r="C1228">
        <v>2400</v>
      </c>
      <c r="D1228">
        <v>0</v>
      </c>
      <c r="E1228">
        <v>0</v>
      </c>
      <c r="F1228">
        <v>2400</v>
      </c>
      <c r="G1228">
        <v>1382.2098389</v>
      </c>
      <c r="H1228">
        <v>1368.4992675999999</v>
      </c>
      <c r="I1228">
        <v>1285.2376709</v>
      </c>
      <c r="J1228">
        <v>1265.1333007999999</v>
      </c>
      <c r="K1228">
        <v>80</v>
      </c>
      <c r="L1228">
        <v>79.940010071000003</v>
      </c>
      <c r="M1228">
        <v>50</v>
      </c>
      <c r="N1228">
        <v>43.633075714</v>
      </c>
    </row>
    <row r="1229" spans="1:14" x14ac:dyDescent="0.25">
      <c r="A1229">
        <v>814.87675200000001</v>
      </c>
      <c r="B1229" s="1">
        <f>DATE(2012,7,23) + TIME(21,2,31)</f>
        <v>41113.876747685186</v>
      </c>
      <c r="C1229">
        <v>2400</v>
      </c>
      <c r="D1229">
        <v>0</v>
      </c>
      <c r="E1229">
        <v>0</v>
      </c>
      <c r="F1229">
        <v>2400</v>
      </c>
      <c r="G1229">
        <v>1382.1489257999999</v>
      </c>
      <c r="H1229">
        <v>1368.4471435999999</v>
      </c>
      <c r="I1229">
        <v>1285.1590576000001</v>
      </c>
      <c r="J1229">
        <v>1265.0142822</v>
      </c>
      <c r="K1229">
        <v>80</v>
      </c>
      <c r="L1229">
        <v>79.940055846999996</v>
      </c>
      <c r="M1229">
        <v>50</v>
      </c>
      <c r="N1229">
        <v>43.539375305</v>
      </c>
    </row>
    <row r="1230" spans="1:14" x14ac:dyDescent="0.25">
      <c r="A1230">
        <v>816.30107799999996</v>
      </c>
      <c r="B1230" s="1">
        <f>DATE(2012,7,25) + TIME(7,13,33)</f>
        <v>41115.301076388889</v>
      </c>
      <c r="C1230">
        <v>2400</v>
      </c>
      <c r="D1230">
        <v>0</v>
      </c>
      <c r="E1230">
        <v>0</v>
      </c>
      <c r="F1230">
        <v>2400</v>
      </c>
      <c r="G1230">
        <v>1382.088501</v>
      </c>
      <c r="H1230">
        <v>1368.3953856999999</v>
      </c>
      <c r="I1230">
        <v>1285.0789795000001</v>
      </c>
      <c r="J1230">
        <v>1264.8924560999999</v>
      </c>
      <c r="K1230">
        <v>80</v>
      </c>
      <c r="L1230">
        <v>79.940101623999993</v>
      </c>
      <c r="M1230">
        <v>50</v>
      </c>
      <c r="N1230">
        <v>43.444725036999998</v>
      </c>
    </row>
    <row r="1231" spans="1:14" x14ac:dyDescent="0.25">
      <c r="A1231">
        <v>817.73905600000001</v>
      </c>
      <c r="B1231" s="1">
        <f>DATE(2012,7,26) + TIME(17,44,14)</f>
        <v>41116.739050925928</v>
      </c>
      <c r="C1231">
        <v>2400</v>
      </c>
      <c r="D1231">
        <v>0</v>
      </c>
      <c r="E1231">
        <v>0</v>
      </c>
      <c r="F1231">
        <v>2400</v>
      </c>
      <c r="G1231">
        <v>1382.0284423999999</v>
      </c>
      <c r="H1231">
        <v>1368.3438721</v>
      </c>
      <c r="I1231">
        <v>1284.9973144999999</v>
      </c>
      <c r="J1231">
        <v>1264.7675781</v>
      </c>
      <c r="K1231">
        <v>80</v>
      </c>
      <c r="L1231">
        <v>79.940155028999996</v>
      </c>
      <c r="M1231">
        <v>50</v>
      </c>
      <c r="N1231">
        <v>43.349048615000001</v>
      </c>
    </row>
    <row r="1232" spans="1:14" x14ac:dyDescent="0.25">
      <c r="A1232">
        <v>819.19456100000002</v>
      </c>
      <c r="B1232" s="1">
        <f>DATE(2012,7,28) + TIME(4,40,10)</f>
        <v>41118.194560185184</v>
      </c>
      <c r="C1232">
        <v>2400</v>
      </c>
      <c r="D1232">
        <v>0</v>
      </c>
      <c r="E1232">
        <v>0</v>
      </c>
      <c r="F1232">
        <v>2400</v>
      </c>
      <c r="G1232">
        <v>1381.9683838000001</v>
      </c>
      <c r="H1232">
        <v>1368.2923584</v>
      </c>
      <c r="I1232">
        <v>1284.9139404</v>
      </c>
      <c r="J1232">
        <v>1264.6395264</v>
      </c>
      <c r="K1232">
        <v>80</v>
      </c>
      <c r="L1232">
        <v>79.940208435000002</v>
      </c>
      <c r="M1232">
        <v>50</v>
      </c>
      <c r="N1232">
        <v>43.252162933000001</v>
      </c>
    </row>
    <row r="1233" spans="1:14" x14ac:dyDescent="0.25">
      <c r="A1233">
        <v>820.67166799999995</v>
      </c>
      <c r="B1233" s="1">
        <f>DATE(2012,7,29) + TIME(16,7,12)</f>
        <v>41119.671666666669</v>
      </c>
      <c r="C1233">
        <v>2400</v>
      </c>
      <c r="D1233">
        <v>0</v>
      </c>
      <c r="E1233">
        <v>0</v>
      </c>
      <c r="F1233">
        <v>2400</v>
      </c>
      <c r="G1233">
        <v>1381.9084473</v>
      </c>
      <c r="H1233">
        <v>1368.2407227000001</v>
      </c>
      <c r="I1233">
        <v>1284.8283690999999</v>
      </c>
      <c r="J1233">
        <v>1264.5078125</v>
      </c>
      <c r="K1233">
        <v>80</v>
      </c>
      <c r="L1233">
        <v>79.940254210999996</v>
      </c>
      <c r="M1233">
        <v>50</v>
      </c>
      <c r="N1233">
        <v>43.153827667000002</v>
      </c>
    </row>
    <row r="1234" spans="1:14" x14ac:dyDescent="0.25">
      <c r="A1234">
        <v>822.17469600000004</v>
      </c>
      <c r="B1234" s="1">
        <f>DATE(2012,7,31) + TIME(4,11,33)</f>
        <v>41121.174687500003</v>
      </c>
      <c r="C1234">
        <v>2400</v>
      </c>
      <c r="D1234">
        <v>0</v>
      </c>
      <c r="E1234">
        <v>0</v>
      </c>
      <c r="F1234">
        <v>2400</v>
      </c>
      <c r="G1234">
        <v>1381.8481445</v>
      </c>
      <c r="H1234">
        <v>1368.1888428</v>
      </c>
      <c r="I1234">
        <v>1284.7406006000001</v>
      </c>
      <c r="J1234">
        <v>1264.3721923999999</v>
      </c>
      <c r="K1234">
        <v>80</v>
      </c>
      <c r="L1234">
        <v>79.940307617000002</v>
      </c>
      <c r="M1234">
        <v>50</v>
      </c>
      <c r="N1234">
        <v>43.053775786999999</v>
      </c>
    </row>
    <row r="1235" spans="1:14" x14ac:dyDescent="0.25">
      <c r="A1235">
        <v>823</v>
      </c>
      <c r="B1235" s="1">
        <f>DATE(2012,8,1) + TIME(0,0,0)</f>
        <v>41122</v>
      </c>
      <c r="C1235">
        <v>2400</v>
      </c>
      <c r="D1235">
        <v>0</v>
      </c>
      <c r="E1235">
        <v>0</v>
      </c>
      <c r="F1235">
        <v>2400</v>
      </c>
      <c r="G1235">
        <v>1381.7875977000001</v>
      </c>
      <c r="H1235">
        <v>1368.1365966999999</v>
      </c>
      <c r="I1235">
        <v>1284.6514893000001</v>
      </c>
      <c r="J1235">
        <v>1264.2425536999999</v>
      </c>
      <c r="K1235">
        <v>80</v>
      </c>
      <c r="L1235">
        <v>79.940330505000006</v>
      </c>
      <c r="M1235">
        <v>50</v>
      </c>
      <c r="N1235">
        <v>42.976219176999997</v>
      </c>
    </row>
    <row r="1236" spans="1:14" x14ac:dyDescent="0.25">
      <c r="A1236">
        <v>824.53133400000002</v>
      </c>
      <c r="B1236" s="1">
        <f>DATE(2012,8,2) + TIME(12,45,7)</f>
        <v>41123.531331018516</v>
      </c>
      <c r="C1236">
        <v>2400</v>
      </c>
      <c r="D1236">
        <v>0</v>
      </c>
      <c r="E1236">
        <v>0</v>
      </c>
      <c r="F1236">
        <v>2400</v>
      </c>
      <c r="G1236">
        <v>1381.7545166</v>
      </c>
      <c r="H1236">
        <v>1368.1080322</v>
      </c>
      <c r="I1236">
        <v>1284.5983887</v>
      </c>
      <c r="J1236">
        <v>1264.1480713000001</v>
      </c>
      <c r="K1236">
        <v>80</v>
      </c>
      <c r="L1236">
        <v>79.940391540999997</v>
      </c>
      <c r="M1236">
        <v>50</v>
      </c>
      <c r="N1236">
        <v>42.887687683000003</v>
      </c>
    </row>
    <row r="1237" spans="1:14" x14ac:dyDescent="0.25">
      <c r="A1237">
        <v>826.08810400000004</v>
      </c>
      <c r="B1237" s="1">
        <f>DATE(2012,8,4) + TIME(2,6,52)</f>
        <v>41125.088101851848</v>
      </c>
      <c r="C1237">
        <v>2400</v>
      </c>
      <c r="D1237">
        <v>0</v>
      </c>
      <c r="E1237">
        <v>0</v>
      </c>
      <c r="F1237">
        <v>2400</v>
      </c>
      <c r="G1237">
        <v>1381.6940918</v>
      </c>
      <c r="H1237">
        <v>1368.0559082</v>
      </c>
      <c r="I1237">
        <v>1284.5062256000001</v>
      </c>
      <c r="J1237">
        <v>1264.0061035000001</v>
      </c>
      <c r="K1237">
        <v>80</v>
      </c>
      <c r="L1237">
        <v>79.940452575999998</v>
      </c>
      <c r="M1237">
        <v>50</v>
      </c>
      <c r="N1237">
        <v>42.788566588999998</v>
      </c>
    </row>
    <row r="1238" spans="1:14" x14ac:dyDescent="0.25">
      <c r="A1238">
        <v>827.66526799999997</v>
      </c>
      <c r="B1238" s="1">
        <f>DATE(2012,8,5) + TIME(15,57,59)</f>
        <v>41126.665266203701</v>
      </c>
      <c r="C1238">
        <v>2400</v>
      </c>
      <c r="D1238">
        <v>0</v>
      </c>
      <c r="E1238">
        <v>0</v>
      </c>
      <c r="F1238">
        <v>2400</v>
      </c>
      <c r="G1238">
        <v>1381.6331786999999</v>
      </c>
      <c r="H1238">
        <v>1368.0031738</v>
      </c>
      <c r="I1238">
        <v>1284.4107666</v>
      </c>
      <c r="J1238">
        <v>1263.8571777</v>
      </c>
      <c r="K1238">
        <v>80</v>
      </c>
      <c r="L1238">
        <v>79.940505981000001</v>
      </c>
      <c r="M1238">
        <v>50</v>
      </c>
      <c r="N1238">
        <v>42.684417725000003</v>
      </c>
    </row>
    <row r="1239" spans="1:14" x14ac:dyDescent="0.25">
      <c r="A1239">
        <v>829.25799700000005</v>
      </c>
      <c r="B1239" s="1">
        <f>DATE(2012,8,7) + TIME(6,11,30)</f>
        <v>41128.257986111108</v>
      </c>
      <c r="C1239">
        <v>2400</v>
      </c>
      <c r="D1239">
        <v>0</v>
      </c>
      <c r="E1239">
        <v>0</v>
      </c>
      <c r="F1239">
        <v>2400</v>
      </c>
      <c r="G1239">
        <v>1381.5721435999999</v>
      </c>
      <c r="H1239">
        <v>1367.9504394999999</v>
      </c>
      <c r="I1239">
        <v>1284.3127440999999</v>
      </c>
      <c r="J1239">
        <v>1263.7033690999999</v>
      </c>
      <c r="K1239">
        <v>80</v>
      </c>
      <c r="L1239">
        <v>79.940567017000006</v>
      </c>
      <c r="M1239">
        <v>50</v>
      </c>
      <c r="N1239">
        <v>42.577548981</v>
      </c>
    </row>
    <row r="1240" spans="1:14" x14ac:dyDescent="0.25">
      <c r="A1240">
        <v>830.870679</v>
      </c>
      <c r="B1240" s="1">
        <f>DATE(2012,8,8) + TIME(20,53,46)</f>
        <v>41129.870671296296</v>
      </c>
      <c r="C1240">
        <v>2400</v>
      </c>
      <c r="D1240">
        <v>0</v>
      </c>
      <c r="E1240">
        <v>0</v>
      </c>
      <c r="F1240">
        <v>2400</v>
      </c>
      <c r="G1240">
        <v>1381.5112305</v>
      </c>
      <c r="H1240">
        <v>1367.8975829999999</v>
      </c>
      <c r="I1240">
        <v>1284.2128906</v>
      </c>
      <c r="J1240">
        <v>1263.5455322</v>
      </c>
      <c r="K1240">
        <v>80</v>
      </c>
      <c r="L1240">
        <v>79.940628051999994</v>
      </c>
      <c r="M1240">
        <v>50</v>
      </c>
      <c r="N1240">
        <v>42.468807220000002</v>
      </c>
    </row>
    <row r="1241" spans="1:14" x14ac:dyDescent="0.25">
      <c r="A1241">
        <v>832.50380500000006</v>
      </c>
      <c r="B1241" s="1">
        <f>DATE(2012,8,10) + TIME(12,5,28)</f>
        <v>41131.503796296296</v>
      </c>
      <c r="C1241">
        <v>2400</v>
      </c>
      <c r="D1241">
        <v>0</v>
      </c>
      <c r="E1241">
        <v>0</v>
      </c>
      <c r="F1241">
        <v>2400</v>
      </c>
      <c r="G1241">
        <v>1381.4501952999999</v>
      </c>
      <c r="H1241">
        <v>1367.8444824000001</v>
      </c>
      <c r="I1241">
        <v>1284.1109618999999</v>
      </c>
      <c r="J1241">
        <v>1263.3837891000001</v>
      </c>
      <c r="K1241">
        <v>80</v>
      </c>
      <c r="L1241">
        <v>79.940681458</v>
      </c>
      <c r="M1241">
        <v>50</v>
      </c>
      <c r="N1241">
        <v>42.358444214000002</v>
      </c>
    </row>
    <row r="1242" spans="1:14" x14ac:dyDescent="0.25">
      <c r="A1242">
        <v>834.15502600000002</v>
      </c>
      <c r="B1242" s="1">
        <f>DATE(2012,8,12) + TIME(3,43,14)</f>
        <v>41133.155023148145</v>
      </c>
      <c r="C1242">
        <v>2400</v>
      </c>
      <c r="D1242">
        <v>0</v>
      </c>
      <c r="E1242">
        <v>0</v>
      </c>
      <c r="F1242">
        <v>2400</v>
      </c>
      <c r="G1242">
        <v>1381.3890381000001</v>
      </c>
      <c r="H1242">
        <v>1367.7913818</v>
      </c>
      <c r="I1242">
        <v>1284.0069579999999</v>
      </c>
      <c r="J1242">
        <v>1263.2181396000001</v>
      </c>
      <c r="K1242">
        <v>80</v>
      </c>
      <c r="L1242">
        <v>79.940742493000002</v>
      </c>
      <c r="M1242">
        <v>50</v>
      </c>
      <c r="N1242">
        <v>42.246620178000001</v>
      </c>
    </row>
    <row r="1243" spans="1:14" x14ac:dyDescent="0.25">
      <c r="A1243">
        <v>835.82898899999998</v>
      </c>
      <c r="B1243" s="1">
        <f>DATE(2012,8,13) + TIME(19,53,44)</f>
        <v>41134.828981481478</v>
      </c>
      <c r="C1243">
        <v>2400</v>
      </c>
      <c r="D1243">
        <v>0</v>
      </c>
      <c r="E1243">
        <v>0</v>
      </c>
      <c r="F1243">
        <v>2400</v>
      </c>
      <c r="G1243">
        <v>1381.3278809000001</v>
      </c>
      <c r="H1243">
        <v>1367.7381591999999</v>
      </c>
      <c r="I1243">
        <v>1283.9011230000001</v>
      </c>
      <c r="J1243">
        <v>1263.0487060999999</v>
      </c>
      <c r="K1243">
        <v>80</v>
      </c>
      <c r="L1243">
        <v>79.940803528000004</v>
      </c>
      <c r="M1243">
        <v>50</v>
      </c>
      <c r="N1243">
        <v>42.133380889999998</v>
      </c>
    </row>
    <row r="1244" spans="1:14" x14ac:dyDescent="0.25">
      <c r="A1244">
        <v>837.52982999999995</v>
      </c>
      <c r="B1244" s="1">
        <f>DATE(2012,8,15) + TIME(12,42,57)</f>
        <v>41136.529826388891</v>
      </c>
      <c r="C1244">
        <v>2400</v>
      </c>
      <c r="D1244">
        <v>0</v>
      </c>
      <c r="E1244">
        <v>0</v>
      </c>
      <c r="F1244">
        <v>2400</v>
      </c>
      <c r="G1244">
        <v>1381.2664795000001</v>
      </c>
      <c r="H1244">
        <v>1367.6845702999999</v>
      </c>
      <c r="I1244">
        <v>1283.7932129000001</v>
      </c>
      <c r="J1244">
        <v>1262.8752440999999</v>
      </c>
      <c r="K1244">
        <v>80</v>
      </c>
      <c r="L1244">
        <v>79.940872192</v>
      </c>
      <c r="M1244">
        <v>50</v>
      </c>
      <c r="N1244">
        <v>42.018596649000003</v>
      </c>
    </row>
    <row r="1245" spans="1:14" x14ac:dyDescent="0.25">
      <c r="A1245">
        <v>839.24439900000004</v>
      </c>
      <c r="B1245" s="1">
        <f>DATE(2012,8,17) + TIME(5,51,56)</f>
        <v>41138.244398148148</v>
      </c>
      <c r="C1245">
        <v>2400</v>
      </c>
      <c r="D1245">
        <v>0</v>
      </c>
      <c r="E1245">
        <v>0</v>
      </c>
      <c r="F1245">
        <v>2400</v>
      </c>
      <c r="G1245">
        <v>1381.2047118999999</v>
      </c>
      <c r="H1245">
        <v>1367.6307373</v>
      </c>
      <c r="I1245">
        <v>1283.6831055</v>
      </c>
      <c r="J1245">
        <v>1262.6975098</v>
      </c>
      <c r="K1245">
        <v>80</v>
      </c>
      <c r="L1245">
        <v>79.940933228000006</v>
      </c>
      <c r="M1245">
        <v>50</v>
      </c>
      <c r="N1245">
        <v>41.902500152999998</v>
      </c>
    </row>
    <row r="1246" spans="1:14" x14ac:dyDescent="0.25">
      <c r="A1246">
        <v>840.97282299999995</v>
      </c>
      <c r="B1246" s="1">
        <f>DATE(2012,8,18) + TIME(23,20,51)</f>
        <v>41139.972812499997</v>
      </c>
      <c r="C1246">
        <v>2400</v>
      </c>
      <c r="D1246">
        <v>0</v>
      </c>
      <c r="E1246">
        <v>0</v>
      </c>
      <c r="F1246">
        <v>2400</v>
      </c>
      <c r="G1246">
        <v>1381.1431885</v>
      </c>
      <c r="H1246">
        <v>1367.5769043</v>
      </c>
      <c r="I1246">
        <v>1283.5716553</v>
      </c>
      <c r="J1246">
        <v>1262.5168457</v>
      </c>
      <c r="K1246">
        <v>80</v>
      </c>
      <c r="L1246">
        <v>79.940994262999993</v>
      </c>
      <c r="M1246">
        <v>50</v>
      </c>
      <c r="N1246">
        <v>41.785526275999999</v>
      </c>
    </row>
    <row r="1247" spans="1:14" x14ac:dyDescent="0.25">
      <c r="A1247">
        <v>842.71340899999996</v>
      </c>
      <c r="B1247" s="1">
        <f>DATE(2012,8,20) + TIME(17,7,18)</f>
        <v>41141.713402777779</v>
      </c>
      <c r="C1247">
        <v>2400</v>
      </c>
      <c r="D1247">
        <v>0</v>
      </c>
      <c r="E1247">
        <v>0</v>
      </c>
      <c r="F1247">
        <v>2400</v>
      </c>
      <c r="G1247">
        <v>1381.0816649999999</v>
      </c>
      <c r="H1247">
        <v>1367.5231934000001</v>
      </c>
      <c r="I1247">
        <v>1283.4588623</v>
      </c>
      <c r="J1247">
        <v>1262.3332519999999</v>
      </c>
      <c r="K1247">
        <v>80</v>
      </c>
      <c r="L1247">
        <v>79.941062927000004</v>
      </c>
      <c r="M1247">
        <v>50</v>
      </c>
      <c r="N1247">
        <v>41.667938231999997</v>
      </c>
    </row>
    <row r="1248" spans="1:14" x14ac:dyDescent="0.25">
      <c r="A1248">
        <v>844.47074299999997</v>
      </c>
      <c r="B1248" s="1">
        <f>DATE(2012,8,22) + TIME(11,17,52)</f>
        <v>41143.47074074074</v>
      </c>
      <c r="C1248">
        <v>2400</v>
      </c>
      <c r="D1248">
        <v>0</v>
      </c>
      <c r="E1248">
        <v>0</v>
      </c>
      <c r="F1248">
        <v>2400</v>
      </c>
      <c r="G1248">
        <v>1381.0203856999999</v>
      </c>
      <c r="H1248">
        <v>1367.4694824000001</v>
      </c>
      <c r="I1248">
        <v>1283.3452147999999</v>
      </c>
      <c r="J1248">
        <v>1262.1470947</v>
      </c>
      <c r="K1248">
        <v>80</v>
      </c>
      <c r="L1248">
        <v>79.941123962000006</v>
      </c>
      <c r="M1248">
        <v>50</v>
      </c>
      <c r="N1248">
        <v>41.549850464000002</v>
      </c>
    </row>
    <row r="1249" spans="1:14" x14ac:dyDescent="0.25">
      <c r="A1249">
        <v>846.24955799999998</v>
      </c>
      <c r="B1249" s="1">
        <f>DATE(2012,8,24) + TIME(5,59,21)</f>
        <v>41145.249548611115</v>
      </c>
      <c r="C1249">
        <v>2400</v>
      </c>
      <c r="D1249">
        <v>0</v>
      </c>
      <c r="E1249">
        <v>0</v>
      </c>
      <c r="F1249">
        <v>2400</v>
      </c>
      <c r="G1249">
        <v>1380.9591064000001</v>
      </c>
      <c r="H1249">
        <v>1367.4156493999999</v>
      </c>
      <c r="I1249">
        <v>1283.2302245999999</v>
      </c>
      <c r="J1249">
        <v>1261.9581298999999</v>
      </c>
      <c r="K1249">
        <v>80</v>
      </c>
      <c r="L1249">
        <v>79.941192627000007</v>
      </c>
      <c r="M1249">
        <v>50</v>
      </c>
      <c r="N1249">
        <v>41.431205749999997</v>
      </c>
    </row>
    <row r="1250" spans="1:14" x14ac:dyDescent="0.25">
      <c r="A1250">
        <v>848.05481399999996</v>
      </c>
      <c r="B1250" s="1">
        <f>DATE(2012,8,26) + TIME(1,18,55)</f>
        <v>41147.054803240739</v>
      </c>
      <c r="C1250">
        <v>2400</v>
      </c>
      <c r="D1250">
        <v>0</v>
      </c>
      <c r="E1250">
        <v>0</v>
      </c>
      <c r="F1250">
        <v>2400</v>
      </c>
      <c r="G1250">
        <v>1380.8977050999999</v>
      </c>
      <c r="H1250">
        <v>1367.3616943</v>
      </c>
      <c r="I1250">
        <v>1283.1140137</v>
      </c>
      <c r="J1250">
        <v>1261.7661132999999</v>
      </c>
      <c r="K1250">
        <v>80</v>
      </c>
      <c r="L1250">
        <v>79.941261291999993</v>
      </c>
      <c r="M1250">
        <v>50</v>
      </c>
      <c r="N1250">
        <v>41.311904906999999</v>
      </c>
    </row>
    <row r="1251" spans="1:14" x14ac:dyDescent="0.25">
      <c r="A1251">
        <v>849.89179000000001</v>
      </c>
      <c r="B1251" s="1">
        <f>DATE(2012,8,27) + TIME(21,24,10)</f>
        <v>41148.891782407409</v>
      </c>
      <c r="C1251">
        <v>2400</v>
      </c>
      <c r="D1251">
        <v>0</v>
      </c>
      <c r="E1251">
        <v>0</v>
      </c>
      <c r="F1251">
        <v>2400</v>
      </c>
      <c r="G1251">
        <v>1380.8359375</v>
      </c>
      <c r="H1251">
        <v>1367.3073730000001</v>
      </c>
      <c r="I1251">
        <v>1282.9963379000001</v>
      </c>
      <c r="J1251">
        <v>1261.5705565999999</v>
      </c>
      <c r="K1251">
        <v>80</v>
      </c>
      <c r="L1251">
        <v>79.941329956000004</v>
      </c>
      <c r="M1251">
        <v>50</v>
      </c>
      <c r="N1251">
        <v>41.191825866999999</v>
      </c>
    </row>
    <row r="1252" spans="1:14" x14ac:dyDescent="0.25">
      <c r="A1252">
        <v>851.76616300000001</v>
      </c>
      <c r="B1252" s="1">
        <f>DATE(2012,8,29) + TIME(18,23,16)</f>
        <v>41150.766157407408</v>
      </c>
      <c r="C1252">
        <v>2400</v>
      </c>
      <c r="D1252">
        <v>0</v>
      </c>
      <c r="E1252">
        <v>0</v>
      </c>
      <c r="F1252">
        <v>2400</v>
      </c>
      <c r="G1252">
        <v>1380.7736815999999</v>
      </c>
      <c r="H1252">
        <v>1367.2524414</v>
      </c>
      <c r="I1252">
        <v>1282.8768310999999</v>
      </c>
      <c r="J1252">
        <v>1261.3713379000001</v>
      </c>
      <c r="K1252">
        <v>80</v>
      </c>
      <c r="L1252">
        <v>79.941398621000005</v>
      </c>
      <c r="M1252">
        <v>50</v>
      </c>
      <c r="N1252">
        <v>41.070880889999998</v>
      </c>
    </row>
    <row r="1253" spans="1:14" x14ac:dyDescent="0.25">
      <c r="A1253">
        <v>853.65905299999997</v>
      </c>
      <c r="B1253" s="1">
        <f>DATE(2012,8,31) + TIME(15,49,2)</f>
        <v>41152.659050925926</v>
      </c>
      <c r="C1253">
        <v>2400</v>
      </c>
      <c r="D1253">
        <v>0</v>
      </c>
      <c r="E1253">
        <v>0</v>
      </c>
      <c r="F1253">
        <v>2400</v>
      </c>
      <c r="G1253">
        <v>1380.7106934000001</v>
      </c>
      <c r="H1253">
        <v>1367.1968993999999</v>
      </c>
      <c r="I1253">
        <v>1282.7556152</v>
      </c>
      <c r="J1253">
        <v>1261.1683350000001</v>
      </c>
      <c r="K1253">
        <v>80</v>
      </c>
      <c r="L1253">
        <v>79.941467285000002</v>
      </c>
      <c r="M1253">
        <v>50</v>
      </c>
      <c r="N1253">
        <v>40.949489593999999</v>
      </c>
    </row>
    <row r="1254" spans="1:14" x14ac:dyDescent="0.25">
      <c r="A1254">
        <v>854</v>
      </c>
      <c r="B1254" s="1">
        <f>DATE(2012,9,1) + TIME(0,0,0)</f>
        <v>41153</v>
      </c>
      <c r="C1254">
        <v>2400</v>
      </c>
      <c r="D1254">
        <v>0</v>
      </c>
      <c r="E1254">
        <v>0</v>
      </c>
      <c r="F1254">
        <v>2400</v>
      </c>
      <c r="G1254">
        <v>1380.6486815999999</v>
      </c>
      <c r="H1254">
        <v>1367.1420897999999</v>
      </c>
      <c r="I1254">
        <v>1282.6434326000001</v>
      </c>
      <c r="J1254">
        <v>1261.0079346</v>
      </c>
      <c r="K1254">
        <v>80</v>
      </c>
      <c r="L1254">
        <v>79.941467285000002</v>
      </c>
      <c r="M1254">
        <v>50</v>
      </c>
      <c r="N1254">
        <v>40.900012969999999</v>
      </c>
    </row>
    <row r="1255" spans="1:14" x14ac:dyDescent="0.25">
      <c r="A1255">
        <v>855.90230799999995</v>
      </c>
      <c r="B1255" s="1">
        <f>DATE(2012,9,2) + TIME(21,39,19)</f>
        <v>41154.902303240742</v>
      </c>
      <c r="C1255">
        <v>2400</v>
      </c>
      <c r="D1255">
        <v>0</v>
      </c>
      <c r="E1255">
        <v>0</v>
      </c>
      <c r="F1255">
        <v>2400</v>
      </c>
      <c r="G1255">
        <v>1380.6361084</v>
      </c>
      <c r="H1255">
        <v>1367.1308594</v>
      </c>
      <c r="I1255">
        <v>1282.6085204999999</v>
      </c>
      <c r="J1255">
        <v>1260.9169922000001</v>
      </c>
      <c r="K1255">
        <v>80</v>
      </c>
      <c r="L1255">
        <v>79.941551208000007</v>
      </c>
      <c r="M1255">
        <v>50</v>
      </c>
      <c r="N1255">
        <v>40.798408508000001</v>
      </c>
    </row>
    <row r="1256" spans="1:14" x14ac:dyDescent="0.25">
      <c r="A1256">
        <v>857.81447300000002</v>
      </c>
      <c r="B1256" s="1">
        <f>DATE(2012,9,4) + TIME(19,32,50)</f>
        <v>41156.814467592594</v>
      </c>
      <c r="C1256">
        <v>2400</v>
      </c>
      <c r="D1256">
        <v>0</v>
      </c>
      <c r="E1256">
        <v>0</v>
      </c>
      <c r="F1256">
        <v>2400</v>
      </c>
      <c r="G1256">
        <v>1380.5737305</v>
      </c>
      <c r="H1256">
        <v>1367.0756836</v>
      </c>
      <c r="I1256">
        <v>1282.489624</v>
      </c>
      <c r="J1256">
        <v>1260.7180175999999</v>
      </c>
      <c r="K1256">
        <v>80</v>
      </c>
      <c r="L1256">
        <v>79.941627502000003</v>
      </c>
      <c r="M1256">
        <v>50</v>
      </c>
      <c r="N1256">
        <v>40.685104369999998</v>
      </c>
    </row>
    <row r="1257" spans="1:14" x14ac:dyDescent="0.25">
      <c r="A1257">
        <v>859.741444</v>
      </c>
      <c r="B1257" s="1">
        <f>DATE(2012,9,6) + TIME(17,47,40)</f>
        <v>41158.741435185184</v>
      </c>
      <c r="C1257">
        <v>2400</v>
      </c>
      <c r="D1257">
        <v>0</v>
      </c>
      <c r="E1257">
        <v>0</v>
      </c>
      <c r="F1257">
        <v>2400</v>
      </c>
      <c r="G1257">
        <v>1380.5112305</v>
      </c>
      <c r="H1257">
        <v>1367.0202637</v>
      </c>
      <c r="I1257">
        <v>1282.3695068</v>
      </c>
      <c r="J1257">
        <v>1260.5142822</v>
      </c>
      <c r="K1257">
        <v>80</v>
      </c>
      <c r="L1257">
        <v>79.941696167000003</v>
      </c>
      <c r="M1257">
        <v>50</v>
      </c>
      <c r="N1257">
        <v>40.569316864000001</v>
      </c>
    </row>
    <row r="1258" spans="1:14" x14ac:dyDescent="0.25">
      <c r="A1258">
        <v>861.68831499999999</v>
      </c>
      <c r="B1258" s="1">
        <f>DATE(2012,9,8) + TIME(16,31,10)</f>
        <v>41160.688310185185</v>
      </c>
      <c r="C1258">
        <v>2400</v>
      </c>
      <c r="D1258">
        <v>0</v>
      </c>
      <c r="E1258">
        <v>0</v>
      </c>
      <c r="F1258">
        <v>2400</v>
      </c>
      <c r="G1258">
        <v>1380.4488524999999</v>
      </c>
      <c r="H1258">
        <v>1366.9647216999999</v>
      </c>
      <c r="I1258">
        <v>1282.2493896000001</v>
      </c>
      <c r="J1258">
        <v>1260.3088379000001</v>
      </c>
      <c r="K1258">
        <v>80</v>
      </c>
      <c r="L1258">
        <v>79.941772460999999</v>
      </c>
      <c r="M1258">
        <v>50</v>
      </c>
      <c r="N1258">
        <v>40.454006194999998</v>
      </c>
    </row>
    <row r="1259" spans="1:14" x14ac:dyDescent="0.25">
      <c r="A1259">
        <v>863.66036399999996</v>
      </c>
      <c r="B1259" s="1">
        <f>DATE(2012,9,10) + TIME(15,50,55)</f>
        <v>41162.660358796296</v>
      </c>
      <c r="C1259">
        <v>2400</v>
      </c>
      <c r="D1259">
        <v>0</v>
      </c>
      <c r="E1259">
        <v>0</v>
      </c>
      <c r="F1259">
        <v>2400</v>
      </c>
      <c r="G1259">
        <v>1380.3862305</v>
      </c>
      <c r="H1259">
        <v>1366.9090576000001</v>
      </c>
      <c r="I1259">
        <v>1282.1295166</v>
      </c>
      <c r="J1259">
        <v>1260.1026611</v>
      </c>
      <c r="K1259">
        <v>80</v>
      </c>
      <c r="L1259">
        <v>79.941841124999996</v>
      </c>
      <c r="M1259">
        <v>50</v>
      </c>
      <c r="N1259">
        <v>40.340194701999998</v>
      </c>
    </row>
    <row r="1260" spans="1:14" x14ac:dyDescent="0.25">
      <c r="A1260">
        <v>865.66316099999995</v>
      </c>
      <c r="B1260" s="1">
        <f>DATE(2012,9,12) + TIME(15,54,57)</f>
        <v>41164.663159722222</v>
      </c>
      <c r="C1260">
        <v>2400</v>
      </c>
      <c r="D1260">
        <v>0</v>
      </c>
      <c r="E1260">
        <v>0</v>
      </c>
      <c r="F1260">
        <v>2400</v>
      </c>
      <c r="G1260">
        <v>1380.3233643000001</v>
      </c>
      <c r="H1260">
        <v>1366.8530272999999</v>
      </c>
      <c r="I1260">
        <v>1282.0100098</v>
      </c>
      <c r="J1260">
        <v>1259.8959961</v>
      </c>
      <c r="K1260">
        <v>80</v>
      </c>
      <c r="L1260">
        <v>79.941917419000006</v>
      </c>
      <c r="M1260">
        <v>50</v>
      </c>
      <c r="N1260">
        <v>40.228340148999997</v>
      </c>
    </row>
    <row r="1261" spans="1:14" x14ac:dyDescent="0.25">
      <c r="A1261">
        <v>867.68847800000003</v>
      </c>
      <c r="B1261" s="1">
        <f>DATE(2012,9,14) + TIME(16,31,24)</f>
        <v>41166.688472222224</v>
      </c>
      <c r="C1261">
        <v>2400</v>
      </c>
      <c r="D1261">
        <v>0</v>
      </c>
      <c r="E1261">
        <v>0</v>
      </c>
      <c r="F1261">
        <v>2400</v>
      </c>
      <c r="G1261">
        <v>1380.2600098</v>
      </c>
      <c r="H1261">
        <v>1366.7965088000001</v>
      </c>
      <c r="I1261">
        <v>1281.8907471</v>
      </c>
      <c r="J1261">
        <v>1259.6889647999999</v>
      </c>
      <c r="K1261">
        <v>80</v>
      </c>
      <c r="L1261">
        <v>79.941993713000002</v>
      </c>
      <c r="M1261">
        <v>50</v>
      </c>
      <c r="N1261">
        <v>40.119007111000002</v>
      </c>
    </row>
    <row r="1262" spans="1:14" x14ac:dyDescent="0.25">
      <c r="A1262">
        <v>869.71822699999996</v>
      </c>
      <c r="B1262" s="1">
        <f>DATE(2012,9,16) + TIME(17,14,14)</f>
        <v>41168.718217592592</v>
      </c>
      <c r="C1262">
        <v>2400</v>
      </c>
      <c r="D1262">
        <v>0</v>
      </c>
      <c r="E1262">
        <v>0</v>
      </c>
      <c r="F1262">
        <v>2400</v>
      </c>
      <c r="G1262">
        <v>1380.1964111</v>
      </c>
      <c r="H1262">
        <v>1366.7397461</v>
      </c>
      <c r="I1262">
        <v>1281.7727050999999</v>
      </c>
      <c r="J1262">
        <v>1259.4829102000001</v>
      </c>
      <c r="K1262">
        <v>80</v>
      </c>
      <c r="L1262">
        <v>79.942070006999998</v>
      </c>
      <c r="M1262">
        <v>50</v>
      </c>
      <c r="N1262">
        <v>40.013259888</v>
      </c>
    </row>
    <row r="1263" spans="1:14" x14ac:dyDescent="0.25">
      <c r="A1263">
        <v>871.76485500000001</v>
      </c>
      <c r="B1263" s="1">
        <f>DATE(2012,9,18) + TIME(18,21,23)</f>
        <v>41170.764849537038</v>
      </c>
      <c r="C1263">
        <v>2400</v>
      </c>
      <c r="D1263">
        <v>0</v>
      </c>
      <c r="E1263">
        <v>0</v>
      </c>
      <c r="F1263">
        <v>2400</v>
      </c>
      <c r="G1263">
        <v>1380.1330565999999</v>
      </c>
      <c r="H1263">
        <v>1366.6831055</v>
      </c>
      <c r="I1263">
        <v>1281.6569824000001</v>
      </c>
      <c r="J1263">
        <v>1259.2799072</v>
      </c>
      <c r="K1263">
        <v>80</v>
      </c>
      <c r="L1263">
        <v>79.942146300999994</v>
      </c>
      <c r="M1263">
        <v>50</v>
      </c>
      <c r="N1263">
        <v>39.912052154999998</v>
      </c>
    </row>
    <row r="1264" spans="1:14" x14ac:dyDescent="0.25">
      <c r="A1264">
        <v>873.84098500000005</v>
      </c>
      <c r="B1264" s="1">
        <f>DATE(2012,9,20) + TIME(20,11,1)</f>
        <v>41172.840983796297</v>
      </c>
      <c r="C1264">
        <v>2400</v>
      </c>
      <c r="D1264">
        <v>0</v>
      </c>
      <c r="E1264">
        <v>0</v>
      </c>
      <c r="F1264">
        <v>2400</v>
      </c>
      <c r="G1264">
        <v>1380.0697021000001</v>
      </c>
      <c r="H1264">
        <v>1366.6262207</v>
      </c>
      <c r="I1264">
        <v>1281.5433350000001</v>
      </c>
      <c r="J1264">
        <v>1259.0795897999999</v>
      </c>
      <c r="K1264">
        <v>80</v>
      </c>
      <c r="L1264">
        <v>79.942230225000003</v>
      </c>
      <c r="M1264">
        <v>50</v>
      </c>
      <c r="N1264">
        <v>39.815658569</v>
      </c>
    </row>
    <row r="1265" spans="1:14" x14ac:dyDescent="0.25">
      <c r="A1265">
        <v>875.95266300000003</v>
      </c>
      <c r="B1265" s="1">
        <f>DATE(2012,9,22) + TIME(22,51,50)</f>
        <v>41174.952662037038</v>
      </c>
      <c r="C1265">
        <v>2400</v>
      </c>
      <c r="D1265">
        <v>0</v>
      </c>
      <c r="E1265">
        <v>0</v>
      </c>
      <c r="F1265">
        <v>2400</v>
      </c>
      <c r="G1265">
        <v>1380.0058594</v>
      </c>
      <c r="H1265">
        <v>1366.5689697</v>
      </c>
      <c r="I1265">
        <v>1281.4315185999999</v>
      </c>
      <c r="J1265">
        <v>1258.8814697</v>
      </c>
      <c r="K1265">
        <v>80</v>
      </c>
      <c r="L1265">
        <v>79.942306518999999</v>
      </c>
      <c r="M1265">
        <v>50</v>
      </c>
      <c r="N1265">
        <v>39.724414824999997</v>
      </c>
    </row>
    <row r="1266" spans="1:14" x14ac:dyDescent="0.25">
      <c r="A1266">
        <v>878.08709599999997</v>
      </c>
      <c r="B1266" s="1">
        <f>DATE(2012,9,25) + TIME(2,5,25)</f>
        <v>41177.087094907409</v>
      </c>
      <c r="C1266">
        <v>2400</v>
      </c>
      <c r="D1266">
        <v>0</v>
      </c>
      <c r="E1266">
        <v>0</v>
      </c>
      <c r="F1266">
        <v>2400</v>
      </c>
      <c r="G1266">
        <v>1379.9414062000001</v>
      </c>
      <c r="H1266">
        <v>1366.5111084</v>
      </c>
      <c r="I1266">
        <v>1281.3215332</v>
      </c>
      <c r="J1266">
        <v>1258.6860352000001</v>
      </c>
      <c r="K1266">
        <v>80</v>
      </c>
      <c r="L1266">
        <v>79.942382812000005</v>
      </c>
      <c r="M1266">
        <v>50</v>
      </c>
      <c r="N1266">
        <v>39.639118195000002</v>
      </c>
    </row>
    <row r="1267" spans="1:14" x14ac:dyDescent="0.25">
      <c r="A1267">
        <v>880.24475199999995</v>
      </c>
      <c r="B1267" s="1">
        <f>DATE(2012,9,27) + TIME(5,52,26)</f>
        <v>41179.244745370372</v>
      </c>
      <c r="C1267">
        <v>2400</v>
      </c>
      <c r="D1267">
        <v>0</v>
      </c>
      <c r="E1267">
        <v>0</v>
      </c>
      <c r="F1267">
        <v>2400</v>
      </c>
      <c r="G1267">
        <v>1379.8767089999999</v>
      </c>
      <c r="H1267">
        <v>1366.4527588000001</v>
      </c>
      <c r="I1267">
        <v>1281.2143555</v>
      </c>
      <c r="J1267">
        <v>1258.4948730000001</v>
      </c>
      <c r="K1267">
        <v>80</v>
      </c>
      <c r="L1267">
        <v>79.942466736</v>
      </c>
      <c r="M1267">
        <v>50</v>
      </c>
      <c r="N1267">
        <v>39.560874939000001</v>
      </c>
    </row>
    <row r="1268" spans="1:14" x14ac:dyDescent="0.25">
      <c r="A1268">
        <v>882.42210699999998</v>
      </c>
      <c r="B1268" s="1">
        <f>DATE(2012,9,29) + TIME(10,7,50)</f>
        <v>41181.422106481485</v>
      </c>
      <c r="C1268">
        <v>2400</v>
      </c>
      <c r="D1268">
        <v>0</v>
      </c>
      <c r="E1268">
        <v>0</v>
      </c>
      <c r="F1268">
        <v>2400</v>
      </c>
      <c r="G1268">
        <v>1379.8117675999999</v>
      </c>
      <c r="H1268">
        <v>1366.3942870999999</v>
      </c>
      <c r="I1268">
        <v>1281.1103516000001</v>
      </c>
      <c r="J1268">
        <v>1258.3088379000001</v>
      </c>
      <c r="K1268">
        <v>80</v>
      </c>
      <c r="L1268">
        <v>79.942550659000005</v>
      </c>
      <c r="M1268">
        <v>50</v>
      </c>
      <c r="N1268">
        <v>39.490695952999999</v>
      </c>
    </row>
    <row r="1269" spans="1:14" x14ac:dyDescent="0.25">
      <c r="A1269">
        <v>884</v>
      </c>
      <c r="B1269" s="1">
        <f>DATE(2012,10,1) + TIME(0,0,0)</f>
        <v>41183</v>
      </c>
      <c r="C1269">
        <v>2400</v>
      </c>
      <c r="D1269">
        <v>0</v>
      </c>
      <c r="E1269">
        <v>0</v>
      </c>
      <c r="F1269">
        <v>2400</v>
      </c>
      <c r="G1269">
        <v>1379.746582</v>
      </c>
      <c r="H1269">
        <v>1366.3354492000001</v>
      </c>
      <c r="I1269">
        <v>1281.0128173999999</v>
      </c>
      <c r="J1269">
        <v>1258.1363524999999</v>
      </c>
      <c r="K1269">
        <v>80</v>
      </c>
      <c r="L1269">
        <v>79.942596436000002</v>
      </c>
      <c r="M1269">
        <v>50</v>
      </c>
      <c r="N1269">
        <v>39.435665131</v>
      </c>
    </row>
    <row r="1270" spans="1:14" x14ac:dyDescent="0.25">
      <c r="A1270">
        <v>886.19860100000005</v>
      </c>
      <c r="B1270" s="1">
        <f>DATE(2012,10,3) + TIME(4,45,59)</f>
        <v>41185.198599537034</v>
      </c>
      <c r="C1270">
        <v>2400</v>
      </c>
      <c r="D1270">
        <v>0</v>
      </c>
      <c r="E1270">
        <v>0</v>
      </c>
      <c r="F1270">
        <v>2400</v>
      </c>
      <c r="G1270">
        <v>1379.699707</v>
      </c>
      <c r="H1270">
        <v>1366.2929687999999</v>
      </c>
      <c r="I1270">
        <v>1280.9381103999999</v>
      </c>
      <c r="J1270">
        <v>1257.9989014</v>
      </c>
      <c r="K1270">
        <v>80</v>
      </c>
      <c r="L1270">
        <v>79.942687988000003</v>
      </c>
      <c r="M1270">
        <v>50</v>
      </c>
      <c r="N1270">
        <v>39.389801024999997</v>
      </c>
    </row>
    <row r="1271" spans="1:14" x14ac:dyDescent="0.25">
      <c r="A1271">
        <v>888.43526199999997</v>
      </c>
      <c r="B1271" s="1">
        <f>DATE(2012,10,5) + TIME(10,26,46)</f>
        <v>41187.435254629629</v>
      </c>
      <c r="C1271">
        <v>2400</v>
      </c>
      <c r="D1271">
        <v>0</v>
      </c>
      <c r="E1271">
        <v>0</v>
      </c>
      <c r="F1271">
        <v>2400</v>
      </c>
      <c r="G1271">
        <v>1379.6348877</v>
      </c>
      <c r="H1271">
        <v>1366.2342529</v>
      </c>
      <c r="I1271">
        <v>1280.8475341999999</v>
      </c>
      <c r="J1271">
        <v>1257.8366699000001</v>
      </c>
      <c r="K1271">
        <v>80</v>
      </c>
      <c r="L1271">
        <v>79.942771911999998</v>
      </c>
      <c r="M1271">
        <v>50</v>
      </c>
      <c r="N1271">
        <v>39.348857879999997</v>
      </c>
    </row>
    <row r="1272" spans="1:14" x14ac:dyDescent="0.25">
      <c r="A1272">
        <v>890.68391499999996</v>
      </c>
      <c r="B1272" s="1">
        <f>DATE(2012,10,7) + TIME(16,24,50)</f>
        <v>41189.683912037035</v>
      </c>
      <c r="C1272">
        <v>2400</v>
      </c>
      <c r="D1272">
        <v>0</v>
      </c>
      <c r="E1272">
        <v>0</v>
      </c>
      <c r="F1272">
        <v>2400</v>
      </c>
      <c r="G1272">
        <v>1379.5692139</v>
      </c>
      <c r="H1272">
        <v>1366.1746826000001</v>
      </c>
      <c r="I1272">
        <v>1280.7593993999999</v>
      </c>
      <c r="J1272">
        <v>1257.6787108999999</v>
      </c>
      <c r="K1272">
        <v>80</v>
      </c>
      <c r="L1272">
        <v>79.942855835000003</v>
      </c>
      <c r="M1272">
        <v>50</v>
      </c>
      <c r="N1272">
        <v>39.317832946999999</v>
      </c>
    </row>
    <row r="1273" spans="1:14" x14ac:dyDescent="0.25">
      <c r="A1273">
        <v>892.93980999999997</v>
      </c>
      <c r="B1273" s="1">
        <f>DATE(2012,10,9) + TIME(22,33,19)</f>
        <v>41191.939803240741</v>
      </c>
      <c r="C1273">
        <v>2400</v>
      </c>
      <c r="D1273">
        <v>0</v>
      </c>
      <c r="E1273">
        <v>0</v>
      </c>
      <c r="F1273">
        <v>2400</v>
      </c>
      <c r="G1273">
        <v>1379.5036620999999</v>
      </c>
      <c r="H1273">
        <v>1366.1152344</v>
      </c>
      <c r="I1273">
        <v>1280.6759033000001</v>
      </c>
      <c r="J1273">
        <v>1257.5294189000001</v>
      </c>
      <c r="K1273">
        <v>80</v>
      </c>
      <c r="L1273">
        <v>79.942939757999994</v>
      </c>
      <c r="M1273">
        <v>50</v>
      </c>
      <c r="N1273">
        <v>39.298919677999997</v>
      </c>
    </row>
    <row r="1274" spans="1:14" x14ac:dyDescent="0.25">
      <c r="A1274">
        <v>895.210013</v>
      </c>
      <c r="B1274" s="1">
        <f>DATE(2012,10,12) + TIME(5,2,25)</f>
        <v>41194.210011574076</v>
      </c>
      <c r="C1274">
        <v>2400</v>
      </c>
      <c r="D1274">
        <v>0</v>
      </c>
      <c r="E1274">
        <v>0</v>
      </c>
      <c r="F1274">
        <v>2400</v>
      </c>
      <c r="G1274">
        <v>1379.4384766000001</v>
      </c>
      <c r="H1274">
        <v>1366.0559082</v>
      </c>
      <c r="I1274">
        <v>1280.5979004000001</v>
      </c>
      <c r="J1274">
        <v>1257.3902588000001</v>
      </c>
      <c r="K1274">
        <v>80</v>
      </c>
      <c r="L1274">
        <v>79.943023682000003</v>
      </c>
      <c r="M1274">
        <v>50</v>
      </c>
      <c r="N1274">
        <v>39.293178558000001</v>
      </c>
    </row>
    <row r="1275" spans="1:14" x14ac:dyDescent="0.25">
      <c r="A1275">
        <v>897.50043900000003</v>
      </c>
      <c r="B1275" s="1">
        <f>DATE(2012,10,14) + TIME(12,0,37)</f>
        <v>41196.500428240739</v>
      </c>
      <c r="C1275">
        <v>2400</v>
      </c>
      <c r="D1275">
        <v>0</v>
      </c>
      <c r="E1275">
        <v>0</v>
      </c>
      <c r="F1275">
        <v>2400</v>
      </c>
      <c r="G1275">
        <v>1379.3732910000001</v>
      </c>
      <c r="H1275">
        <v>1365.9967041</v>
      </c>
      <c r="I1275">
        <v>1280.5251464999999</v>
      </c>
      <c r="J1275">
        <v>1257.2614745999999</v>
      </c>
      <c r="K1275">
        <v>80</v>
      </c>
      <c r="L1275">
        <v>79.943107604999994</v>
      </c>
      <c r="M1275">
        <v>50</v>
      </c>
      <c r="N1275">
        <v>39.301307678000001</v>
      </c>
    </row>
    <row r="1276" spans="1:14" x14ac:dyDescent="0.25">
      <c r="A1276">
        <v>899.82557399999996</v>
      </c>
      <c r="B1276" s="1">
        <f>DATE(2012,10,16) + TIME(19,48,49)</f>
        <v>41198.825567129628</v>
      </c>
      <c r="C1276">
        <v>2400</v>
      </c>
      <c r="D1276">
        <v>0</v>
      </c>
      <c r="E1276">
        <v>0</v>
      </c>
      <c r="F1276">
        <v>2400</v>
      </c>
      <c r="G1276">
        <v>1379.3081055</v>
      </c>
      <c r="H1276">
        <v>1365.9372559000001</v>
      </c>
      <c r="I1276">
        <v>1280.4576416</v>
      </c>
      <c r="J1276">
        <v>1257.1434326000001</v>
      </c>
      <c r="K1276">
        <v>80</v>
      </c>
      <c r="L1276">
        <v>79.943191528</v>
      </c>
      <c r="M1276">
        <v>50</v>
      </c>
      <c r="N1276">
        <v>39.323970795000001</v>
      </c>
    </row>
    <row r="1277" spans="1:14" x14ac:dyDescent="0.25">
      <c r="A1277">
        <v>902.19390899999996</v>
      </c>
      <c r="B1277" s="1">
        <f>DATE(2012,10,19) + TIME(4,39,13)</f>
        <v>41201.19390046296</v>
      </c>
      <c r="C1277">
        <v>2400</v>
      </c>
      <c r="D1277">
        <v>0</v>
      </c>
      <c r="E1277">
        <v>0</v>
      </c>
      <c r="F1277">
        <v>2400</v>
      </c>
      <c r="G1277">
        <v>1379.2424315999999</v>
      </c>
      <c r="H1277">
        <v>1365.8773193</v>
      </c>
      <c r="I1277">
        <v>1280.3952637</v>
      </c>
      <c r="J1277">
        <v>1257.0358887</v>
      </c>
      <c r="K1277">
        <v>80</v>
      </c>
      <c r="L1277">
        <v>79.943275451999995</v>
      </c>
      <c r="M1277">
        <v>50</v>
      </c>
      <c r="N1277">
        <v>39.361927031999997</v>
      </c>
    </row>
    <row r="1278" spans="1:14" x14ac:dyDescent="0.25">
      <c r="A1278">
        <v>903.40020600000003</v>
      </c>
      <c r="B1278" s="1">
        <f>DATE(2012,10,20) + TIME(9,36,17)</f>
        <v>41202.400196759256</v>
      </c>
      <c r="C1278">
        <v>2400</v>
      </c>
      <c r="D1278">
        <v>0</v>
      </c>
      <c r="E1278">
        <v>0</v>
      </c>
      <c r="F1278">
        <v>2400</v>
      </c>
      <c r="G1278">
        <v>1379.1761475000001</v>
      </c>
      <c r="H1278">
        <v>1365.8167725000001</v>
      </c>
      <c r="I1278">
        <v>1280.3465576000001</v>
      </c>
      <c r="J1278">
        <v>1256.9481201000001</v>
      </c>
      <c r="K1278">
        <v>80</v>
      </c>
      <c r="L1278">
        <v>79.943313599000007</v>
      </c>
      <c r="M1278">
        <v>50</v>
      </c>
      <c r="N1278">
        <v>39.404975890999999</v>
      </c>
    </row>
    <row r="1279" spans="1:14" x14ac:dyDescent="0.25">
      <c r="A1279">
        <v>904.60650399999997</v>
      </c>
      <c r="B1279" s="1">
        <f>DATE(2012,10,21) + TIME(14,33,21)</f>
        <v>41203.606493055559</v>
      </c>
      <c r="C1279">
        <v>2400</v>
      </c>
      <c r="D1279">
        <v>0</v>
      </c>
      <c r="E1279">
        <v>0</v>
      </c>
      <c r="F1279">
        <v>2400</v>
      </c>
      <c r="G1279">
        <v>1379.1422118999999</v>
      </c>
      <c r="H1279">
        <v>1365.7857666</v>
      </c>
      <c r="I1279">
        <v>1280.3150635</v>
      </c>
      <c r="J1279">
        <v>1256.8986815999999</v>
      </c>
      <c r="K1279">
        <v>80</v>
      </c>
      <c r="L1279">
        <v>79.943351746000005</v>
      </c>
      <c r="M1279">
        <v>50</v>
      </c>
      <c r="N1279">
        <v>39.444980620999999</v>
      </c>
    </row>
    <row r="1280" spans="1:14" x14ac:dyDescent="0.25">
      <c r="A1280">
        <v>905.81280200000003</v>
      </c>
      <c r="B1280" s="1">
        <f>DATE(2012,10,22) + TIME(19,30,26)</f>
        <v>41204.812800925924</v>
      </c>
      <c r="C1280">
        <v>2400</v>
      </c>
      <c r="D1280">
        <v>0</v>
      </c>
      <c r="E1280">
        <v>0</v>
      </c>
      <c r="F1280">
        <v>2400</v>
      </c>
      <c r="G1280">
        <v>1379.1088867000001</v>
      </c>
      <c r="H1280">
        <v>1365.7551269999999</v>
      </c>
      <c r="I1280">
        <v>1280.2884521000001</v>
      </c>
      <c r="J1280">
        <v>1256.8563231999999</v>
      </c>
      <c r="K1280">
        <v>80</v>
      </c>
      <c r="L1280">
        <v>79.943397521999998</v>
      </c>
      <c r="M1280">
        <v>50</v>
      </c>
      <c r="N1280">
        <v>39.485992432000003</v>
      </c>
    </row>
    <row r="1281" spans="1:14" x14ac:dyDescent="0.25">
      <c r="A1281">
        <v>907.01909899999998</v>
      </c>
      <c r="B1281" s="1">
        <f>DATE(2012,10,24) + TIME(0,27,30)</f>
        <v>41206.019097222219</v>
      </c>
      <c r="C1281">
        <v>2400</v>
      </c>
      <c r="D1281">
        <v>0</v>
      </c>
      <c r="E1281">
        <v>0</v>
      </c>
      <c r="F1281">
        <v>2400</v>
      </c>
      <c r="G1281">
        <v>1379.0756836</v>
      </c>
      <c r="H1281">
        <v>1365.7247314000001</v>
      </c>
      <c r="I1281">
        <v>1280.2646483999999</v>
      </c>
      <c r="J1281">
        <v>1256.8188477000001</v>
      </c>
      <c r="K1281">
        <v>80</v>
      </c>
      <c r="L1281">
        <v>79.943443298000005</v>
      </c>
      <c r="M1281">
        <v>50</v>
      </c>
      <c r="N1281">
        <v>39.529621124000002</v>
      </c>
    </row>
    <row r="1282" spans="1:14" x14ac:dyDescent="0.25">
      <c r="A1282">
        <v>908.22539700000004</v>
      </c>
      <c r="B1282" s="1">
        <f>DATE(2012,10,25) + TIME(5,24,34)</f>
        <v>41207.225393518522</v>
      </c>
      <c r="C1282">
        <v>2400</v>
      </c>
      <c r="D1282">
        <v>0</v>
      </c>
      <c r="E1282">
        <v>0</v>
      </c>
      <c r="F1282">
        <v>2400</v>
      </c>
      <c r="G1282">
        <v>1379.0427245999999</v>
      </c>
      <c r="H1282">
        <v>1365.6945800999999</v>
      </c>
      <c r="I1282">
        <v>1280.2429199000001</v>
      </c>
      <c r="J1282">
        <v>1256.7851562000001</v>
      </c>
      <c r="K1282">
        <v>80</v>
      </c>
      <c r="L1282">
        <v>79.943489075000002</v>
      </c>
      <c r="M1282">
        <v>50</v>
      </c>
      <c r="N1282">
        <v>39.576473235999998</v>
      </c>
    </row>
    <row r="1283" spans="1:14" x14ac:dyDescent="0.25">
      <c r="A1283">
        <v>909.43169499999999</v>
      </c>
      <c r="B1283" s="1">
        <f>DATE(2012,10,26) + TIME(10,21,38)</f>
        <v>41208.431689814817</v>
      </c>
      <c r="C1283">
        <v>2400</v>
      </c>
      <c r="D1283">
        <v>0</v>
      </c>
      <c r="E1283">
        <v>0</v>
      </c>
      <c r="F1283">
        <v>2400</v>
      </c>
      <c r="G1283">
        <v>1379.0098877</v>
      </c>
      <c r="H1283">
        <v>1365.6644286999999</v>
      </c>
      <c r="I1283">
        <v>1280.2229004000001</v>
      </c>
      <c r="J1283">
        <v>1256.7548827999999</v>
      </c>
      <c r="K1283">
        <v>80</v>
      </c>
      <c r="L1283">
        <v>79.943527222</v>
      </c>
      <c r="M1283">
        <v>50</v>
      </c>
      <c r="N1283">
        <v>39.626747131000002</v>
      </c>
    </row>
    <row r="1284" spans="1:14" x14ac:dyDescent="0.25">
      <c r="A1284">
        <v>911.84429</v>
      </c>
      <c r="B1284" s="1">
        <f>DATE(2012,10,28) + TIME(20,15,46)</f>
        <v>41210.844282407408</v>
      </c>
      <c r="C1284">
        <v>2400</v>
      </c>
      <c r="D1284">
        <v>0</v>
      </c>
      <c r="E1284">
        <v>0</v>
      </c>
      <c r="F1284">
        <v>2400</v>
      </c>
      <c r="G1284">
        <v>1378.9772949000001</v>
      </c>
      <c r="H1284">
        <v>1365.6346435999999</v>
      </c>
      <c r="I1284">
        <v>1280.1987305</v>
      </c>
      <c r="J1284">
        <v>1256.7243652</v>
      </c>
      <c r="K1284">
        <v>80</v>
      </c>
      <c r="L1284">
        <v>79.943626404</v>
      </c>
      <c r="M1284">
        <v>50</v>
      </c>
      <c r="N1284">
        <v>39.694107056</v>
      </c>
    </row>
    <row r="1285" spans="1:14" x14ac:dyDescent="0.25">
      <c r="A1285">
        <v>914.26960499999996</v>
      </c>
      <c r="B1285" s="1">
        <f>DATE(2012,10,31) + TIME(6,28,13)</f>
        <v>41213.269594907404</v>
      </c>
      <c r="C1285">
        <v>2400</v>
      </c>
      <c r="D1285">
        <v>0</v>
      </c>
      <c r="E1285">
        <v>0</v>
      </c>
      <c r="F1285">
        <v>2400</v>
      </c>
      <c r="G1285">
        <v>1378.9127197</v>
      </c>
      <c r="H1285">
        <v>1365.5754394999999</v>
      </c>
      <c r="I1285">
        <v>1280.1687012</v>
      </c>
      <c r="J1285">
        <v>1256.6791992000001</v>
      </c>
      <c r="K1285">
        <v>80</v>
      </c>
      <c r="L1285">
        <v>79.943717957000004</v>
      </c>
      <c r="M1285">
        <v>50</v>
      </c>
      <c r="N1285">
        <v>39.799999237000002</v>
      </c>
    </row>
    <row r="1286" spans="1:14" x14ac:dyDescent="0.25">
      <c r="A1286">
        <v>915</v>
      </c>
      <c r="B1286" s="1">
        <f>DATE(2012,11,1) + TIME(0,0,0)</f>
        <v>41214</v>
      </c>
      <c r="C1286">
        <v>2400</v>
      </c>
      <c r="D1286">
        <v>0</v>
      </c>
      <c r="E1286">
        <v>0</v>
      </c>
      <c r="F1286">
        <v>2400</v>
      </c>
      <c r="G1286">
        <v>1378.8488769999999</v>
      </c>
      <c r="H1286">
        <v>1365.5169678</v>
      </c>
      <c r="I1286">
        <v>1280.1572266000001</v>
      </c>
      <c r="J1286">
        <v>1256.6495361</v>
      </c>
      <c r="K1286">
        <v>80</v>
      </c>
      <c r="L1286">
        <v>79.943733214999995</v>
      </c>
      <c r="M1286">
        <v>50</v>
      </c>
      <c r="N1286">
        <v>39.879398346000002</v>
      </c>
    </row>
    <row r="1287" spans="1:14" x14ac:dyDescent="0.25">
      <c r="A1287">
        <v>915.000001</v>
      </c>
      <c r="B1287" s="1">
        <f>DATE(2012,11,1) + TIME(0,0,0)</f>
        <v>41214</v>
      </c>
      <c r="C1287">
        <v>0</v>
      </c>
      <c r="D1287">
        <v>2400</v>
      </c>
      <c r="E1287">
        <v>2400</v>
      </c>
      <c r="F1287">
        <v>0</v>
      </c>
      <c r="G1287">
        <v>1364.6451416</v>
      </c>
      <c r="H1287">
        <v>1352.6622314000001</v>
      </c>
      <c r="I1287">
        <v>1304.4981689000001</v>
      </c>
      <c r="J1287">
        <v>1281.0588379000001</v>
      </c>
      <c r="K1287">
        <v>80</v>
      </c>
      <c r="L1287">
        <v>79.943611145000006</v>
      </c>
      <c r="M1287">
        <v>50</v>
      </c>
      <c r="N1287">
        <v>39.879520415999998</v>
      </c>
    </row>
    <row r="1288" spans="1:14" x14ac:dyDescent="0.25">
      <c r="A1288">
        <v>915.00000399999999</v>
      </c>
      <c r="B1288" s="1">
        <f>DATE(2012,11,1) + TIME(0,0,0)</f>
        <v>41214</v>
      </c>
      <c r="C1288">
        <v>0</v>
      </c>
      <c r="D1288">
        <v>2400</v>
      </c>
      <c r="E1288">
        <v>2400</v>
      </c>
      <c r="F1288">
        <v>0</v>
      </c>
      <c r="G1288">
        <v>1362.442749</v>
      </c>
      <c r="H1288">
        <v>1350.4591064000001</v>
      </c>
      <c r="I1288">
        <v>1306.9002685999999</v>
      </c>
      <c r="J1288">
        <v>1283.5084228999999</v>
      </c>
      <c r="K1288">
        <v>80</v>
      </c>
      <c r="L1288">
        <v>79.943290709999999</v>
      </c>
      <c r="M1288">
        <v>50</v>
      </c>
      <c r="N1288">
        <v>39.879852294999999</v>
      </c>
    </row>
    <row r="1289" spans="1:14" x14ac:dyDescent="0.25">
      <c r="A1289">
        <v>915.00001299999997</v>
      </c>
      <c r="B1289" s="1">
        <f>DATE(2012,11,1) + TIME(0,0,1)</f>
        <v>41214.000011574077</v>
      </c>
      <c r="C1289">
        <v>0</v>
      </c>
      <c r="D1289">
        <v>2400</v>
      </c>
      <c r="E1289">
        <v>2400</v>
      </c>
      <c r="F1289">
        <v>0</v>
      </c>
      <c r="G1289">
        <v>1357.9967041</v>
      </c>
      <c r="H1289">
        <v>1346.0123291</v>
      </c>
      <c r="I1289">
        <v>1312.5261230000001</v>
      </c>
      <c r="J1289">
        <v>1289.2220459</v>
      </c>
      <c r="K1289">
        <v>80</v>
      </c>
      <c r="L1289">
        <v>79.942665099999999</v>
      </c>
      <c r="M1289">
        <v>50</v>
      </c>
      <c r="N1289">
        <v>39.880645752</v>
      </c>
    </row>
    <row r="1290" spans="1:14" x14ac:dyDescent="0.25">
      <c r="A1290">
        <v>915.00004000000001</v>
      </c>
      <c r="B1290" s="1">
        <f>DATE(2012,11,1) + TIME(0,0,3)</f>
        <v>41214.000034722223</v>
      </c>
      <c r="C1290">
        <v>0</v>
      </c>
      <c r="D1290">
        <v>2400</v>
      </c>
      <c r="E1290">
        <v>2400</v>
      </c>
      <c r="F1290">
        <v>0</v>
      </c>
      <c r="G1290">
        <v>1351.4998779</v>
      </c>
      <c r="H1290">
        <v>1339.5181885</v>
      </c>
      <c r="I1290">
        <v>1322.5267334</v>
      </c>
      <c r="J1290">
        <v>1299.296875</v>
      </c>
      <c r="K1290">
        <v>80</v>
      </c>
      <c r="L1290">
        <v>79.941734314000001</v>
      </c>
      <c r="M1290">
        <v>50</v>
      </c>
      <c r="N1290">
        <v>39.882183075</v>
      </c>
    </row>
    <row r="1291" spans="1:14" x14ac:dyDescent="0.25">
      <c r="A1291">
        <v>915.00012100000004</v>
      </c>
      <c r="B1291" s="1">
        <f>DATE(2012,11,1) + TIME(0,0,10)</f>
        <v>41214.000115740739</v>
      </c>
      <c r="C1291">
        <v>0</v>
      </c>
      <c r="D1291">
        <v>2400</v>
      </c>
      <c r="E1291">
        <v>2400</v>
      </c>
      <c r="F1291">
        <v>0</v>
      </c>
      <c r="G1291">
        <v>1344.2683105000001</v>
      </c>
      <c r="H1291">
        <v>1332.2932129000001</v>
      </c>
      <c r="I1291">
        <v>1335.4283447</v>
      </c>
      <c r="J1291">
        <v>1312.2211914</v>
      </c>
      <c r="K1291">
        <v>80</v>
      </c>
      <c r="L1291">
        <v>79.940689086999996</v>
      </c>
      <c r="M1291">
        <v>50</v>
      </c>
      <c r="N1291">
        <v>39.884716034</v>
      </c>
    </row>
    <row r="1292" spans="1:14" x14ac:dyDescent="0.25">
      <c r="A1292">
        <v>915.00036399999999</v>
      </c>
      <c r="B1292" s="1">
        <f>DATE(2012,11,1) + TIME(0,0,31)</f>
        <v>41214.000358796293</v>
      </c>
      <c r="C1292">
        <v>0</v>
      </c>
      <c r="D1292">
        <v>2400</v>
      </c>
      <c r="E1292">
        <v>2400</v>
      </c>
      <c r="F1292">
        <v>0</v>
      </c>
      <c r="G1292">
        <v>1336.9952393000001</v>
      </c>
      <c r="H1292">
        <v>1325.0289307</v>
      </c>
      <c r="I1292">
        <v>1349.0893555</v>
      </c>
      <c r="J1292">
        <v>1325.8979492000001</v>
      </c>
      <c r="K1292">
        <v>80</v>
      </c>
      <c r="L1292">
        <v>79.939590453999998</v>
      </c>
      <c r="M1292">
        <v>50</v>
      </c>
      <c r="N1292">
        <v>39.8893013</v>
      </c>
    </row>
    <row r="1293" spans="1:14" x14ac:dyDescent="0.25">
      <c r="A1293">
        <v>915.00109299999997</v>
      </c>
      <c r="B1293" s="1">
        <f>DATE(2012,11,1) + TIME(0,1,34)</f>
        <v>41214.001087962963</v>
      </c>
      <c r="C1293">
        <v>0</v>
      </c>
      <c r="D1293">
        <v>2400</v>
      </c>
      <c r="E1293">
        <v>2400</v>
      </c>
      <c r="F1293">
        <v>0</v>
      </c>
      <c r="G1293">
        <v>1329.6640625</v>
      </c>
      <c r="H1293">
        <v>1317.6801757999999</v>
      </c>
      <c r="I1293">
        <v>1362.9945068</v>
      </c>
      <c r="J1293">
        <v>1339.8111572</v>
      </c>
      <c r="K1293">
        <v>80</v>
      </c>
      <c r="L1293">
        <v>79.938362122000001</v>
      </c>
      <c r="M1293">
        <v>50</v>
      </c>
      <c r="N1293">
        <v>39.899795531999999</v>
      </c>
    </row>
    <row r="1294" spans="1:14" x14ac:dyDescent="0.25">
      <c r="A1294">
        <v>915.00328000000002</v>
      </c>
      <c r="B1294" s="1">
        <f>DATE(2012,11,1) + TIME(0,4,43)</f>
        <v>41214.003275462965</v>
      </c>
      <c r="C1294">
        <v>0</v>
      </c>
      <c r="D1294">
        <v>2400</v>
      </c>
      <c r="E1294">
        <v>2400</v>
      </c>
      <c r="F1294">
        <v>0</v>
      </c>
      <c r="G1294">
        <v>1321.9766846</v>
      </c>
      <c r="H1294">
        <v>1309.8878173999999</v>
      </c>
      <c r="I1294">
        <v>1377.1518555</v>
      </c>
      <c r="J1294">
        <v>1353.9200439000001</v>
      </c>
      <c r="K1294">
        <v>80</v>
      </c>
      <c r="L1294">
        <v>79.936691284000005</v>
      </c>
      <c r="M1294">
        <v>50</v>
      </c>
      <c r="N1294">
        <v>39.927959442000002</v>
      </c>
    </row>
    <row r="1295" spans="1:14" x14ac:dyDescent="0.25">
      <c r="A1295">
        <v>915.00984100000005</v>
      </c>
      <c r="B1295" s="1">
        <f>DATE(2012,11,1) + TIME(0,14,10)</f>
        <v>41214.009837962964</v>
      </c>
      <c r="C1295">
        <v>0</v>
      </c>
      <c r="D1295">
        <v>2400</v>
      </c>
      <c r="E1295">
        <v>2400</v>
      </c>
      <c r="F1295">
        <v>0</v>
      </c>
      <c r="G1295">
        <v>1314.0069579999999</v>
      </c>
      <c r="H1295">
        <v>1301.7803954999999</v>
      </c>
      <c r="I1295">
        <v>1390.4213867000001</v>
      </c>
      <c r="J1295">
        <v>1367.0869141000001</v>
      </c>
      <c r="K1295">
        <v>80</v>
      </c>
      <c r="L1295">
        <v>79.933822632000002</v>
      </c>
      <c r="M1295">
        <v>50</v>
      </c>
      <c r="N1295">
        <v>40.008781433000003</v>
      </c>
    </row>
    <row r="1296" spans="1:14" x14ac:dyDescent="0.25">
      <c r="A1296">
        <v>915.02952400000004</v>
      </c>
      <c r="B1296" s="1">
        <f>DATE(2012,11,1) + TIME(0,42,30)</f>
        <v>41214.029513888891</v>
      </c>
      <c r="C1296">
        <v>0</v>
      </c>
      <c r="D1296">
        <v>2400</v>
      </c>
      <c r="E1296">
        <v>2400</v>
      </c>
      <c r="F1296">
        <v>0</v>
      </c>
      <c r="G1296">
        <v>1307.2746582</v>
      </c>
      <c r="H1296">
        <v>1294.9759521000001</v>
      </c>
      <c r="I1296">
        <v>1399.9434814000001</v>
      </c>
      <c r="J1296">
        <v>1376.5749512</v>
      </c>
      <c r="K1296">
        <v>80</v>
      </c>
      <c r="L1296">
        <v>79.927719116000006</v>
      </c>
      <c r="M1296">
        <v>50</v>
      </c>
      <c r="N1296">
        <v>40.243442535</v>
      </c>
    </row>
    <row r="1297" spans="1:14" x14ac:dyDescent="0.25">
      <c r="A1297">
        <v>915.08046999999999</v>
      </c>
      <c r="B1297" s="1">
        <f>DATE(2012,11,1) + TIME(1,55,52)</f>
        <v>41214.080462962964</v>
      </c>
      <c r="C1297">
        <v>0</v>
      </c>
      <c r="D1297">
        <v>2400</v>
      </c>
      <c r="E1297">
        <v>2400</v>
      </c>
      <c r="F1297">
        <v>0</v>
      </c>
      <c r="G1297">
        <v>1303.8319091999999</v>
      </c>
      <c r="H1297">
        <v>1291.5117187999999</v>
      </c>
      <c r="I1297">
        <v>1403.5922852000001</v>
      </c>
      <c r="J1297">
        <v>1380.3967285000001</v>
      </c>
      <c r="K1297">
        <v>80</v>
      </c>
      <c r="L1297">
        <v>79.914421082000004</v>
      </c>
      <c r="M1297">
        <v>50</v>
      </c>
      <c r="N1297">
        <v>40.814666748</v>
      </c>
    </row>
    <row r="1298" spans="1:14" x14ac:dyDescent="0.25">
      <c r="A1298">
        <v>915.13398700000005</v>
      </c>
      <c r="B1298" s="1">
        <f>DATE(2012,11,1) + TIME(3,12,56)</f>
        <v>41214.133981481478</v>
      </c>
      <c r="C1298">
        <v>0</v>
      </c>
      <c r="D1298">
        <v>2400</v>
      </c>
      <c r="E1298">
        <v>2400</v>
      </c>
      <c r="F1298">
        <v>0</v>
      </c>
      <c r="G1298">
        <v>1302.9906006000001</v>
      </c>
      <c r="H1298">
        <v>1290.6660156</v>
      </c>
      <c r="I1298">
        <v>1403.9699707</v>
      </c>
      <c r="J1298">
        <v>1380.9780272999999</v>
      </c>
      <c r="K1298">
        <v>80</v>
      </c>
      <c r="L1298">
        <v>79.901092528999996</v>
      </c>
      <c r="M1298">
        <v>50</v>
      </c>
      <c r="N1298">
        <v>41.378437042000002</v>
      </c>
    </row>
    <row r="1299" spans="1:14" x14ac:dyDescent="0.25">
      <c r="A1299">
        <v>915.19007399999998</v>
      </c>
      <c r="B1299" s="1">
        <f>DATE(2012,11,1) + TIME(4,33,42)</f>
        <v>41214.190069444441</v>
      </c>
      <c r="C1299">
        <v>0</v>
      </c>
      <c r="D1299">
        <v>2400</v>
      </c>
      <c r="E1299">
        <v>2400</v>
      </c>
      <c r="F1299">
        <v>0</v>
      </c>
      <c r="G1299">
        <v>1302.7639160000001</v>
      </c>
      <c r="H1299">
        <v>1290.4378661999999</v>
      </c>
      <c r="I1299">
        <v>1403.7402344</v>
      </c>
      <c r="J1299">
        <v>1380.9534911999999</v>
      </c>
      <c r="K1299">
        <v>80</v>
      </c>
      <c r="L1299">
        <v>79.887474060000002</v>
      </c>
      <c r="M1299">
        <v>50</v>
      </c>
      <c r="N1299">
        <v>41.931915283000002</v>
      </c>
    </row>
    <row r="1300" spans="1:14" x14ac:dyDescent="0.25">
      <c r="A1300">
        <v>915.24896000000001</v>
      </c>
      <c r="B1300" s="1">
        <f>DATE(2012,11,1) + TIME(5,58,30)</f>
        <v>41214.24895833333</v>
      </c>
      <c r="C1300">
        <v>0</v>
      </c>
      <c r="D1300">
        <v>2400</v>
      </c>
      <c r="E1300">
        <v>2400</v>
      </c>
      <c r="F1300">
        <v>0</v>
      </c>
      <c r="G1300">
        <v>1302.6962891000001</v>
      </c>
      <c r="H1300">
        <v>1290.3693848</v>
      </c>
      <c r="I1300">
        <v>1403.4134521000001</v>
      </c>
      <c r="J1300">
        <v>1380.8265381000001</v>
      </c>
      <c r="K1300">
        <v>80</v>
      </c>
      <c r="L1300">
        <v>79.873481749999996</v>
      </c>
      <c r="M1300">
        <v>50</v>
      </c>
      <c r="N1300">
        <v>42.474472046000002</v>
      </c>
    </row>
    <row r="1301" spans="1:14" x14ac:dyDescent="0.25">
      <c r="A1301">
        <v>915.31096200000002</v>
      </c>
      <c r="B1301" s="1">
        <f>DATE(2012,11,1) + TIME(7,27,47)</f>
        <v>41214.310960648145</v>
      </c>
      <c r="C1301">
        <v>0</v>
      </c>
      <c r="D1301">
        <v>2400</v>
      </c>
      <c r="E1301">
        <v>2400</v>
      </c>
      <c r="F1301">
        <v>0</v>
      </c>
      <c r="G1301">
        <v>1302.6733397999999</v>
      </c>
      <c r="H1301">
        <v>1290.3455810999999</v>
      </c>
      <c r="I1301">
        <v>1403.0844727000001</v>
      </c>
      <c r="J1301">
        <v>1380.6903076000001</v>
      </c>
      <c r="K1301">
        <v>80</v>
      </c>
      <c r="L1301">
        <v>79.859046935999999</v>
      </c>
      <c r="M1301">
        <v>50</v>
      </c>
      <c r="N1301">
        <v>43.005878447999997</v>
      </c>
    </row>
    <row r="1302" spans="1:14" x14ac:dyDescent="0.25">
      <c r="A1302">
        <v>915.37646199999995</v>
      </c>
      <c r="B1302" s="1">
        <f>DATE(2012,11,1) + TIME(9,2,6)</f>
        <v>41214.376458333332</v>
      </c>
      <c r="C1302">
        <v>0</v>
      </c>
      <c r="D1302">
        <v>2400</v>
      </c>
      <c r="E1302">
        <v>2400</v>
      </c>
      <c r="F1302">
        <v>0</v>
      </c>
      <c r="G1302">
        <v>1302.6638184000001</v>
      </c>
      <c r="H1302">
        <v>1290.3354492000001</v>
      </c>
      <c r="I1302">
        <v>1402.7669678</v>
      </c>
      <c r="J1302">
        <v>1380.5583495999999</v>
      </c>
      <c r="K1302">
        <v>80</v>
      </c>
      <c r="L1302">
        <v>79.844116210999999</v>
      </c>
      <c r="M1302">
        <v>50</v>
      </c>
      <c r="N1302">
        <v>43.525936127000001</v>
      </c>
    </row>
    <row r="1303" spans="1:14" x14ac:dyDescent="0.25">
      <c r="A1303">
        <v>915.44591800000001</v>
      </c>
      <c r="B1303" s="1">
        <f>DATE(2012,11,1) + TIME(10,42,7)</f>
        <v>41214.445914351854</v>
      </c>
      <c r="C1303">
        <v>0</v>
      </c>
      <c r="D1303">
        <v>2400</v>
      </c>
      <c r="E1303">
        <v>2400</v>
      </c>
      <c r="F1303">
        <v>0</v>
      </c>
      <c r="G1303">
        <v>1302.6585693</v>
      </c>
      <c r="H1303">
        <v>1290.3294678</v>
      </c>
      <c r="I1303">
        <v>1402.4606934000001</v>
      </c>
      <c r="J1303">
        <v>1380.4309082</v>
      </c>
      <c r="K1303">
        <v>80</v>
      </c>
      <c r="L1303">
        <v>79.828605651999993</v>
      </c>
      <c r="M1303">
        <v>50</v>
      </c>
      <c r="N1303">
        <v>44.034416198999999</v>
      </c>
    </row>
    <row r="1304" spans="1:14" x14ac:dyDescent="0.25">
      <c r="A1304">
        <v>915.51987799999995</v>
      </c>
      <c r="B1304" s="1">
        <f>DATE(2012,11,1) + TIME(12,28,37)</f>
        <v>41214.519872685189</v>
      </c>
      <c r="C1304">
        <v>0</v>
      </c>
      <c r="D1304">
        <v>2400</v>
      </c>
      <c r="E1304">
        <v>2400</v>
      </c>
      <c r="F1304">
        <v>0</v>
      </c>
      <c r="G1304">
        <v>1302.6546631000001</v>
      </c>
      <c r="H1304">
        <v>1290.324707</v>
      </c>
      <c r="I1304">
        <v>1402.1643065999999</v>
      </c>
      <c r="J1304">
        <v>1380.3065185999999</v>
      </c>
      <c r="K1304">
        <v>80</v>
      </c>
      <c r="L1304">
        <v>79.812438964999998</v>
      </c>
      <c r="M1304">
        <v>50</v>
      </c>
      <c r="N1304">
        <v>44.531040191999999</v>
      </c>
    </row>
    <row r="1305" spans="1:14" x14ac:dyDescent="0.25">
      <c r="A1305">
        <v>915.59900600000003</v>
      </c>
      <c r="B1305" s="1">
        <f>DATE(2012,11,1) + TIME(14,22,34)</f>
        <v>41214.599004629628</v>
      </c>
      <c r="C1305">
        <v>0</v>
      </c>
      <c r="D1305">
        <v>2400</v>
      </c>
      <c r="E1305">
        <v>2400</v>
      </c>
      <c r="F1305">
        <v>0</v>
      </c>
      <c r="G1305">
        <v>1302.651001</v>
      </c>
      <c r="H1305">
        <v>1290.3203125</v>
      </c>
      <c r="I1305">
        <v>1401.8767089999999</v>
      </c>
      <c r="J1305">
        <v>1380.1844481999999</v>
      </c>
      <c r="K1305">
        <v>80</v>
      </c>
      <c r="L1305">
        <v>79.795524596999996</v>
      </c>
      <c r="M1305">
        <v>50</v>
      </c>
      <c r="N1305">
        <v>45.015453338999997</v>
      </c>
    </row>
    <row r="1306" spans="1:14" x14ac:dyDescent="0.25">
      <c r="A1306">
        <v>915.68411900000001</v>
      </c>
      <c r="B1306" s="1">
        <f>DATE(2012,11,1) + TIME(16,25,7)</f>
        <v>41214.684108796297</v>
      </c>
      <c r="C1306">
        <v>0</v>
      </c>
      <c r="D1306">
        <v>2400</v>
      </c>
      <c r="E1306">
        <v>2400</v>
      </c>
      <c r="F1306">
        <v>0</v>
      </c>
      <c r="G1306">
        <v>1302.6473389</v>
      </c>
      <c r="H1306">
        <v>1290.3157959</v>
      </c>
      <c r="I1306">
        <v>1401.597168</v>
      </c>
      <c r="J1306">
        <v>1380.0639647999999</v>
      </c>
      <c r="K1306">
        <v>80</v>
      </c>
      <c r="L1306">
        <v>79.777725219999994</v>
      </c>
      <c r="M1306">
        <v>50</v>
      </c>
      <c r="N1306">
        <v>45.487236023000001</v>
      </c>
    </row>
    <row r="1307" spans="1:14" x14ac:dyDescent="0.25">
      <c r="A1307">
        <v>915.77623500000004</v>
      </c>
      <c r="B1307" s="1">
        <f>DATE(2012,11,1) + TIME(18,37,46)</f>
        <v>41214.776226851849</v>
      </c>
      <c r="C1307">
        <v>0</v>
      </c>
      <c r="D1307">
        <v>2400</v>
      </c>
      <c r="E1307">
        <v>2400</v>
      </c>
      <c r="F1307">
        <v>0</v>
      </c>
      <c r="G1307">
        <v>1302.6433105000001</v>
      </c>
      <c r="H1307">
        <v>1290.3110352000001</v>
      </c>
      <c r="I1307">
        <v>1401.3250731999999</v>
      </c>
      <c r="J1307">
        <v>1379.9447021000001</v>
      </c>
      <c r="K1307">
        <v>80</v>
      </c>
      <c r="L1307">
        <v>79.758903502999999</v>
      </c>
      <c r="M1307">
        <v>50</v>
      </c>
      <c r="N1307">
        <v>45.945854187000002</v>
      </c>
    </row>
    <row r="1308" spans="1:14" x14ac:dyDescent="0.25">
      <c r="A1308">
        <v>915.87663599999996</v>
      </c>
      <c r="B1308" s="1">
        <f>DATE(2012,11,1) + TIME(21,2,21)</f>
        <v>41214.876631944448</v>
      </c>
      <c r="C1308">
        <v>0</v>
      </c>
      <c r="D1308">
        <v>2400</v>
      </c>
      <c r="E1308">
        <v>2400</v>
      </c>
      <c r="F1308">
        <v>0</v>
      </c>
      <c r="G1308">
        <v>1302.6391602000001</v>
      </c>
      <c r="H1308">
        <v>1290.3057861</v>
      </c>
      <c r="I1308">
        <v>1401.0599365</v>
      </c>
      <c r="J1308">
        <v>1379.8262939000001</v>
      </c>
      <c r="K1308">
        <v>80</v>
      </c>
      <c r="L1308">
        <v>79.738876343000001</v>
      </c>
      <c r="M1308">
        <v>50</v>
      </c>
      <c r="N1308">
        <v>46.390640259000001</v>
      </c>
    </row>
    <row r="1309" spans="1:14" x14ac:dyDescent="0.25">
      <c r="A1309">
        <v>915.98697100000004</v>
      </c>
      <c r="B1309" s="1">
        <f>DATE(2012,11,1) + TIME(23,41,14)</f>
        <v>41214.986967592595</v>
      </c>
      <c r="C1309">
        <v>0</v>
      </c>
      <c r="D1309">
        <v>2400</v>
      </c>
      <c r="E1309">
        <v>2400</v>
      </c>
      <c r="F1309">
        <v>0</v>
      </c>
      <c r="G1309">
        <v>1302.6345214999999</v>
      </c>
      <c r="H1309">
        <v>1290.3001709</v>
      </c>
      <c r="I1309">
        <v>1400.8013916</v>
      </c>
      <c r="J1309">
        <v>1379.7080077999999</v>
      </c>
      <c r="K1309">
        <v>80</v>
      </c>
      <c r="L1309">
        <v>79.717414856000005</v>
      </c>
      <c r="M1309">
        <v>50</v>
      </c>
      <c r="N1309">
        <v>46.820766448999997</v>
      </c>
    </row>
    <row r="1310" spans="1:14" x14ac:dyDescent="0.25">
      <c r="A1310">
        <v>916.10944800000004</v>
      </c>
      <c r="B1310" s="1">
        <f>DATE(2012,11,2) + TIME(2,37,36)</f>
        <v>41215.109444444446</v>
      </c>
      <c r="C1310">
        <v>0</v>
      </c>
      <c r="D1310">
        <v>2400</v>
      </c>
      <c r="E1310">
        <v>2400</v>
      </c>
      <c r="F1310">
        <v>0</v>
      </c>
      <c r="G1310">
        <v>1302.6293945</v>
      </c>
      <c r="H1310">
        <v>1290.2940673999999</v>
      </c>
      <c r="I1310">
        <v>1400.5488281</v>
      </c>
      <c r="J1310">
        <v>1379.5894774999999</v>
      </c>
      <c r="K1310">
        <v>80</v>
      </c>
      <c r="L1310">
        <v>79.694206238000007</v>
      </c>
      <c r="M1310">
        <v>50</v>
      </c>
      <c r="N1310">
        <v>47.23531723</v>
      </c>
    </row>
    <row r="1311" spans="1:14" x14ac:dyDescent="0.25">
      <c r="A1311">
        <v>916.24703</v>
      </c>
      <c r="B1311" s="1">
        <f>DATE(2012,11,2) + TIME(5,55,43)</f>
        <v>41215.247025462966</v>
      </c>
      <c r="C1311">
        <v>0</v>
      </c>
      <c r="D1311">
        <v>2400</v>
      </c>
      <c r="E1311">
        <v>2400</v>
      </c>
      <c r="F1311">
        <v>0</v>
      </c>
      <c r="G1311">
        <v>1302.6237793</v>
      </c>
      <c r="H1311">
        <v>1290.2872314000001</v>
      </c>
      <c r="I1311">
        <v>1400.3017577999999</v>
      </c>
      <c r="J1311">
        <v>1379.4702147999999</v>
      </c>
      <c r="K1311">
        <v>80</v>
      </c>
      <c r="L1311">
        <v>79.668861389</v>
      </c>
      <c r="M1311">
        <v>50</v>
      </c>
      <c r="N1311">
        <v>47.633064269999998</v>
      </c>
    </row>
    <row r="1312" spans="1:14" x14ac:dyDescent="0.25">
      <c r="A1312">
        <v>916.40385600000002</v>
      </c>
      <c r="B1312" s="1">
        <f>DATE(2012,11,2) + TIME(9,41,33)</f>
        <v>41215.403854166667</v>
      </c>
      <c r="C1312">
        <v>0</v>
      </c>
      <c r="D1312">
        <v>2400</v>
      </c>
      <c r="E1312">
        <v>2400</v>
      </c>
      <c r="F1312">
        <v>0</v>
      </c>
      <c r="G1312">
        <v>1302.6174315999999</v>
      </c>
      <c r="H1312">
        <v>1290.2796631000001</v>
      </c>
      <c r="I1312">
        <v>1400.0595702999999</v>
      </c>
      <c r="J1312">
        <v>1379.3492432</v>
      </c>
      <c r="K1312">
        <v>80</v>
      </c>
      <c r="L1312">
        <v>79.640838622999993</v>
      </c>
      <c r="M1312">
        <v>50</v>
      </c>
      <c r="N1312">
        <v>48.012462616000001</v>
      </c>
    </row>
    <row r="1313" spans="1:14" x14ac:dyDescent="0.25">
      <c r="A1313">
        <v>916.585916</v>
      </c>
      <c r="B1313" s="1">
        <f>DATE(2012,11,2) + TIME(14,3,43)</f>
        <v>41215.585914351854</v>
      </c>
      <c r="C1313">
        <v>0</v>
      </c>
      <c r="D1313">
        <v>2400</v>
      </c>
      <c r="E1313">
        <v>2400</v>
      </c>
      <c r="F1313">
        <v>0</v>
      </c>
      <c r="G1313">
        <v>1302.6102295000001</v>
      </c>
      <c r="H1313">
        <v>1290.2711182</v>
      </c>
      <c r="I1313">
        <v>1399.8215332</v>
      </c>
      <c r="J1313">
        <v>1379.2258300999999</v>
      </c>
      <c r="K1313">
        <v>80</v>
      </c>
      <c r="L1313">
        <v>79.609382628999995</v>
      </c>
      <c r="M1313">
        <v>50</v>
      </c>
      <c r="N1313">
        <v>48.371501922999997</v>
      </c>
    </row>
    <row r="1314" spans="1:14" x14ac:dyDescent="0.25">
      <c r="A1314">
        <v>916.79448300000001</v>
      </c>
      <c r="B1314" s="1">
        <f>DATE(2012,11,2) + TIME(19,4,3)</f>
        <v>41215.794479166667</v>
      </c>
      <c r="C1314">
        <v>0</v>
      </c>
      <c r="D1314">
        <v>2400</v>
      </c>
      <c r="E1314">
        <v>2400</v>
      </c>
      <c r="F1314">
        <v>0</v>
      </c>
      <c r="G1314">
        <v>1302.6019286999999</v>
      </c>
      <c r="H1314">
        <v>1290.2612305</v>
      </c>
      <c r="I1314">
        <v>1399.5927733999999</v>
      </c>
      <c r="J1314">
        <v>1379.1010742000001</v>
      </c>
      <c r="K1314">
        <v>80</v>
      </c>
      <c r="L1314">
        <v>79.574432372999993</v>
      </c>
      <c r="M1314">
        <v>50</v>
      </c>
      <c r="N1314">
        <v>48.697948455999999</v>
      </c>
    </row>
    <row r="1315" spans="1:14" x14ac:dyDescent="0.25">
      <c r="A1315">
        <v>917.00348599999995</v>
      </c>
      <c r="B1315" s="1">
        <f>DATE(2012,11,3) + TIME(0,5,1)</f>
        <v>41216.003483796296</v>
      </c>
      <c r="C1315">
        <v>0</v>
      </c>
      <c r="D1315">
        <v>2400</v>
      </c>
      <c r="E1315">
        <v>2400</v>
      </c>
      <c r="F1315">
        <v>0</v>
      </c>
      <c r="G1315">
        <v>1302.5922852000001</v>
      </c>
      <c r="H1315">
        <v>1290.2502440999999</v>
      </c>
      <c r="I1315">
        <v>1399.3931885</v>
      </c>
      <c r="J1315">
        <v>1378.9838867000001</v>
      </c>
      <c r="K1315">
        <v>80</v>
      </c>
      <c r="L1315">
        <v>79.539459229000002</v>
      </c>
      <c r="M1315">
        <v>50</v>
      </c>
      <c r="N1315">
        <v>48.957450866999999</v>
      </c>
    </row>
    <row r="1316" spans="1:14" x14ac:dyDescent="0.25">
      <c r="A1316">
        <v>917.21764900000005</v>
      </c>
      <c r="B1316" s="1">
        <f>DATE(2012,11,3) + TIME(5,13,24)</f>
        <v>41216.217638888891</v>
      </c>
      <c r="C1316">
        <v>0</v>
      </c>
      <c r="D1316">
        <v>2400</v>
      </c>
      <c r="E1316">
        <v>2400</v>
      </c>
      <c r="F1316">
        <v>0</v>
      </c>
      <c r="G1316">
        <v>1302.5826416</v>
      </c>
      <c r="H1316">
        <v>1290.2391356999999</v>
      </c>
      <c r="I1316">
        <v>1399.2186279</v>
      </c>
      <c r="J1316">
        <v>1378.8769531</v>
      </c>
      <c r="K1316">
        <v>80</v>
      </c>
      <c r="L1316">
        <v>79.503883361999996</v>
      </c>
      <c r="M1316">
        <v>50</v>
      </c>
      <c r="N1316">
        <v>49.167301178000002</v>
      </c>
    </row>
    <row r="1317" spans="1:14" x14ac:dyDescent="0.25">
      <c r="A1317">
        <v>917.43899599999997</v>
      </c>
      <c r="B1317" s="1">
        <f>DATE(2012,11,3) + TIME(10,32,9)</f>
        <v>41216.438993055555</v>
      </c>
      <c r="C1317">
        <v>0</v>
      </c>
      <c r="D1317">
        <v>2400</v>
      </c>
      <c r="E1317">
        <v>2400</v>
      </c>
      <c r="F1317">
        <v>0</v>
      </c>
      <c r="G1317">
        <v>1302.5727539</v>
      </c>
      <c r="H1317">
        <v>1290.2277832</v>
      </c>
      <c r="I1317">
        <v>1399.0633545000001</v>
      </c>
      <c r="J1317">
        <v>1378.7774658000001</v>
      </c>
      <c r="K1317">
        <v>80</v>
      </c>
      <c r="L1317">
        <v>79.467453003000003</v>
      </c>
      <c r="M1317">
        <v>50</v>
      </c>
      <c r="N1317">
        <v>49.337276459000002</v>
      </c>
    </row>
    <row r="1318" spans="1:14" x14ac:dyDescent="0.25">
      <c r="A1318">
        <v>917.66983900000002</v>
      </c>
      <c r="B1318" s="1">
        <f>DATE(2012,11,3) + TIME(16,4,34)</f>
        <v>41216.66983796296</v>
      </c>
      <c r="C1318">
        <v>0</v>
      </c>
      <c r="D1318">
        <v>2400</v>
      </c>
      <c r="E1318">
        <v>2400</v>
      </c>
      <c r="F1318">
        <v>0</v>
      </c>
      <c r="G1318">
        <v>1302.5626221</v>
      </c>
      <c r="H1318">
        <v>1290.2161865</v>
      </c>
      <c r="I1318">
        <v>1398.9234618999999</v>
      </c>
      <c r="J1318">
        <v>1378.6838379000001</v>
      </c>
      <c r="K1318">
        <v>80</v>
      </c>
      <c r="L1318">
        <v>79.429901122999993</v>
      </c>
      <c r="M1318">
        <v>50</v>
      </c>
      <c r="N1318">
        <v>49.474948883000003</v>
      </c>
    </row>
    <row r="1319" spans="1:14" x14ac:dyDescent="0.25">
      <c r="A1319">
        <v>917.91269399999999</v>
      </c>
      <c r="B1319" s="1">
        <f>DATE(2012,11,3) + TIME(21,54,16)</f>
        <v>41216.912685185183</v>
      </c>
      <c r="C1319">
        <v>0</v>
      </c>
      <c r="D1319">
        <v>2400</v>
      </c>
      <c r="E1319">
        <v>2400</v>
      </c>
      <c r="F1319">
        <v>0</v>
      </c>
      <c r="G1319">
        <v>1302.552124</v>
      </c>
      <c r="H1319">
        <v>1290.2039795000001</v>
      </c>
      <c r="I1319">
        <v>1398.7957764</v>
      </c>
      <c r="J1319">
        <v>1378.5947266000001</v>
      </c>
      <c r="K1319">
        <v>80</v>
      </c>
      <c r="L1319">
        <v>79.390892029</v>
      </c>
      <c r="M1319">
        <v>50</v>
      </c>
      <c r="N1319">
        <v>49.586174010999997</v>
      </c>
    </row>
    <row r="1320" spans="1:14" x14ac:dyDescent="0.25">
      <c r="A1320">
        <v>918.17046100000005</v>
      </c>
      <c r="B1320" s="1">
        <f>DATE(2012,11,4) + TIME(4,5,27)</f>
        <v>41217.170451388891</v>
      </c>
      <c r="C1320">
        <v>0</v>
      </c>
      <c r="D1320">
        <v>2400</v>
      </c>
      <c r="E1320">
        <v>2400</v>
      </c>
      <c r="F1320">
        <v>0</v>
      </c>
      <c r="G1320">
        <v>1302.5411377</v>
      </c>
      <c r="H1320">
        <v>1290.1912841999999</v>
      </c>
      <c r="I1320">
        <v>1398.6776123</v>
      </c>
      <c r="J1320">
        <v>1378.5089111</v>
      </c>
      <c r="K1320">
        <v>80</v>
      </c>
      <c r="L1320">
        <v>79.350097656000003</v>
      </c>
      <c r="M1320">
        <v>50</v>
      </c>
      <c r="N1320">
        <v>49.675601958999998</v>
      </c>
    </row>
    <row r="1321" spans="1:14" x14ac:dyDescent="0.25">
      <c r="A1321">
        <v>918.44658100000004</v>
      </c>
      <c r="B1321" s="1">
        <f>DATE(2012,11,4) + TIME(10,43,4)</f>
        <v>41217.446574074071</v>
      </c>
      <c r="C1321">
        <v>0</v>
      </c>
      <c r="D1321">
        <v>2400</v>
      </c>
      <c r="E1321">
        <v>2400</v>
      </c>
      <c r="F1321">
        <v>0</v>
      </c>
      <c r="G1321">
        <v>1302.5295410000001</v>
      </c>
      <c r="H1321">
        <v>1290.1778564000001</v>
      </c>
      <c r="I1321">
        <v>1398.5670166</v>
      </c>
      <c r="J1321">
        <v>1378.4255370999999</v>
      </c>
      <c r="K1321">
        <v>80</v>
      </c>
      <c r="L1321">
        <v>79.307083129999995</v>
      </c>
      <c r="M1321">
        <v>50</v>
      </c>
      <c r="N1321">
        <v>49.746994018999999</v>
      </c>
    </row>
    <row r="1322" spans="1:14" x14ac:dyDescent="0.25">
      <c r="A1322">
        <v>918.74538199999995</v>
      </c>
      <c r="B1322" s="1">
        <f>DATE(2012,11,4) + TIME(17,53,21)</f>
        <v>41217.745381944442</v>
      </c>
      <c r="C1322">
        <v>0</v>
      </c>
      <c r="D1322">
        <v>2400</v>
      </c>
      <c r="E1322">
        <v>2400</v>
      </c>
      <c r="F1322">
        <v>0</v>
      </c>
      <c r="G1322">
        <v>1302.5172118999999</v>
      </c>
      <c r="H1322">
        <v>1290.1635742000001</v>
      </c>
      <c r="I1322">
        <v>1398.4619141000001</v>
      </c>
      <c r="J1322">
        <v>1378.3436279</v>
      </c>
      <c r="K1322">
        <v>80</v>
      </c>
      <c r="L1322">
        <v>79.261352539000001</v>
      </c>
      <c r="M1322">
        <v>50</v>
      </c>
      <c r="N1322">
        <v>49.803440094000003</v>
      </c>
    </row>
    <row r="1323" spans="1:14" x14ac:dyDescent="0.25">
      <c r="A1323">
        <v>919.068308</v>
      </c>
      <c r="B1323" s="1">
        <f>DATE(2012,11,5) + TIME(1,38,21)</f>
        <v>41218.068298611113</v>
      </c>
      <c r="C1323">
        <v>0</v>
      </c>
      <c r="D1323">
        <v>2400</v>
      </c>
      <c r="E1323">
        <v>2400</v>
      </c>
      <c r="F1323">
        <v>0</v>
      </c>
      <c r="G1323">
        <v>1302.5037841999999</v>
      </c>
      <c r="H1323">
        <v>1290.1480713000001</v>
      </c>
      <c r="I1323">
        <v>1398.3609618999999</v>
      </c>
      <c r="J1323">
        <v>1378.262207</v>
      </c>
      <c r="K1323">
        <v>80</v>
      </c>
      <c r="L1323">
        <v>79.212715149000005</v>
      </c>
      <c r="M1323">
        <v>50</v>
      </c>
      <c r="N1323">
        <v>49.847126007</v>
      </c>
    </row>
    <row r="1324" spans="1:14" x14ac:dyDescent="0.25">
      <c r="A1324">
        <v>919.417913</v>
      </c>
      <c r="B1324" s="1">
        <f>DATE(2012,11,5) + TIME(10,1,47)</f>
        <v>41218.417905092596</v>
      </c>
      <c r="C1324">
        <v>0</v>
      </c>
      <c r="D1324">
        <v>2400</v>
      </c>
      <c r="E1324">
        <v>2400</v>
      </c>
      <c r="F1324">
        <v>0</v>
      </c>
      <c r="G1324">
        <v>1302.4893798999999</v>
      </c>
      <c r="H1324">
        <v>1290.1314697</v>
      </c>
      <c r="I1324">
        <v>1398.2633057</v>
      </c>
      <c r="J1324">
        <v>1378.1812743999999</v>
      </c>
      <c r="K1324">
        <v>80</v>
      </c>
      <c r="L1324">
        <v>79.160865783999995</v>
      </c>
      <c r="M1324">
        <v>50</v>
      </c>
      <c r="N1324">
        <v>49.880283356</v>
      </c>
    </row>
    <row r="1325" spans="1:14" x14ac:dyDescent="0.25">
      <c r="A1325">
        <v>919.80064700000003</v>
      </c>
      <c r="B1325" s="1">
        <f>DATE(2012,11,5) + TIME(19,12,55)</f>
        <v>41218.800636574073</v>
      </c>
      <c r="C1325">
        <v>0</v>
      </c>
      <c r="D1325">
        <v>2400</v>
      </c>
      <c r="E1325">
        <v>2400</v>
      </c>
      <c r="F1325">
        <v>0</v>
      </c>
      <c r="G1325">
        <v>1302.4738769999999</v>
      </c>
      <c r="H1325">
        <v>1290.1134033000001</v>
      </c>
      <c r="I1325">
        <v>1398.1678466999999</v>
      </c>
      <c r="J1325">
        <v>1378.1004639</v>
      </c>
      <c r="K1325">
        <v>80</v>
      </c>
      <c r="L1325">
        <v>79.105117797999995</v>
      </c>
      <c r="M1325">
        <v>50</v>
      </c>
      <c r="N1325">
        <v>49.905101776000002</v>
      </c>
    </row>
    <row r="1326" spans="1:14" x14ac:dyDescent="0.25">
      <c r="A1326">
        <v>920.22463100000004</v>
      </c>
      <c r="B1326" s="1">
        <f>DATE(2012,11,6) + TIME(5,23,28)</f>
        <v>41219.224629629629</v>
      </c>
      <c r="C1326">
        <v>0</v>
      </c>
      <c r="D1326">
        <v>2400</v>
      </c>
      <c r="E1326">
        <v>2400</v>
      </c>
      <c r="F1326">
        <v>0</v>
      </c>
      <c r="G1326">
        <v>1302.4569091999999</v>
      </c>
      <c r="H1326">
        <v>1290.0938721</v>
      </c>
      <c r="I1326">
        <v>1398.0732422000001</v>
      </c>
      <c r="J1326">
        <v>1378.0189209</v>
      </c>
      <c r="K1326">
        <v>80</v>
      </c>
      <c r="L1326">
        <v>79.044616699000002</v>
      </c>
      <c r="M1326">
        <v>50</v>
      </c>
      <c r="N1326">
        <v>49.923351287999999</v>
      </c>
    </row>
    <row r="1327" spans="1:14" x14ac:dyDescent="0.25">
      <c r="A1327">
        <v>920.66363899999999</v>
      </c>
      <c r="B1327" s="1">
        <f>DATE(2012,11,6) + TIME(15,55,38)</f>
        <v>41219.663634259261</v>
      </c>
      <c r="C1327">
        <v>0</v>
      </c>
      <c r="D1327">
        <v>2400</v>
      </c>
      <c r="E1327">
        <v>2400</v>
      </c>
      <c r="F1327">
        <v>0</v>
      </c>
      <c r="G1327">
        <v>1302.4379882999999</v>
      </c>
      <c r="H1327">
        <v>1290.0722656</v>
      </c>
      <c r="I1327">
        <v>1397.9783935999999</v>
      </c>
      <c r="J1327">
        <v>1377.9357910000001</v>
      </c>
      <c r="K1327">
        <v>80</v>
      </c>
      <c r="L1327">
        <v>78.981651306000003</v>
      </c>
      <c r="M1327">
        <v>50</v>
      </c>
      <c r="N1327">
        <v>49.935806274000001</v>
      </c>
    </row>
    <row r="1328" spans="1:14" x14ac:dyDescent="0.25">
      <c r="A1328">
        <v>921.11335299999996</v>
      </c>
      <c r="B1328" s="1">
        <f>DATE(2012,11,7) + TIME(2,43,13)</f>
        <v>41220.113344907404</v>
      </c>
      <c r="C1328">
        <v>0</v>
      </c>
      <c r="D1328">
        <v>2400</v>
      </c>
      <c r="E1328">
        <v>2400</v>
      </c>
      <c r="F1328">
        <v>0</v>
      </c>
      <c r="G1328">
        <v>1302.4183350000001</v>
      </c>
      <c r="H1328">
        <v>1290.0499268000001</v>
      </c>
      <c r="I1328">
        <v>1397.8884277</v>
      </c>
      <c r="J1328">
        <v>1377.8562012</v>
      </c>
      <c r="K1328">
        <v>80</v>
      </c>
      <c r="L1328">
        <v>78.916931152000004</v>
      </c>
      <c r="M1328">
        <v>50</v>
      </c>
      <c r="N1328">
        <v>49.944202423</v>
      </c>
    </row>
    <row r="1329" spans="1:14" x14ac:dyDescent="0.25">
      <c r="A1329">
        <v>921.58016299999997</v>
      </c>
      <c r="B1329" s="1">
        <f>DATE(2012,11,7) + TIME(13,55,26)</f>
        <v>41220.58016203704</v>
      </c>
      <c r="C1329">
        <v>0</v>
      </c>
      <c r="D1329">
        <v>2400</v>
      </c>
      <c r="E1329">
        <v>2400</v>
      </c>
      <c r="F1329">
        <v>0</v>
      </c>
      <c r="G1329">
        <v>1302.3983154</v>
      </c>
      <c r="H1329">
        <v>1290.0270995999999</v>
      </c>
      <c r="I1329">
        <v>1397.8032227000001</v>
      </c>
      <c r="J1329">
        <v>1377.7806396000001</v>
      </c>
      <c r="K1329">
        <v>80</v>
      </c>
      <c r="L1329">
        <v>78.850181579999997</v>
      </c>
      <c r="M1329">
        <v>50</v>
      </c>
      <c r="N1329">
        <v>49.949909210000001</v>
      </c>
    </row>
    <row r="1330" spans="1:14" x14ac:dyDescent="0.25">
      <c r="A1330">
        <v>922.06225800000004</v>
      </c>
      <c r="B1330" s="1">
        <f>DATE(2012,11,8) + TIME(1,29,39)</f>
        <v>41221.062256944446</v>
      </c>
      <c r="C1330">
        <v>0</v>
      </c>
      <c r="D1330">
        <v>2400</v>
      </c>
      <c r="E1330">
        <v>2400</v>
      </c>
      <c r="F1330">
        <v>0</v>
      </c>
      <c r="G1330">
        <v>1302.3776855000001</v>
      </c>
      <c r="H1330">
        <v>1290.0032959</v>
      </c>
      <c r="I1330">
        <v>1397.7211914</v>
      </c>
      <c r="J1330">
        <v>1377.7077637</v>
      </c>
      <c r="K1330">
        <v>80</v>
      </c>
      <c r="L1330">
        <v>78.781677246000001</v>
      </c>
      <c r="M1330">
        <v>50</v>
      </c>
      <c r="N1330">
        <v>49.953762054000002</v>
      </c>
    </row>
    <row r="1331" spans="1:14" x14ac:dyDescent="0.25">
      <c r="A1331">
        <v>922.562726</v>
      </c>
      <c r="B1331" s="1">
        <f>DATE(2012,11,8) + TIME(13,30,19)</f>
        <v>41221.562719907408</v>
      </c>
      <c r="C1331">
        <v>0</v>
      </c>
      <c r="D1331">
        <v>2400</v>
      </c>
      <c r="E1331">
        <v>2400</v>
      </c>
      <c r="F1331">
        <v>0</v>
      </c>
      <c r="G1331">
        <v>1302.3563231999999</v>
      </c>
      <c r="H1331">
        <v>1289.9787598</v>
      </c>
      <c r="I1331">
        <v>1397.6422118999999</v>
      </c>
      <c r="J1331">
        <v>1377.6374512</v>
      </c>
      <c r="K1331">
        <v>80</v>
      </c>
      <c r="L1331">
        <v>78.711265564000001</v>
      </c>
      <c r="M1331">
        <v>50</v>
      </c>
      <c r="N1331">
        <v>49.956378936999997</v>
      </c>
    </row>
    <row r="1332" spans="1:14" x14ac:dyDescent="0.25">
      <c r="A1332">
        <v>923.08717300000001</v>
      </c>
      <c r="B1332" s="1">
        <f>DATE(2012,11,9) + TIME(2,5,31)</f>
        <v>41222.087164351855</v>
      </c>
      <c r="C1332">
        <v>0</v>
      </c>
      <c r="D1332">
        <v>2400</v>
      </c>
      <c r="E1332">
        <v>2400</v>
      </c>
      <c r="F1332">
        <v>0</v>
      </c>
      <c r="G1332">
        <v>1302.3342285000001</v>
      </c>
      <c r="H1332">
        <v>1289.9533690999999</v>
      </c>
      <c r="I1332">
        <v>1397.5656738</v>
      </c>
      <c r="J1332">
        <v>1377.5693358999999</v>
      </c>
      <c r="K1332">
        <v>80</v>
      </c>
      <c r="L1332">
        <v>78.638504028</v>
      </c>
      <c r="M1332">
        <v>50</v>
      </c>
      <c r="N1332">
        <v>49.958175658999998</v>
      </c>
    </row>
    <row r="1333" spans="1:14" x14ac:dyDescent="0.25">
      <c r="A1333">
        <v>923.64192000000003</v>
      </c>
      <c r="B1333" s="1">
        <f>DATE(2012,11,9) + TIME(15,24,21)</f>
        <v>41222.641909722224</v>
      </c>
      <c r="C1333">
        <v>0</v>
      </c>
      <c r="D1333">
        <v>2400</v>
      </c>
      <c r="E1333">
        <v>2400</v>
      </c>
      <c r="F1333">
        <v>0</v>
      </c>
      <c r="G1333">
        <v>1302.3110352000001</v>
      </c>
      <c r="H1333">
        <v>1289.9266356999999</v>
      </c>
      <c r="I1333">
        <v>1397.4903564000001</v>
      </c>
      <c r="J1333">
        <v>1377.5023193</v>
      </c>
      <c r="K1333">
        <v>80</v>
      </c>
      <c r="L1333">
        <v>78.562828064000001</v>
      </c>
      <c r="M1333">
        <v>50</v>
      </c>
      <c r="N1333">
        <v>49.959415436</v>
      </c>
    </row>
    <row r="1334" spans="1:14" x14ac:dyDescent="0.25">
      <c r="A1334">
        <v>924.23441700000001</v>
      </c>
      <c r="B1334" s="1">
        <f>DATE(2012,11,10) + TIME(5,37,33)</f>
        <v>41223.234409722223</v>
      </c>
      <c r="C1334">
        <v>0</v>
      </c>
      <c r="D1334">
        <v>2400</v>
      </c>
      <c r="E1334">
        <v>2400</v>
      </c>
      <c r="F1334">
        <v>0</v>
      </c>
      <c r="G1334">
        <v>1302.2866211</v>
      </c>
      <c r="H1334">
        <v>1289.8984375</v>
      </c>
      <c r="I1334">
        <v>1397.4156493999999</v>
      </c>
      <c r="J1334">
        <v>1377.4360352000001</v>
      </c>
      <c r="K1334">
        <v>80</v>
      </c>
      <c r="L1334">
        <v>78.483528136999993</v>
      </c>
      <c r="M1334">
        <v>50</v>
      </c>
      <c r="N1334">
        <v>49.960285186999997</v>
      </c>
    </row>
    <row r="1335" spans="1:14" x14ac:dyDescent="0.25">
      <c r="A1335">
        <v>924.87424599999997</v>
      </c>
      <c r="B1335" s="1">
        <f>DATE(2012,11,10) + TIME(20,58,54)</f>
        <v>41223.874236111114</v>
      </c>
      <c r="C1335">
        <v>0</v>
      </c>
      <c r="D1335">
        <v>2400</v>
      </c>
      <c r="E1335">
        <v>2400</v>
      </c>
      <c r="F1335">
        <v>0</v>
      </c>
      <c r="G1335">
        <v>1302.2604980000001</v>
      </c>
      <c r="H1335">
        <v>1289.8682861</v>
      </c>
      <c r="I1335">
        <v>1397.3405762</v>
      </c>
      <c r="J1335">
        <v>1377.3696289</v>
      </c>
      <c r="K1335">
        <v>80</v>
      </c>
      <c r="L1335">
        <v>78.399681091000005</v>
      </c>
      <c r="M1335">
        <v>50</v>
      </c>
      <c r="N1335">
        <v>49.960899353000002</v>
      </c>
    </row>
    <row r="1336" spans="1:14" x14ac:dyDescent="0.25">
      <c r="A1336">
        <v>925.55856400000005</v>
      </c>
      <c r="B1336" s="1">
        <f>DATE(2012,11,11) + TIME(13,24,19)</f>
        <v>41224.558553240742</v>
      </c>
      <c r="C1336">
        <v>0</v>
      </c>
      <c r="D1336">
        <v>2400</v>
      </c>
      <c r="E1336">
        <v>2400</v>
      </c>
      <c r="F1336">
        <v>0</v>
      </c>
      <c r="G1336">
        <v>1302.2321777</v>
      </c>
      <c r="H1336">
        <v>1289.8358154</v>
      </c>
      <c r="I1336">
        <v>1397.2645264</v>
      </c>
      <c r="J1336">
        <v>1377.3022461</v>
      </c>
      <c r="K1336">
        <v>80</v>
      </c>
      <c r="L1336">
        <v>78.311218261999997</v>
      </c>
      <c r="M1336">
        <v>50</v>
      </c>
      <c r="N1336">
        <v>49.961338042999998</v>
      </c>
    </row>
    <row r="1337" spans="1:14" x14ac:dyDescent="0.25">
      <c r="A1337">
        <v>926.25523399999997</v>
      </c>
      <c r="B1337" s="1">
        <f>DATE(2012,11,12) + TIME(6,7,32)</f>
        <v>41225.255231481482</v>
      </c>
      <c r="C1337">
        <v>0</v>
      </c>
      <c r="D1337">
        <v>2400</v>
      </c>
      <c r="E1337">
        <v>2400</v>
      </c>
      <c r="F1337">
        <v>0</v>
      </c>
      <c r="G1337">
        <v>1302.2017822</v>
      </c>
      <c r="H1337">
        <v>1289.8010254000001</v>
      </c>
      <c r="I1337">
        <v>1397.1879882999999</v>
      </c>
      <c r="J1337">
        <v>1377.2348632999999</v>
      </c>
      <c r="K1337">
        <v>80</v>
      </c>
      <c r="L1337">
        <v>78.220336914000001</v>
      </c>
      <c r="M1337">
        <v>50</v>
      </c>
      <c r="N1337">
        <v>49.961639404000003</v>
      </c>
    </row>
    <row r="1338" spans="1:14" x14ac:dyDescent="0.25">
      <c r="A1338">
        <v>926.97357699999998</v>
      </c>
      <c r="B1338" s="1">
        <f>DATE(2012,11,12) + TIME(23,21,57)</f>
        <v>41225.973576388889</v>
      </c>
      <c r="C1338">
        <v>0</v>
      </c>
      <c r="D1338">
        <v>2400</v>
      </c>
      <c r="E1338">
        <v>2400</v>
      </c>
      <c r="F1338">
        <v>0</v>
      </c>
      <c r="G1338">
        <v>1302.1707764</v>
      </c>
      <c r="H1338">
        <v>1289.7653809000001</v>
      </c>
      <c r="I1338">
        <v>1397.1148682</v>
      </c>
      <c r="J1338">
        <v>1377.1705322</v>
      </c>
      <c r="K1338">
        <v>80</v>
      </c>
      <c r="L1338">
        <v>78.127235412999994</v>
      </c>
      <c r="M1338">
        <v>50</v>
      </c>
      <c r="N1338">
        <v>49.961853026999997</v>
      </c>
    </row>
    <row r="1339" spans="1:14" x14ac:dyDescent="0.25">
      <c r="A1339">
        <v>927.72296700000004</v>
      </c>
      <c r="B1339" s="1">
        <f>DATE(2012,11,13) + TIME(17,21,4)</f>
        <v>41226.722962962966</v>
      </c>
      <c r="C1339">
        <v>0</v>
      </c>
      <c r="D1339">
        <v>2400</v>
      </c>
      <c r="E1339">
        <v>2400</v>
      </c>
      <c r="F1339">
        <v>0</v>
      </c>
      <c r="G1339">
        <v>1302.1389160000001</v>
      </c>
      <c r="H1339">
        <v>1289.7285156</v>
      </c>
      <c r="I1339">
        <v>1397.0438231999999</v>
      </c>
      <c r="J1339">
        <v>1377.1081543</v>
      </c>
      <c r="K1339">
        <v>80</v>
      </c>
      <c r="L1339">
        <v>78.031524657999995</v>
      </c>
      <c r="M1339">
        <v>50</v>
      </c>
      <c r="N1339">
        <v>49.962013245000001</v>
      </c>
    </row>
    <row r="1340" spans="1:14" x14ac:dyDescent="0.25">
      <c r="A1340">
        <v>928.50304800000004</v>
      </c>
      <c r="B1340" s="1">
        <f>DATE(2012,11,14) + TIME(12,4,23)</f>
        <v>41227.50304398148</v>
      </c>
      <c r="C1340">
        <v>0</v>
      </c>
      <c r="D1340">
        <v>2400</v>
      </c>
      <c r="E1340">
        <v>2400</v>
      </c>
      <c r="F1340">
        <v>0</v>
      </c>
      <c r="G1340">
        <v>1302.1054687999999</v>
      </c>
      <c r="H1340">
        <v>1289.6899414</v>
      </c>
      <c r="I1340">
        <v>1396.9737548999999</v>
      </c>
      <c r="J1340">
        <v>1377.0469971</v>
      </c>
      <c r="K1340">
        <v>80</v>
      </c>
      <c r="L1340">
        <v>77.933181762999993</v>
      </c>
      <c r="M1340">
        <v>50</v>
      </c>
      <c r="N1340">
        <v>49.962135314999998</v>
      </c>
    </row>
    <row r="1341" spans="1:14" x14ac:dyDescent="0.25">
      <c r="A1341">
        <v>929.30784000000006</v>
      </c>
      <c r="B1341" s="1">
        <f>DATE(2012,11,15) + TIME(7,23,17)</f>
        <v>41228.307835648149</v>
      </c>
      <c r="C1341">
        <v>0</v>
      </c>
      <c r="D1341">
        <v>2400</v>
      </c>
      <c r="E1341">
        <v>2400</v>
      </c>
      <c r="F1341">
        <v>0</v>
      </c>
      <c r="G1341">
        <v>1302.0705565999999</v>
      </c>
      <c r="H1341">
        <v>1289.6496582</v>
      </c>
      <c r="I1341">
        <v>1396.9049072</v>
      </c>
      <c r="J1341">
        <v>1376.9868164</v>
      </c>
      <c r="K1341">
        <v>80</v>
      </c>
      <c r="L1341">
        <v>77.832603454999997</v>
      </c>
      <c r="M1341">
        <v>50</v>
      </c>
      <c r="N1341">
        <v>49.962226868000002</v>
      </c>
    </row>
    <row r="1342" spans="1:14" x14ac:dyDescent="0.25">
      <c r="A1342">
        <v>930.146568</v>
      </c>
      <c r="B1342" s="1">
        <f>DATE(2012,11,16) + TIME(3,31,3)</f>
        <v>41229.146562499998</v>
      </c>
      <c r="C1342">
        <v>0</v>
      </c>
      <c r="D1342">
        <v>2400</v>
      </c>
      <c r="E1342">
        <v>2400</v>
      </c>
      <c r="F1342">
        <v>0</v>
      </c>
      <c r="G1342">
        <v>1302.0344238</v>
      </c>
      <c r="H1342">
        <v>1289.6079102000001</v>
      </c>
      <c r="I1342">
        <v>1396.8377685999999</v>
      </c>
      <c r="J1342">
        <v>1376.9283447</v>
      </c>
      <c r="K1342">
        <v>80</v>
      </c>
      <c r="L1342">
        <v>77.729423522999994</v>
      </c>
      <c r="M1342">
        <v>50</v>
      </c>
      <c r="N1342">
        <v>49.962299346999998</v>
      </c>
    </row>
    <row r="1343" spans="1:14" x14ac:dyDescent="0.25">
      <c r="A1343">
        <v>931.02929200000005</v>
      </c>
      <c r="B1343" s="1">
        <f>DATE(2012,11,17) + TIME(0,42,10)</f>
        <v>41230.029282407406</v>
      </c>
      <c r="C1343">
        <v>0</v>
      </c>
      <c r="D1343">
        <v>2400</v>
      </c>
      <c r="E1343">
        <v>2400</v>
      </c>
      <c r="F1343">
        <v>0</v>
      </c>
      <c r="G1343">
        <v>1301.9967041</v>
      </c>
      <c r="H1343">
        <v>1289.5640868999999</v>
      </c>
      <c r="I1343">
        <v>1396.7713623</v>
      </c>
      <c r="J1343">
        <v>1376.8706055</v>
      </c>
      <c r="K1343">
        <v>80</v>
      </c>
      <c r="L1343">
        <v>77.622940063000001</v>
      </c>
      <c r="M1343">
        <v>50</v>
      </c>
      <c r="N1343">
        <v>49.962364196999999</v>
      </c>
    </row>
    <row r="1344" spans="1:14" x14ac:dyDescent="0.25">
      <c r="A1344">
        <v>931.96781099999998</v>
      </c>
      <c r="B1344" s="1">
        <f>DATE(2012,11,17) + TIME(23,13,38)</f>
        <v>41230.967800925922</v>
      </c>
      <c r="C1344">
        <v>0</v>
      </c>
      <c r="D1344">
        <v>2400</v>
      </c>
      <c r="E1344">
        <v>2400</v>
      </c>
      <c r="F1344">
        <v>0</v>
      </c>
      <c r="G1344">
        <v>1301.9567870999999</v>
      </c>
      <c r="H1344">
        <v>1289.5177002</v>
      </c>
      <c r="I1344">
        <v>1396.7050781</v>
      </c>
      <c r="J1344">
        <v>1376.8132324000001</v>
      </c>
      <c r="K1344">
        <v>80</v>
      </c>
      <c r="L1344">
        <v>77.512207031000003</v>
      </c>
      <c r="M1344">
        <v>50</v>
      </c>
      <c r="N1344">
        <v>49.962417602999999</v>
      </c>
    </row>
    <row r="1345" spans="1:14" x14ac:dyDescent="0.25">
      <c r="A1345">
        <v>932.94049099999995</v>
      </c>
      <c r="B1345" s="1">
        <f>DATE(2012,11,18) + TIME(22,34,18)</f>
        <v>41231.940486111111</v>
      </c>
      <c r="C1345">
        <v>0</v>
      </c>
      <c r="D1345">
        <v>2400</v>
      </c>
      <c r="E1345">
        <v>2400</v>
      </c>
      <c r="F1345">
        <v>0</v>
      </c>
      <c r="G1345">
        <v>1301.9139404</v>
      </c>
      <c r="H1345">
        <v>1289.4681396000001</v>
      </c>
      <c r="I1345">
        <v>1396.6383057</v>
      </c>
      <c r="J1345">
        <v>1376.7553711</v>
      </c>
      <c r="K1345">
        <v>80</v>
      </c>
      <c r="L1345">
        <v>77.397972107000001</v>
      </c>
      <c r="M1345">
        <v>50</v>
      </c>
      <c r="N1345">
        <v>49.962463378999999</v>
      </c>
    </row>
    <row r="1346" spans="1:14" x14ac:dyDescent="0.25">
      <c r="A1346">
        <v>933.95242900000005</v>
      </c>
      <c r="B1346" s="1">
        <f>DATE(2012,11,19) + TIME(22,51,29)</f>
        <v>41232.952418981484</v>
      </c>
      <c r="C1346">
        <v>0</v>
      </c>
      <c r="D1346">
        <v>2400</v>
      </c>
      <c r="E1346">
        <v>2400</v>
      </c>
      <c r="F1346">
        <v>0</v>
      </c>
      <c r="G1346">
        <v>1301.8693848</v>
      </c>
      <c r="H1346">
        <v>1289.4163818</v>
      </c>
      <c r="I1346">
        <v>1396.5726318</v>
      </c>
      <c r="J1346">
        <v>1376.6986084</v>
      </c>
      <c r="K1346">
        <v>80</v>
      </c>
      <c r="L1346">
        <v>77.280517578000001</v>
      </c>
      <c r="M1346">
        <v>50</v>
      </c>
      <c r="N1346">
        <v>49.962509154999999</v>
      </c>
    </row>
    <row r="1347" spans="1:14" x14ac:dyDescent="0.25">
      <c r="A1347">
        <v>935.01875800000005</v>
      </c>
      <c r="B1347" s="1">
        <f>DATE(2012,11,21) + TIME(0,27,0)</f>
        <v>41234.018750000003</v>
      </c>
      <c r="C1347">
        <v>0</v>
      </c>
      <c r="D1347">
        <v>2400</v>
      </c>
      <c r="E1347">
        <v>2400</v>
      </c>
      <c r="F1347">
        <v>0</v>
      </c>
      <c r="G1347">
        <v>1301.8227539</v>
      </c>
      <c r="H1347">
        <v>1289.3619385</v>
      </c>
      <c r="I1347">
        <v>1396.5078125</v>
      </c>
      <c r="J1347">
        <v>1376.6427002</v>
      </c>
      <c r="K1347">
        <v>80</v>
      </c>
      <c r="L1347">
        <v>77.159255981000001</v>
      </c>
      <c r="M1347">
        <v>50</v>
      </c>
      <c r="N1347">
        <v>49.962551116999997</v>
      </c>
    </row>
    <row r="1348" spans="1:14" x14ac:dyDescent="0.25">
      <c r="A1348">
        <v>936.11399900000004</v>
      </c>
      <c r="B1348" s="1">
        <f>DATE(2012,11,22) + TIME(2,44,9)</f>
        <v>41235.113993055558</v>
      </c>
      <c r="C1348">
        <v>0</v>
      </c>
      <c r="D1348">
        <v>2400</v>
      </c>
      <c r="E1348">
        <v>2400</v>
      </c>
      <c r="F1348">
        <v>0</v>
      </c>
      <c r="G1348">
        <v>1301.7731934000001</v>
      </c>
      <c r="H1348">
        <v>1289.3041992000001</v>
      </c>
      <c r="I1348">
        <v>1396.442749</v>
      </c>
      <c r="J1348">
        <v>1376.5867920000001</v>
      </c>
      <c r="K1348">
        <v>80</v>
      </c>
      <c r="L1348">
        <v>77.035087584999999</v>
      </c>
      <c r="M1348">
        <v>50</v>
      </c>
      <c r="N1348">
        <v>49.962589264000002</v>
      </c>
    </row>
    <row r="1349" spans="1:14" x14ac:dyDescent="0.25">
      <c r="A1349">
        <v>937.23723600000005</v>
      </c>
      <c r="B1349" s="1">
        <f>DATE(2012,11,23) + TIME(5,41,37)</f>
        <v>41236.237233796295</v>
      </c>
      <c r="C1349">
        <v>0</v>
      </c>
      <c r="D1349">
        <v>2400</v>
      </c>
      <c r="E1349">
        <v>2400</v>
      </c>
      <c r="F1349">
        <v>0</v>
      </c>
      <c r="G1349">
        <v>1301.7218018000001</v>
      </c>
      <c r="H1349">
        <v>1289.2441406</v>
      </c>
      <c r="I1349">
        <v>1396.3793945</v>
      </c>
      <c r="J1349">
        <v>1376.5322266000001</v>
      </c>
      <c r="K1349">
        <v>80</v>
      </c>
      <c r="L1349">
        <v>76.908889771000005</v>
      </c>
      <c r="M1349">
        <v>50</v>
      </c>
      <c r="N1349">
        <v>49.962631225999999</v>
      </c>
    </row>
    <row r="1350" spans="1:14" x14ac:dyDescent="0.25">
      <c r="A1350">
        <v>938.40121199999999</v>
      </c>
      <c r="B1350" s="1">
        <f>DATE(2012,11,24) + TIME(9,37,44)</f>
        <v>41237.401203703703</v>
      </c>
      <c r="C1350">
        <v>0</v>
      </c>
      <c r="D1350">
        <v>2400</v>
      </c>
      <c r="E1350">
        <v>2400</v>
      </c>
      <c r="F1350">
        <v>0</v>
      </c>
      <c r="G1350">
        <v>1301.6687012</v>
      </c>
      <c r="H1350">
        <v>1289.1816406</v>
      </c>
      <c r="I1350">
        <v>1396.3175048999999</v>
      </c>
      <c r="J1350">
        <v>1376.479126</v>
      </c>
      <c r="K1350">
        <v>80</v>
      </c>
      <c r="L1350">
        <v>76.780494689999998</v>
      </c>
      <c r="M1350">
        <v>50</v>
      </c>
      <c r="N1350">
        <v>49.962669372999997</v>
      </c>
    </row>
    <row r="1351" spans="1:14" x14ac:dyDescent="0.25">
      <c r="A1351">
        <v>939.619777</v>
      </c>
      <c r="B1351" s="1">
        <f>DATE(2012,11,25) + TIME(14,52,28)</f>
        <v>41238.619768518518</v>
      </c>
      <c r="C1351">
        <v>0</v>
      </c>
      <c r="D1351">
        <v>2400</v>
      </c>
      <c r="E1351">
        <v>2400</v>
      </c>
      <c r="F1351">
        <v>0</v>
      </c>
      <c r="G1351">
        <v>1301.6130370999999</v>
      </c>
      <c r="H1351">
        <v>1289.1162108999999</v>
      </c>
      <c r="I1351">
        <v>1396.2563477000001</v>
      </c>
      <c r="J1351">
        <v>1376.4267577999999</v>
      </c>
      <c r="K1351">
        <v>80</v>
      </c>
      <c r="L1351">
        <v>76.649085998999993</v>
      </c>
      <c r="M1351">
        <v>50</v>
      </c>
      <c r="N1351">
        <v>49.962715148999997</v>
      </c>
    </row>
    <row r="1352" spans="1:14" x14ac:dyDescent="0.25">
      <c r="A1352">
        <v>940.89773200000002</v>
      </c>
      <c r="B1352" s="1">
        <f>DATE(2012,11,26) + TIME(21,32,44)</f>
        <v>41239.897731481484</v>
      </c>
      <c r="C1352">
        <v>0</v>
      </c>
      <c r="D1352">
        <v>2400</v>
      </c>
      <c r="E1352">
        <v>2400</v>
      </c>
      <c r="F1352">
        <v>0</v>
      </c>
      <c r="G1352">
        <v>1301.5541992000001</v>
      </c>
      <c r="H1352">
        <v>1289.0467529</v>
      </c>
      <c r="I1352">
        <v>1396.1953125</v>
      </c>
      <c r="J1352">
        <v>1376.3743896000001</v>
      </c>
      <c r="K1352">
        <v>80</v>
      </c>
      <c r="L1352">
        <v>76.513977050999998</v>
      </c>
      <c r="M1352">
        <v>50</v>
      </c>
      <c r="N1352">
        <v>49.962757111000002</v>
      </c>
    </row>
    <row r="1353" spans="1:14" x14ac:dyDescent="0.25">
      <c r="A1353">
        <v>942.21653800000001</v>
      </c>
      <c r="B1353" s="1">
        <f>DATE(2012,11,28) + TIME(5,11,48)</f>
        <v>41241.216527777775</v>
      </c>
      <c r="C1353">
        <v>0</v>
      </c>
      <c r="D1353">
        <v>2400</v>
      </c>
      <c r="E1353">
        <v>2400</v>
      </c>
      <c r="F1353">
        <v>0</v>
      </c>
      <c r="G1353">
        <v>1301.4918213000001</v>
      </c>
      <c r="H1353">
        <v>1288.9730225000001</v>
      </c>
      <c r="I1353">
        <v>1396.1341553</v>
      </c>
      <c r="J1353">
        <v>1376.3221435999999</v>
      </c>
      <c r="K1353">
        <v>80</v>
      </c>
      <c r="L1353">
        <v>76.375640868999994</v>
      </c>
      <c r="M1353">
        <v>50</v>
      </c>
      <c r="N1353">
        <v>49.962802887000002</v>
      </c>
    </row>
    <row r="1354" spans="1:14" x14ac:dyDescent="0.25">
      <c r="A1354">
        <v>943.59470799999997</v>
      </c>
      <c r="B1354" s="1">
        <f>DATE(2012,11,29) + TIME(14,16,22)</f>
        <v>41242.594699074078</v>
      </c>
      <c r="C1354">
        <v>0</v>
      </c>
      <c r="D1354">
        <v>2400</v>
      </c>
      <c r="E1354">
        <v>2400</v>
      </c>
      <c r="F1354">
        <v>0</v>
      </c>
      <c r="G1354">
        <v>1301.4265137</v>
      </c>
      <c r="H1354">
        <v>1288.8955077999999</v>
      </c>
      <c r="I1354">
        <v>1396.0739745999999</v>
      </c>
      <c r="J1354">
        <v>1376.2707519999999</v>
      </c>
      <c r="K1354">
        <v>80</v>
      </c>
      <c r="L1354">
        <v>76.234031677000004</v>
      </c>
      <c r="M1354">
        <v>50</v>
      </c>
      <c r="N1354">
        <v>49.962848663000003</v>
      </c>
    </row>
    <row r="1355" spans="1:14" x14ac:dyDescent="0.25">
      <c r="A1355">
        <v>945</v>
      </c>
      <c r="B1355" s="1">
        <f>DATE(2012,12,1) + TIME(0,0,0)</f>
        <v>41244</v>
      </c>
      <c r="C1355">
        <v>0</v>
      </c>
      <c r="D1355">
        <v>2400</v>
      </c>
      <c r="E1355">
        <v>2400</v>
      </c>
      <c r="F1355">
        <v>0</v>
      </c>
      <c r="G1355">
        <v>1301.3574219</v>
      </c>
      <c r="H1355">
        <v>1288.8132324000001</v>
      </c>
      <c r="I1355">
        <v>1396.0139160000001</v>
      </c>
      <c r="J1355">
        <v>1376.2194824000001</v>
      </c>
      <c r="K1355">
        <v>80</v>
      </c>
      <c r="L1355">
        <v>76.090065002000003</v>
      </c>
      <c r="M1355">
        <v>50</v>
      </c>
      <c r="N1355">
        <v>49.962898254000002</v>
      </c>
    </row>
    <row r="1356" spans="1:14" x14ac:dyDescent="0.25">
      <c r="A1356">
        <v>946.430564</v>
      </c>
      <c r="B1356" s="1">
        <f>DATE(2012,12,2) + TIME(10,20,0)</f>
        <v>41245.430555555555</v>
      </c>
      <c r="C1356">
        <v>0</v>
      </c>
      <c r="D1356">
        <v>2400</v>
      </c>
      <c r="E1356">
        <v>2400</v>
      </c>
      <c r="F1356">
        <v>0</v>
      </c>
      <c r="G1356">
        <v>1301.2857666</v>
      </c>
      <c r="H1356">
        <v>1288.7276611</v>
      </c>
      <c r="I1356">
        <v>1395.9553223</v>
      </c>
      <c r="J1356">
        <v>1376.1696777</v>
      </c>
      <c r="K1356">
        <v>80</v>
      </c>
      <c r="L1356">
        <v>75.944992064999994</v>
      </c>
      <c r="M1356">
        <v>50</v>
      </c>
      <c r="N1356">
        <v>49.962947845000002</v>
      </c>
    </row>
    <row r="1357" spans="1:14" x14ac:dyDescent="0.25">
      <c r="A1357">
        <v>947.93031900000005</v>
      </c>
      <c r="B1357" s="1">
        <f>DATE(2012,12,3) + TIME(22,19,39)</f>
        <v>41246.930312500001</v>
      </c>
      <c r="C1357">
        <v>0</v>
      </c>
      <c r="D1357">
        <v>2400</v>
      </c>
      <c r="E1357">
        <v>2400</v>
      </c>
      <c r="F1357">
        <v>0</v>
      </c>
      <c r="G1357">
        <v>1301.2119141000001</v>
      </c>
      <c r="H1357">
        <v>1288.6386719</v>
      </c>
      <c r="I1357">
        <v>1395.8983154</v>
      </c>
      <c r="J1357">
        <v>1376.1210937999999</v>
      </c>
      <c r="K1357">
        <v>80</v>
      </c>
      <c r="L1357">
        <v>75.797790527000004</v>
      </c>
      <c r="M1357">
        <v>50</v>
      </c>
      <c r="N1357">
        <v>49.962997436999999</v>
      </c>
    </row>
    <row r="1358" spans="1:14" x14ac:dyDescent="0.25">
      <c r="A1358">
        <v>949.48893999999996</v>
      </c>
      <c r="B1358" s="1">
        <f>DATE(2012,12,5) + TIME(11,44,4)</f>
        <v>41248.488935185182</v>
      </c>
      <c r="C1358">
        <v>0</v>
      </c>
      <c r="D1358">
        <v>2400</v>
      </c>
      <c r="E1358">
        <v>2400</v>
      </c>
      <c r="F1358">
        <v>0</v>
      </c>
      <c r="G1358">
        <v>1301.1330565999999</v>
      </c>
      <c r="H1358">
        <v>1288.5438231999999</v>
      </c>
      <c r="I1358">
        <v>1395.8410644999999</v>
      </c>
      <c r="J1358">
        <v>1376.0722656</v>
      </c>
      <c r="K1358">
        <v>80</v>
      </c>
      <c r="L1358">
        <v>75.647415160999998</v>
      </c>
      <c r="M1358">
        <v>50</v>
      </c>
      <c r="N1358">
        <v>49.963054657000001</v>
      </c>
    </row>
    <row r="1359" spans="1:14" x14ac:dyDescent="0.25">
      <c r="A1359">
        <v>951.11942699999997</v>
      </c>
      <c r="B1359" s="1">
        <f>DATE(2012,12,7) + TIME(2,51,58)</f>
        <v>41250.119421296295</v>
      </c>
      <c r="C1359">
        <v>0</v>
      </c>
      <c r="D1359">
        <v>2400</v>
      </c>
      <c r="E1359">
        <v>2400</v>
      </c>
      <c r="F1359">
        <v>0</v>
      </c>
      <c r="G1359">
        <v>1301.0499268000001</v>
      </c>
      <c r="H1359">
        <v>1288.4431152</v>
      </c>
      <c r="I1359">
        <v>1395.7840576000001</v>
      </c>
      <c r="J1359">
        <v>1376.0238036999999</v>
      </c>
      <c r="K1359">
        <v>80</v>
      </c>
      <c r="L1359">
        <v>75.493431091000005</v>
      </c>
      <c r="M1359">
        <v>50</v>
      </c>
      <c r="N1359">
        <v>49.963111877000003</v>
      </c>
    </row>
    <row r="1360" spans="1:14" x14ac:dyDescent="0.25">
      <c r="A1360">
        <v>952.82969500000002</v>
      </c>
      <c r="B1360" s="1">
        <f>DATE(2012,12,8) + TIME(19,54,45)</f>
        <v>41251.829687500001</v>
      </c>
      <c r="C1360">
        <v>0</v>
      </c>
      <c r="D1360">
        <v>2400</v>
      </c>
      <c r="E1360">
        <v>2400</v>
      </c>
      <c r="F1360">
        <v>0</v>
      </c>
      <c r="G1360">
        <v>1300.9611815999999</v>
      </c>
      <c r="H1360">
        <v>1288.3353271000001</v>
      </c>
      <c r="I1360">
        <v>1395.7269286999999</v>
      </c>
      <c r="J1360">
        <v>1375.9750977000001</v>
      </c>
      <c r="K1360">
        <v>80</v>
      </c>
      <c r="L1360">
        <v>75.335205078000001</v>
      </c>
      <c r="M1360">
        <v>50</v>
      </c>
      <c r="N1360">
        <v>49.963169098000002</v>
      </c>
    </row>
    <row r="1361" spans="1:14" x14ac:dyDescent="0.25">
      <c r="A1361">
        <v>954.60209299999997</v>
      </c>
      <c r="B1361" s="1">
        <f>DATE(2012,12,10) + TIME(14,27,0)</f>
        <v>41253.602083333331</v>
      </c>
      <c r="C1361">
        <v>0</v>
      </c>
      <c r="D1361">
        <v>2400</v>
      </c>
      <c r="E1361">
        <v>2400</v>
      </c>
      <c r="F1361">
        <v>0</v>
      </c>
      <c r="G1361">
        <v>1300.8664550999999</v>
      </c>
      <c r="H1361">
        <v>1288.2197266000001</v>
      </c>
      <c r="I1361">
        <v>1395.6694336</v>
      </c>
      <c r="J1361">
        <v>1375.9262695</v>
      </c>
      <c r="K1361">
        <v>80</v>
      </c>
      <c r="L1361">
        <v>75.172950744999994</v>
      </c>
      <c r="M1361">
        <v>50</v>
      </c>
      <c r="N1361">
        <v>49.963233948000003</v>
      </c>
    </row>
    <row r="1362" spans="1:14" x14ac:dyDescent="0.25">
      <c r="A1362">
        <v>956.38614199999995</v>
      </c>
      <c r="B1362" s="1">
        <f>DATE(2012,12,12) + TIME(9,16,2)</f>
        <v>41255.386134259257</v>
      </c>
      <c r="C1362">
        <v>0</v>
      </c>
      <c r="D1362">
        <v>2400</v>
      </c>
      <c r="E1362">
        <v>2400</v>
      </c>
      <c r="F1362">
        <v>0</v>
      </c>
      <c r="G1362">
        <v>1300.7661132999999</v>
      </c>
      <c r="H1362">
        <v>1288.0969238</v>
      </c>
      <c r="I1362">
        <v>1395.6123047000001</v>
      </c>
      <c r="J1362">
        <v>1375.8775635</v>
      </c>
      <c r="K1362">
        <v>80</v>
      </c>
      <c r="L1362">
        <v>75.008987426999994</v>
      </c>
      <c r="M1362">
        <v>50</v>
      </c>
      <c r="N1362">
        <v>49.963294982999997</v>
      </c>
    </row>
    <row r="1363" spans="1:14" x14ac:dyDescent="0.25">
      <c r="A1363">
        <v>958.20102999999995</v>
      </c>
      <c r="B1363" s="1">
        <f>DATE(2012,12,14) + TIME(4,49,28)</f>
        <v>41257.201018518521</v>
      </c>
      <c r="C1363">
        <v>0</v>
      </c>
      <c r="D1363">
        <v>2400</v>
      </c>
      <c r="E1363">
        <v>2400</v>
      </c>
      <c r="F1363">
        <v>0</v>
      </c>
      <c r="G1363">
        <v>1300.6629639</v>
      </c>
      <c r="H1363">
        <v>1287.9697266000001</v>
      </c>
      <c r="I1363">
        <v>1395.5571289</v>
      </c>
      <c r="J1363">
        <v>1375.8306885</v>
      </c>
      <c r="K1363">
        <v>80</v>
      </c>
      <c r="L1363">
        <v>74.844963074000006</v>
      </c>
      <c r="M1363">
        <v>50</v>
      </c>
      <c r="N1363">
        <v>49.963359832999998</v>
      </c>
    </row>
    <row r="1364" spans="1:14" x14ac:dyDescent="0.25">
      <c r="A1364">
        <v>960.06616099999997</v>
      </c>
      <c r="B1364" s="1">
        <f>DATE(2012,12,16) + TIME(1,35,16)</f>
        <v>41259.066157407404</v>
      </c>
      <c r="C1364">
        <v>0</v>
      </c>
      <c r="D1364">
        <v>2400</v>
      </c>
      <c r="E1364">
        <v>2400</v>
      </c>
      <c r="F1364">
        <v>0</v>
      </c>
      <c r="G1364">
        <v>1300.5556641000001</v>
      </c>
      <c r="H1364">
        <v>1287.8367920000001</v>
      </c>
      <c r="I1364">
        <v>1395.5031738</v>
      </c>
      <c r="J1364">
        <v>1375.7847899999999</v>
      </c>
      <c r="K1364">
        <v>80</v>
      </c>
      <c r="L1364">
        <v>74.680389403999996</v>
      </c>
      <c r="M1364">
        <v>50</v>
      </c>
      <c r="N1364">
        <v>49.963424683</v>
      </c>
    </row>
    <row r="1365" spans="1:14" x14ac:dyDescent="0.25">
      <c r="A1365">
        <v>962.00218400000006</v>
      </c>
      <c r="B1365" s="1">
        <f>DATE(2012,12,18) + TIME(0,3,8)</f>
        <v>41261.002175925925</v>
      </c>
      <c r="C1365">
        <v>0</v>
      </c>
      <c r="D1365">
        <v>2400</v>
      </c>
      <c r="E1365">
        <v>2400</v>
      </c>
      <c r="F1365">
        <v>0</v>
      </c>
      <c r="G1365">
        <v>1300.4431152</v>
      </c>
      <c r="H1365">
        <v>1287.6966553</v>
      </c>
      <c r="I1365">
        <v>1395.4499512</v>
      </c>
      <c r="J1365">
        <v>1375.7395019999999</v>
      </c>
      <c r="K1365">
        <v>80</v>
      </c>
      <c r="L1365">
        <v>74.513923645000006</v>
      </c>
      <c r="M1365">
        <v>50</v>
      </c>
      <c r="N1365">
        <v>49.963493346999996</v>
      </c>
    </row>
    <row r="1366" spans="1:14" x14ac:dyDescent="0.25">
      <c r="A1366">
        <v>964.02239099999997</v>
      </c>
      <c r="B1366" s="1">
        <f>DATE(2012,12,20) + TIME(0,32,14)</f>
        <v>41263.02238425926</v>
      </c>
      <c r="C1366">
        <v>0</v>
      </c>
      <c r="D1366">
        <v>2400</v>
      </c>
      <c r="E1366">
        <v>2400</v>
      </c>
      <c r="F1366">
        <v>0</v>
      </c>
      <c r="G1366">
        <v>1300.3236084</v>
      </c>
      <c r="H1366">
        <v>1287.5472411999999</v>
      </c>
      <c r="I1366">
        <v>1395.3967285000001</v>
      </c>
      <c r="J1366">
        <v>1375.6942139</v>
      </c>
      <c r="K1366">
        <v>80</v>
      </c>
      <c r="L1366">
        <v>74.344207764000004</v>
      </c>
      <c r="M1366">
        <v>50</v>
      </c>
      <c r="N1366">
        <v>49.963562011999997</v>
      </c>
    </row>
    <row r="1367" spans="1:14" x14ac:dyDescent="0.25">
      <c r="A1367">
        <v>966.07916499999999</v>
      </c>
      <c r="B1367" s="1">
        <f>DATE(2012,12,22) + TIME(1,53,59)</f>
        <v>41265.079155092593</v>
      </c>
      <c r="C1367">
        <v>0</v>
      </c>
      <c r="D1367">
        <v>2400</v>
      </c>
      <c r="E1367">
        <v>2400</v>
      </c>
      <c r="F1367">
        <v>0</v>
      </c>
      <c r="G1367">
        <v>1300.1960449000001</v>
      </c>
      <c r="H1367">
        <v>1287.387207</v>
      </c>
      <c r="I1367">
        <v>1395.3431396000001</v>
      </c>
      <c r="J1367">
        <v>1375.6486815999999</v>
      </c>
      <c r="K1367">
        <v>80</v>
      </c>
      <c r="L1367">
        <v>74.171630859000004</v>
      </c>
      <c r="M1367">
        <v>50</v>
      </c>
      <c r="N1367">
        <v>49.963634491000001</v>
      </c>
    </row>
    <row r="1368" spans="1:14" x14ac:dyDescent="0.25">
      <c r="A1368">
        <v>968.17578300000002</v>
      </c>
      <c r="B1368" s="1">
        <f>DATE(2012,12,24) + TIME(4,13,7)</f>
        <v>41267.175775462965</v>
      </c>
      <c r="C1368">
        <v>0</v>
      </c>
      <c r="D1368">
        <v>2400</v>
      </c>
      <c r="E1368">
        <v>2400</v>
      </c>
      <c r="F1368">
        <v>0</v>
      </c>
      <c r="G1368">
        <v>1300.0628661999999</v>
      </c>
      <c r="H1368">
        <v>1287.2191161999999</v>
      </c>
      <c r="I1368">
        <v>1395.2906493999999</v>
      </c>
      <c r="J1368">
        <v>1375.6040039</v>
      </c>
      <c r="K1368">
        <v>80</v>
      </c>
      <c r="L1368">
        <v>73.997879028</v>
      </c>
      <c r="M1368">
        <v>50</v>
      </c>
      <c r="N1368">
        <v>49.963706969999997</v>
      </c>
    </row>
    <row r="1369" spans="1:14" x14ac:dyDescent="0.25">
      <c r="A1369">
        <v>970.29332899999997</v>
      </c>
      <c r="B1369" s="1">
        <f>DATE(2012,12,26) + TIME(7,2,23)</f>
        <v>41269.293321759258</v>
      </c>
      <c r="C1369">
        <v>0</v>
      </c>
      <c r="D1369">
        <v>2400</v>
      </c>
      <c r="E1369">
        <v>2400</v>
      </c>
      <c r="F1369">
        <v>0</v>
      </c>
      <c r="G1369">
        <v>1299.9238281</v>
      </c>
      <c r="H1369">
        <v>1287.0427245999999</v>
      </c>
      <c r="I1369">
        <v>1395.2391356999999</v>
      </c>
      <c r="J1369">
        <v>1375.5600586</v>
      </c>
      <c r="K1369">
        <v>80</v>
      </c>
      <c r="L1369">
        <v>73.823783875000004</v>
      </c>
      <c r="M1369">
        <v>50</v>
      </c>
      <c r="N1369">
        <v>49.963783264</v>
      </c>
    </row>
    <row r="1370" spans="1:14" x14ac:dyDescent="0.25">
      <c r="A1370">
        <v>972.43782999999996</v>
      </c>
      <c r="B1370" s="1">
        <f>DATE(2012,12,28) + TIME(10,30,28)</f>
        <v>41271.437824074077</v>
      </c>
      <c r="C1370">
        <v>0</v>
      </c>
      <c r="D1370">
        <v>2400</v>
      </c>
      <c r="E1370">
        <v>2400</v>
      </c>
      <c r="F1370">
        <v>0</v>
      </c>
      <c r="G1370">
        <v>1299.7797852000001</v>
      </c>
      <c r="H1370">
        <v>1286.8591309000001</v>
      </c>
      <c r="I1370">
        <v>1395.1889647999999</v>
      </c>
      <c r="J1370">
        <v>1375.5172118999999</v>
      </c>
      <c r="K1370">
        <v>80</v>
      </c>
      <c r="L1370">
        <v>73.650016785000005</v>
      </c>
      <c r="M1370">
        <v>50</v>
      </c>
      <c r="N1370">
        <v>49.963855743000003</v>
      </c>
    </row>
    <row r="1371" spans="1:14" x14ac:dyDescent="0.25">
      <c r="A1371">
        <v>974.61408200000005</v>
      </c>
      <c r="B1371" s="1">
        <f>DATE(2012,12,30) + TIME(14,44,16)</f>
        <v>41273.614074074074</v>
      </c>
      <c r="C1371">
        <v>0</v>
      </c>
      <c r="D1371">
        <v>2400</v>
      </c>
      <c r="E1371">
        <v>2400</v>
      </c>
      <c r="F1371">
        <v>0</v>
      </c>
      <c r="G1371">
        <v>1299.6303711</v>
      </c>
      <c r="H1371">
        <v>1286.6676024999999</v>
      </c>
      <c r="I1371">
        <v>1395.1397704999999</v>
      </c>
      <c r="J1371">
        <v>1375.4753418</v>
      </c>
      <c r="K1371">
        <v>80</v>
      </c>
      <c r="L1371">
        <v>73.476371764999996</v>
      </c>
      <c r="M1371">
        <v>50</v>
      </c>
      <c r="N1371">
        <v>49.963932036999999</v>
      </c>
    </row>
    <row r="1372" spans="1:14" x14ac:dyDescent="0.25">
      <c r="A1372">
        <v>976</v>
      </c>
      <c r="B1372" s="1">
        <f>DATE(2013,1,1) + TIME(0,0,0)</f>
        <v>41275</v>
      </c>
      <c r="C1372">
        <v>0</v>
      </c>
      <c r="D1372">
        <v>2400</v>
      </c>
      <c r="E1372">
        <v>2400</v>
      </c>
      <c r="F1372">
        <v>0</v>
      </c>
      <c r="G1372">
        <v>1299.4760742000001</v>
      </c>
      <c r="H1372">
        <v>1286.4731445</v>
      </c>
      <c r="I1372">
        <v>1395.0911865</v>
      </c>
      <c r="J1372">
        <v>1375.4337158000001</v>
      </c>
      <c r="K1372">
        <v>80</v>
      </c>
      <c r="L1372">
        <v>73.327461243000002</v>
      </c>
      <c r="M1372">
        <v>50</v>
      </c>
      <c r="N1372">
        <v>49.963977814000003</v>
      </c>
    </row>
    <row r="1373" spans="1:14" x14ac:dyDescent="0.25">
      <c r="A1373">
        <v>978.20885399999997</v>
      </c>
      <c r="B1373" s="1">
        <f>DATE(2013,1,3) + TIME(5,0,45)</f>
        <v>41277.208854166667</v>
      </c>
      <c r="C1373">
        <v>0</v>
      </c>
      <c r="D1373">
        <v>2400</v>
      </c>
      <c r="E1373">
        <v>2400</v>
      </c>
      <c r="F1373">
        <v>0</v>
      </c>
      <c r="G1373">
        <v>1299.3702393000001</v>
      </c>
      <c r="H1373">
        <v>1286.3294678</v>
      </c>
      <c r="I1373">
        <v>1395.0617675999999</v>
      </c>
      <c r="J1373">
        <v>1375.4086914</v>
      </c>
      <c r="K1373">
        <v>80</v>
      </c>
      <c r="L1373">
        <v>73.182182311999995</v>
      </c>
      <c r="M1373">
        <v>50</v>
      </c>
      <c r="N1373">
        <v>49.964057922000002</v>
      </c>
    </row>
    <row r="1374" spans="1:14" x14ac:dyDescent="0.25">
      <c r="A1374">
        <v>980.45867899999996</v>
      </c>
      <c r="B1374" s="1">
        <f>DATE(2013,1,5) + TIME(11,0,29)</f>
        <v>41279.458668981482</v>
      </c>
      <c r="C1374">
        <v>0</v>
      </c>
      <c r="D1374">
        <v>2400</v>
      </c>
      <c r="E1374">
        <v>2400</v>
      </c>
      <c r="F1374">
        <v>0</v>
      </c>
      <c r="G1374">
        <v>1299.2088623</v>
      </c>
      <c r="H1374">
        <v>1286.1220702999999</v>
      </c>
      <c r="I1374">
        <v>1395.0153809000001</v>
      </c>
      <c r="J1374">
        <v>1375.3690185999999</v>
      </c>
      <c r="K1374">
        <v>80</v>
      </c>
      <c r="L1374">
        <v>73.016616821</v>
      </c>
      <c r="M1374">
        <v>50</v>
      </c>
      <c r="N1374">
        <v>49.964134215999998</v>
      </c>
    </row>
    <row r="1375" spans="1:14" x14ac:dyDescent="0.25">
      <c r="A1375">
        <v>982.73875799999996</v>
      </c>
      <c r="B1375" s="1">
        <f>DATE(2013,1,7) + TIME(17,43,48)</f>
        <v>41281.738749999997</v>
      </c>
      <c r="C1375">
        <v>0</v>
      </c>
      <c r="D1375">
        <v>2400</v>
      </c>
      <c r="E1375">
        <v>2400</v>
      </c>
      <c r="F1375">
        <v>0</v>
      </c>
      <c r="G1375">
        <v>1299.0384521000001</v>
      </c>
      <c r="H1375">
        <v>1285.9007568</v>
      </c>
      <c r="I1375">
        <v>1394.9696045000001</v>
      </c>
      <c r="J1375">
        <v>1375.3298339999999</v>
      </c>
      <c r="K1375">
        <v>80</v>
      </c>
      <c r="L1375">
        <v>72.844512938999998</v>
      </c>
      <c r="M1375">
        <v>50</v>
      </c>
      <c r="N1375">
        <v>49.964214325</v>
      </c>
    </row>
    <row r="1376" spans="1:14" x14ac:dyDescent="0.25">
      <c r="A1376">
        <v>985.05359499999997</v>
      </c>
      <c r="B1376" s="1">
        <f>DATE(2013,1,10) + TIME(1,17,10)</f>
        <v>41284.053587962961</v>
      </c>
      <c r="C1376">
        <v>0</v>
      </c>
      <c r="D1376">
        <v>2400</v>
      </c>
      <c r="E1376">
        <v>2400</v>
      </c>
      <c r="F1376">
        <v>0</v>
      </c>
      <c r="G1376">
        <v>1298.8612060999999</v>
      </c>
      <c r="H1376">
        <v>1285.6689452999999</v>
      </c>
      <c r="I1376">
        <v>1394.9245605000001</v>
      </c>
      <c r="J1376">
        <v>1375.2912598</v>
      </c>
      <c r="K1376">
        <v>80</v>
      </c>
      <c r="L1376">
        <v>72.669921875</v>
      </c>
      <c r="M1376">
        <v>50</v>
      </c>
      <c r="N1376">
        <v>49.964294434000003</v>
      </c>
    </row>
    <row r="1377" spans="1:14" x14ac:dyDescent="0.25">
      <c r="A1377">
        <v>987.40801199999999</v>
      </c>
      <c r="B1377" s="1">
        <f>DATE(2013,1,12) + TIME(9,47,32)</f>
        <v>41286.408009259256</v>
      </c>
      <c r="C1377">
        <v>0</v>
      </c>
      <c r="D1377">
        <v>2400</v>
      </c>
      <c r="E1377">
        <v>2400</v>
      </c>
      <c r="F1377">
        <v>0</v>
      </c>
      <c r="G1377">
        <v>1298.6767577999999</v>
      </c>
      <c r="H1377">
        <v>1285.4267577999999</v>
      </c>
      <c r="I1377">
        <v>1394.8801269999999</v>
      </c>
      <c r="J1377">
        <v>1375.2531738</v>
      </c>
      <c r="K1377">
        <v>80</v>
      </c>
      <c r="L1377">
        <v>72.493583678999997</v>
      </c>
      <c r="M1377">
        <v>50</v>
      </c>
      <c r="N1377">
        <v>49.964374542000002</v>
      </c>
    </row>
    <row r="1378" spans="1:14" x14ac:dyDescent="0.25">
      <c r="A1378">
        <v>989.79904499999998</v>
      </c>
      <c r="B1378" s="1">
        <f>DATE(2013,1,14) + TIME(19,10,37)</f>
        <v>41288.799039351848</v>
      </c>
      <c r="C1378">
        <v>0</v>
      </c>
      <c r="D1378">
        <v>2400</v>
      </c>
      <c r="E1378">
        <v>2400</v>
      </c>
      <c r="F1378">
        <v>0</v>
      </c>
      <c r="G1378">
        <v>1298.4848632999999</v>
      </c>
      <c r="H1378">
        <v>1285.1737060999999</v>
      </c>
      <c r="I1378">
        <v>1394.8363036999999</v>
      </c>
      <c r="J1378">
        <v>1375.2155762</v>
      </c>
      <c r="K1378">
        <v>80</v>
      </c>
      <c r="L1378">
        <v>72.315429687999995</v>
      </c>
      <c r="M1378">
        <v>50</v>
      </c>
      <c r="N1378">
        <v>49.964454650999997</v>
      </c>
    </row>
    <row r="1379" spans="1:14" x14ac:dyDescent="0.25">
      <c r="A1379">
        <v>992.21834699999999</v>
      </c>
      <c r="B1379" s="1">
        <f>DATE(2013,1,17) + TIME(5,14,25)</f>
        <v>41291.218344907407</v>
      </c>
      <c r="C1379">
        <v>0</v>
      </c>
      <c r="D1379">
        <v>2400</v>
      </c>
      <c r="E1379">
        <v>2400</v>
      </c>
      <c r="F1379">
        <v>0</v>
      </c>
      <c r="G1379">
        <v>1298.2855225000001</v>
      </c>
      <c r="H1379">
        <v>1284.909668</v>
      </c>
      <c r="I1379">
        <v>1394.7929687999999</v>
      </c>
      <c r="J1379">
        <v>1375.1784668</v>
      </c>
      <c r="K1379">
        <v>80</v>
      </c>
      <c r="L1379">
        <v>72.135528563999998</v>
      </c>
      <c r="M1379">
        <v>50</v>
      </c>
      <c r="N1379">
        <v>49.964534759999999</v>
      </c>
    </row>
    <row r="1380" spans="1:14" x14ac:dyDescent="0.25">
      <c r="A1380">
        <v>994.66590799999994</v>
      </c>
      <c r="B1380" s="1">
        <f>DATE(2013,1,19) + TIME(15,58,54)</f>
        <v>41293.665902777779</v>
      </c>
      <c r="C1380">
        <v>0</v>
      </c>
      <c r="D1380">
        <v>2400</v>
      </c>
      <c r="E1380">
        <v>2400</v>
      </c>
      <c r="F1380">
        <v>0</v>
      </c>
      <c r="G1380">
        <v>1298.0791016000001</v>
      </c>
      <c r="H1380">
        <v>1284.6351318</v>
      </c>
      <c r="I1380">
        <v>1394.7504882999999</v>
      </c>
      <c r="J1380">
        <v>1375.1418457</v>
      </c>
      <c r="K1380">
        <v>80</v>
      </c>
      <c r="L1380">
        <v>71.953994750999996</v>
      </c>
      <c r="M1380">
        <v>50</v>
      </c>
      <c r="N1380">
        <v>49.964618682999998</v>
      </c>
    </row>
    <row r="1381" spans="1:14" x14ac:dyDescent="0.25">
      <c r="A1381">
        <v>997.14432199999999</v>
      </c>
      <c r="B1381" s="1">
        <f>DATE(2013,1,22) + TIME(3,27,49)</f>
        <v>41296.144317129627</v>
      </c>
      <c r="C1381">
        <v>0</v>
      </c>
      <c r="D1381">
        <v>2400</v>
      </c>
      <c r="E1381">
        <v>2400</v>
      </c>
      <c r="F1381">
        <v>0</v>
      </c>
      <c r="G1381">
        <v>1297.8656006000001</v>
      </c>
      <c r="H1381">
        <v>1284.3500977000001</v>
      </c>
      <c r="I1381">
        <v>1394.7084961</v>
      </c>
      <c r="J1381">
        <v>1375.1057129000001</v>
      </c>
      <c r="K1381">
        <v>80</v>
      </c>
      <c r="L1381">
        <v>71.770568847999996</v>
      </c>
      <c r="M1381">
        <v>50</v>
      </c>
      <c r="N1381">
        <v>49.964698792</v>
      </c>
    </row>
    <row r="1382" spans="1:14" x14ac:dyDescent="0.25">
      <c r="A1382">
        <v>999.65123600000004</v>
      </c>
      <c r="B1382" s="1">
        <f>DATE(2013,1,24) + TIME(15,37,46)</f>
        <v>41298.651226851849</v>
      </c>
      <c r="C1382">
        <v>0</v>
      </c>
      <c r="D1382">
        <v>2400</v>
      </c>
      <c r="E1382">
        <v>2400</v>
      </c>
      <c r="F1382">
        <v>0</v>
      </c>
      <c r="G1382">
        <v>1297.6446533000001</v>
      </c>
      <c r="H1382">
        <v>1284.0541992000001</v>
      </c>
      <c r="I1382">
        <v>1394.6671143000001</v>
      </c>
      <c r="J1382">
        <v>1375.0701904</v>
      </c>
      <c r="K1382">
        <v>80</v>
      </c>
      <c r="L1382">
        <v>71.584884643999999</v>
      </c>
      <c r="M1382">
        <v>50</v>
      </c>
      <c r="N1382">
        <v>49.964782714999998</v>
      </c>
    </row>
    <row r="1383" spans="1:14" x14ac:dyDescent="0.25">
      <c r="A1383">
        <v>1002.191932</v>
      </c>
      <c r="B1383" s="1">
        <f>DATE(2013,1,27) + TIME(4,36,22)</f>
        <v>41301.191921296297</v>
      </c>
      <c r="C1383">
        <v>0</v>
      </c>
      <c r="D1383">
        <v>2400</v>
      </c>
      <c r="E1383">
        <v>2400</v>
      </c>
      <c r="F1383">
        <v>0</v>
      </c>
      <c r="G1383">
        <v>1297.4165039</v>
      </c>
      <c r="H1383">
        <v>1283.7471923999999</v>
      </c>
      <c r="I1383">
        <v>1394.6263428</v>
      </c>
      <c r="J1383">
        <v>1375.0349120999999</v>
      </c>
      <c r="K1383">
        <v>80</v>
      </c>
      <c r="L1383">
        <v>71.396575928000004</v>
      </c>
      <c r="M1383">
        <v>50</v>
      </c>
      <c r="N1383">
        <v>49.964866637999997</v>
      </c>
    </row>
    <row r="1384" spans="1:14" x14ac:dyDescent="0.25">
      <c r="A1384">
        <v>1004.771582</v>
      </c>
      <c r="B1384" s="1">
        <f>DATE(2013,1,29) + TIME(18,31,4)</f>
        <v>41303.771574074075</v>
      </c>
      <c r="C1384">
        <v>0</v>
      </c>
      <c r="D1384">
        <v>2400</v>
      </c>
      <c r="E1384">
        <v>2400</v>
      </c>
      <c r="F1384">
        <v>0</v>
      </c>
      <c r="G1384">
        <v>1297.1804199000001</v>
      </c>
      <c r="H1384">
        <v>1283.4284668</v>
      </c>
      <c r="I1384">
        <v>1394.5859375</v>
      </c>
      <c r="J1384">
        <v>1375.0001221</v>
      </c>
      <c r="K1384">
        <v>80</v>
      </c>
      <c r="L1384">
        <v>71.204956054999997</v>
      </c>
      <c r="M1384">
        <v>50</v>
      </c>
      <c r="N1384">
        <v>49.964950561999999</v>
      </c>
    </row>
    <row r="1385" spans="1:14" x14ac:dyDescent="0.25">
      <c r="A1385">
        <v>1007</v>
      </c>
      <c r="B1385" s="1">
        <f>DATE(2013,2,1) + TIME(0,0,0)</f>
        <v>41306</v>
      </c>
      <c r="C1385">
        <v>0</v>
      </c>
      <c r="D1385">
        <v>2400</v>
      </c>
      <c r="E1385">
        <v>2400</v>
      </c>
      <c r="F1385">
        <v>0</v>
      </c>
      <c r="G1385">
        <v>1296.9370117000001</v>
      </c>
      <c r="H1385">
        <v>1283.1004639</v>
      </c>
      <c r="I1385">
        <v>1394.5457764</v>
      </c>
      <c r="J1385">
        <v>1374.965332</v>
      </c>
      <c r="K1385">
        <v>80</v>
      </c>
      <c r="L1385">
        <v>71.017341614000003</v>
      </c>
      <c r="M1385">
        <v>50</v>
      </c>
      <c r="N1385">
        <v>49.965023041000002</v>
      </c>
    </row>
    <row r="1386" spans="1:14" x14ac:dyDescent="0.25">
      <c r="A1386">
        <v>1009.617621</v>
      </c>
      <c r="B1386" s="1">
        <f>DATE(2013,2,3) + TIME(14,49,22)</f>
        <v>41308.617615740739</v>
      </c>
      <c r="C1386">
        <v>0</v>
      </c>
      <c r="D1386">
        <v>2400</v>
      </c>
      <c r="E1386">
        <v>2400</v>
      </c>
      <c r="F1386">
        <v>0</v>
      </c>
      <c r="G1386">
        <v>1296.7172852000001</v>
      </c>
      <c r="H1386">
        <v>1282.7980957</v>
      </c>
      <c r="I1386">
        <v>1394.512207</v>
      </c>
      <c r="J1386">
        <v>1374.9362793</v>
      </c>
      <c r="K1386">
        <v>80</v>
      </c>
      <c r="L1386">
        <v>70.834365844999994</v>
      </c>
      <c r="M1386">
        <v>50</v>
      </c>
      <c r="N1386">
        <v>49.965110779</v>
      </c>
    </row>
    <row r="1387" spans="1:14" x14ac:dyDescent="0.25">
      <c r="A1387">
        <v>1012.283609</v>
      </c>
      <c r="B1387" s="1">
        <f>DATE(2013,2,6) + TIME(6,48,23)</f>
        <v>41311.283599537041</v>
      </c>
      <c r="C1387">
        <v>0</v>
      </c>
      <c r="D1387">
        <v>2400</v>
      </c>
      <c r="E1387">
        <v>2400</v>
      </c>
      <c r="F1387">
        <v>0</v>
      </c>
      <c r="G1387">
        <v>1296.4626464999999</v>
      </c>
      <c r="H1387">
        <v>1282.4520264</v>
      </c>
      <c r="I1387">
        <v>1394.4732666</v>
      </c>
      <c r="J1387">
        <v>1374.9025879000001</v>
      </c>
      <c r="K1387">
        <v>80</v>
      </c>
      <c r="L1387">
        <v>70.635795592999997</v>
      </c>
      <c r="M1387">
        <v>50</v>
      </c>
      <c r="N1387">
        <v>49.965194701999998</v>
      </c>
    </row>
    <row r="1388" spans="1:14" x14ac:dyDescent="0.25">
      <c r="A1388">
        <v>1014.9748959999999</v>
      </c>
      <c r="B1388" s="1">
        <f>DATE(2013,2,8) + TIME(23,23,51)</f>
        <v>41313.974895833337</v>
      </c>
      <c r="C1388">
        <v>0</v>
      </c>
      <c r="D1388">
        <v>2400</v>
      </c>
      <c r="E1388">
        <v>2400</v>
      </c>
      <c r="F1388">
        <v>0</v>
      </c>
      <c r="G1388">
        <v>1296.1966553</v>
      </c>
      <c r="H1388">
        <v>1282.0883789</v>
      </c>
      <c r="I1388">
        <v>1394.4344481999999</v>
      </c>
      <c r="J1388">
        <v>1374.8688964999999</v>
      </c>
      <c r="K1388">
        <v>80</v>
      </c>
      <c r="L1388">
        <v>70.429039001000007</v>
      </c>
      <c r="M1388">
        <v>50</v>
      </c>
      <c r="N1388">
        <v>49.965282440000003</v>
      </c>
    </row>
    <row r="1389" spans="1:14" x14ac:dyDescent="0.25">
      <c r="A1389">
        <v>1017.697396</v>
      </c>
      <c r="B1389" s="1">
        <f>DATE(2013,2,11) + TIME(16,44,15)</f>
        <v>41316.697395833333</v>
      </c>
      <c r="C1389">
        <v>0</v>
      </c>
      <c r="D1389">
        <v>2400</v>
      </c>
      <c r="E1389">
        <v>2400</v>
      </c>
      <c r="F1389">
        <v>0</v>
      </c>
      <c r="G1389">
        <v>1295.9227295000001</v>
      </c>
      <c r="H1389">
        <v>1281.7122803</v>
      </c>
      <c r="I1389">
        <v>1394.3959961</v>
      </c>
      <c r="J1389">
        <v>1374.8356934000001</v>
      </c>
      <c r="K1389">
        <v>80</v>
      </c>
      <c r="L1389">
        <v>70.216384887999993</v>
      </c>
      <c r="M1389">
        <v>50</v>
      </c>
      <c r="N1389">
        <v>49.965366363999998</v>
      </c>
    </row>
    <row r="1390" spans="1:14" x14ac:dyDescent="0.25">
      <c r="A1390">
        <v>1020.456674</v>
      </c>
      <c r="B1390" s="1">
        <f>DATE(2013,2,14) + TIME(10,57,36)</f>
        <v>41319.456666666665</v>
      </c>
      <c r="C1390">
        <v>0</v>
      </c>
      <c r="D1390">
        <v>2400</v>
      </c>
      <c r="E1390">
        <v>2400</v>
      </c>
      <c r="F1390">
        <v>0</v>
      </c>
      <c r="G1390">
        <v>1295.6407471</v>
      </c>
      <c r="H1390">
        <v>1281.3236084</v>
      </c>
      <c r="I1390">
        <v>1394.3580322</v>
      </c>
      <c r="J1390">
        <v>1374.8026123</v>
      </c>
      <c r="K1390">
        <v>80</v>
      </c>
      <c r="L1390">
        <v>69.997772217000005</v>
      </c>
      <c r="M1390">
        <v>50</v>
      </c>
      <c r="N1390">
        <v>49.965454102000002</v>
      </c>
    </row>
    <row r="1391" spans="1:14" x14ac:dyDescent="0.25">
      <c r="A1391">
        <v>1023.258234</v>
      </c>
      <c r="B1391" s="1">
        <f>DATE(2013,2,17) + TIME(6,11,51)</f>
        <v>41322.258229166669</v>
      </c>
      <c r="C1391">
        <v>0</v>
      </c>
      <c r="D1391">
        <v>2400</v>
      </c>
      <c r="E1391">
        <v>2400</v>
      </c>
      <c r="F1391">
        <v>0</v>
      </c>
      <c r="G1391">
        <v>1295.3503418</v>
      </c>
      <c r="H1391">
        <v>1280.921875</v>
      </c>
      <c r="I1391">
        <v>1394.3201904</v>
      </c>
      <c r="J1391">
        <v>1374.7696533000001</v>
      </c>
      <c r="K1391">
        <v>80</v>
      </c>
      <c r="L1391">
        <v>69.771949767999999</v>
      </c>
      <c r="M1391">
        <v>50</v>
      </c>
      <c r="N1391">
        <v>49.96554184</v>
      </c>
    </row>
    <row r="1392" spans="1:14" x14ac:dyDescent="0.25">
      <c r="A1392">
        <v>1026.0942219999999</v>
      </c>
      <c r="B1392" s="1">
        <f>DATE(2013,2,20) + TIME(2,15,40)</f>
        <v>41325.094212962962</v>
      </c>
      <c r="C1392">
        <v>0</v>
      </c>
      <c r="D1392">
        <v>2400</v>
      </c>
      <c r="E1392">
        <v>2400</v>
      </c>
      <c r="F1392">
        <v>0</v>
      </c>
      <c r="G1392">
        <v>1295.0507812000001</v>
      </c>
      <c r="H1392">
        <v>1280.5064697</v>
      </c>
      <c r="I1392">
        <v>1394.2823486</v>
      </c>
      <c r="J1392">
        <v>1374.7366943</v>
      </c>
      <c r="K1392">
        <v>80</v>
      </c>
      <c r="L1392">
        <v>69.538337708</v>
      </c>
      <c r="M1392">
        <v>50</v>
      </c>
      <c r="N1392">
        <v>49.965629577999998</v>
      </c>
    </row>
    <row r="1393" spans="1:14" x14ac:dyDescent="0.25">
      <c r="A1393">
        <v>1028.957341</v>
      </c>
      <c r="B1393" s="1">
        <f>DATE(2013,2,22) + TIME(22,58,34)</f>
        <v>41327.957337962966</v>
      </c>
      <c r="C1393">
        <v>0</v>
      </c>
      <c r="D1393">
        <v>2400</v>
      </c>
      <c r="E1393">
        <v>2400</v>
      </c>
      <c r="F1393">
        <v>0</v>
      </c>
      <c r="G1393">
        <v>1294.7429199000001</v>
      </c>
      <c r="H1393">
        <v>1280.0778809000001</v>
      </c>
      <c r="I1393">
        <v>1394.2448730000001</v>
      </c>
      <c r="J1393">
        <v>1374.7039795000001</v>
      </c>
      <c r="K1393">
        <v>80</v>
      </c>
      <c r="L1393">
        <v>69.296661377000007</v>
      </c>
      <c r="M1393">
        <v>50</v>
      </c>
      <c r="N1393">
        <v>49.965717316000003</v>
      </c>
    </row>
    <row r="1394" spans="1:14" x14ac:dyDescent="0.25">
      <c r="A1394">
        <v>1031.8537719999999</v>
      </c>
      <c r="B1394" s="1">
        <f>DATE(2013,2,25) + TIME(20,29,25)</f>
        <v>41330.853761574072</v>
      </c>
      <c r="C1394">
        <v>0</v>
      </c>
      <c r="D1394">
        <v>2400</v>
      </c>
      <c r="E1394">
        <v>2400</v>
      </c>
      <c r="F1394">
        <v>0</v>
      </c>
      <c r="G1394">
        <v>1294.4276123</v>
      </c>
      <c r="H1394">
        <v>1279.6373291</v>
      </c>
      <c r="I1394">
        <v>1394.2075195</v>
      </c>
      <c r="J1394">
        <v>1374.6713867000001</v>
      </c>
      <c r="K1394">
        <v>80</v>
      </c>
      <c r="L1394">
        <v>69.046600342000005</v>
      </c>
      <c r="M1394">
        <v>50</v>
      </c>
      <c r="N1394">
        <v>49.965805054</v>
      </c>
    </row>
    <row r="1395" spans="1:14" x14ac:dyDescent="0.25">
      <c r="A1395">
        <v>1034.7894899999999</v>
      </c>
      <c r="B1395" s="1">
        <f>DATE(2013,2,28) + TIME(18,56,51)</f>
        <v>41333.789479166669</v>
      </c>
      <c r="C1395">
        <v>0</v>
      </c>
      <c r="D1395">
        <v>2400</v>
      </c>
      <c r="E1395">
        <v>2400</v>
      </c>
      <c r="F1395">
        <v>0</v>
      </c>
      <c r="G1395">
        <v>1294.1042480000001</v>
      </c>
      <c r="H1395">
        <v>1279.1842041</v>
      </c>
      <c r="I1395">
        <v>1394.1704102000001</v>
      </c>
      <c r="J1395">
        <v>1374.6389160000001</v>
      </c>
      <c r="K1395">
        <v>80</v>
      </c>
      <c r="L1395">
        <v>68.787170410000002</v>
      </c>
      <c r="M1395">
        <v>50</v>
      </c>
      <c r="N1395">
        <v>49.965896606000001</v>
      </c>
    </row>
    <row r="1396" spans="1:14" x14ac:dyDescent="0.25">
      <c r="A1396">
        <v>1035</v>
      </c>
      <c r="B1396" s="1">
        <f>DATE(2013,3,1) + TIME(0,0,0)</f>
        <v>41334</v>
      </c>
      <c r="C1396">
        <v>0</v>
      </c>
      <c r="D1396">
        <v>2400</v>
      </c>
      <c r="E1396">
        <v>2400</v>
      </c>
      <c r="F1396">
        <v>0</v>
      </c>
      <c r="G1396">
        <v>1293.8070068</v>
      </c>
      <c r="H1396">
        <v>1278.8155518000001</v>
      </c>
      <c r="I1396">
        <v>1394.1329346</v>
      </c>
      <c r="J1396">
        <v>1374.605957</v>
      </c>
      <c r="K1396">
        <v>80</v>
      </c>
      <c r="L1396">
        <v>68.715751647999994</v>
      </c>
      <c r="M1396">
        <v>50</v>
      </c>
      <c r="N1396">
        <v>49.965896606000001</v>
      </c>
    </row>
    <row r="1397" spans="1:14" x14ac:dyDescent="0.25">
      <c r="A1397">
        <v>1037.980984</v>
      </c>
      <c r="B1397" s="1">
        <f>DATE(2013,3,3) + TIME(23,32,37)</f>
        <v>41336.980983796297</v>
      </c>
      <c r="C1397">
        <v>0</v>
      </c>
      <c r="D1397">
        <v>2400</v>
      </c>
      <c r="E1397">
        <v>2400</v>
      </c>
      <c r="F1397">
        <v>0</v>
      </c>
      <c r="G1397">
        <v>1293.7390137</v>
      </c>
      <c r="H1397">
        <v>1278.6658935999999</v>
      </c>
      <c r="I1397">
        <v>1394.1306152</v>
      </c>
      <c r="J1397">
        <v>1374.6040039</v>
      </c>
      <c r="K1397">
        <v>80</v>
      </c>
      <c r="L1397">
        <v>68.486274718999994</v>
      </c>
      <c r="M1397">
        <v>50</v>
      </c>
      <c r="N1397">
        <v>49.965991973999998</v>
      </c>
    </row>
    <row r="1398" spans="1:14" x14ac:dyDescent="0.25">
      <c r="A1398">
        <v>1041.0176100000001</v>
      </c>
      <c r="B1398" s="1">
        <f>DATE(2013,3,7) + TIME(0,25,21)</f>
        <v>41340.017604166664</v>
      </c>
      <c r="C1398">
        <v>0</v>
      </c>
      <c r="D1398">
        <v>2400</v>
      </c>
      <c r="E1398">
        <v>2400</v>
      </c>
      <c r="F1398">
        <v>0</v>
      </c>
      <c r="G1398">
        <v>1293.4051514</v>
      </c>
      <c r="H1398">
        <v>1278.1983643000001</v>
      </c>
      <c r="I1398">
        <v>1394.0936279</v>
      </c>
      <c r="J1398">
        <v>1374.5715332</v>
      </c>
      <c r="K1398">
        <v>80</v>
      </c>
      <c r="L1398">
        <v>68.212532042999996</v>
      </c>
      <c r="M1398">
        <v>50</v>
      </c>
      <c r="N1398">
        <v>49.966079712000003</v>
      </c>
    </row>
    <row r="1399" spans="1:14" x14ac:dyDescent="0.25">
      <c r="A1399">
        <v>1044.0974510000001</v>
      </c>
      <c r="B1399" s="1">
        <f>DATE(2013,3,10) + TIME(2,20,19)</f>
        <v>41343.097442129627</v>
      </c>
      <c r="C1399">
        <v>0</v>
      </c>
      <c r="D1399">
        <v>2400</v>
      </c>
      <c r="E1399">
        <v>2400</v>
      </c>
      <c r="F1399">
        <v>0</v>
      </c>
      <c r="G1399">
        <v>1293.0554199000001</v>
      </c>
      <c r="H1399">
        <v>1277.7039795000001</v>
      </c>
      <c r="I1399">
        <v>1394.0561522999999</v>
      </c>
      <c r="J1399">
        <v>1374.5385742000001</v>
      </c>
      <c r="K1399">
        <v>80</v>
      </c>
      <c r="L1399">
        <v>67.918647766000007</v>
      </c>
      <c r="M1399">
        <v>50</v>
      </c>
      <c r="N1399">
        <v>49.966171265</v>
      </c>
    </row>
    <row r="1400" spans="1:14" x14ac:dyDescent="0.25">
      <c r="A1400">
        <v>1047.218711</v>
      </c>
      <c r="B1400" s="1">
        <f>DATE(2013,3,13) + TIME(5,14,56)</f>
        <v>41346.2187037037</v>
      </c>
      <c r="C1400">
        <v>0</v>
      </c>
      <c r="D1400">
        <v>2400</v>
      </c>
      <c r="E1400">
        <v>2400</v>
      </c>
      <c r="F1400">
        <v>0</v>
      </c>
      <c r="G1400">
        <v>1292.6958007999999</v>
      </c>
      <c r="H1400">
        <v>1277.1929932</v>
      </c>
      <c r="I1400">
        <v>1394.0187988</v>
      </c>
      <c r="J1400">
        <v>1374.5056152</v>
      </c>
      <c r="K1400">
        <v>80</v>
      </c>
      <c r="L1400">
        <v>67.609939574999999</v>
      </c>
      <c r="M1400">
        <v>50</v>
      </c>
      <c r="N1400">
        <v>49.966262817</v>
      </c>
    </row>
    <row r="1401" spans="1:14" x14ac:dyDescent="0.25">
      <c r="A1401">
        <v>1050.383654</v>
      </c>
      <c r="B1401" s="1">
        <f>DATE(2013,3,16) + TIME(9,12,27)</f>
        <v>41349.383645833332</v>
      </c>
      <c r="C1401">
        <v>0</v>
      </c>
      <c r="D1401">
        <v>2400</v>
      </c>
      <c r="E1401">
        <v>2400</v>
      </c>
      <c r="F1401">
        <v>0</v>
      </c>
      <c r="G1401">
        <v>1292.3273925999999</v>
      </c>
      <c r="H1401">
        <v>1276.6677245999999</v>
      </c>
      <c r="I1401">
        <v>1393.9812012</v>
      </c>
      <c r="J1401">
        <v>1374.4725341999999</v>
      </c>
      <c r="K1401">
        <v>80</v>
      </c>
      <c r="L1401">
        <v>67.287033081000004</v>
      </c>
      <c r="M1401">
        <v>50</v>
      </c>
      <c r="N1401">
        <v>49.966354369999998</v>
      </c>
    </row>
    <row r="1402" spans="1:14" x14ac:dyDescent="0.25">
      <c r="A1402">
        <v>1053.5992570000001</v>
      </c>
      <c r="B1402" s="1">
        <f>DATE(2013,3,19) + TIME(14,22,55)</f>
        <v>41352.599247685182</v>
      </c>
      <c r="C1402">
        <v>0</v>
      </c>
      <c r="D1402">
        <v>2400</v>
      </c>
      <c r="E1402">
        <v>2400</v>
      </c>
      <c r="F1402">
        <v>0</v>
      </c>
      <c r="G1402">
        <v>1291.9508057</v>
      </c>
      <c r="H1402">
        <v>1276.1286620999999</v>
      </c>
      <c r="I1402">
        <v>1393.9434814000001</v>
      </c>
      <c r="J1402">
        <v>1374.4392089999999</v>
      </c>
      <c r="K1402">
        <v>80</v>
      </c>
      <c r="L1402">
        <v>66.94921875</v>
      </c>
      <c r="M1402">
        <v>50</v>
      </c>
      <c r="N1402">
        <v>49.966445923000002</v>
      </c>
    </row>
    <row r="1403" spans="1:14" x14ac:dyDescent="0.25">
      <c r="A1403">
        <v>1056.8562240000001</v>
      </c>
      <c r="B1403" s="1">
        <f>DATE(2013,3,22) + TIME(20,32,57)</f>
        <v>41355.856215277781</v>
      </c>
      <c r="C1403">
        <v>0</v>
      </c>
      <c r="D1403">
        <v>2400</v>
      </c>
      <c r="E1403">
        <v>2400</v>
      </c>
      <c r="F1403">
        <v>0</v>
      </c>
      <c r="G1403">
        <v>1291.5653076000001</v>
      </c>
      <c r="H1403">
        <v>1275.5750731999999</v>
      </c>
      <c r="I1403">
        <v>1393.9055175999999</v>
      </c>
      <c r="J1403">
        <v>1374.4056396000001</v>
      </c>
      <c r="K1403">
        <v>80</v>
      </c>
      <c r="L1403">
        <v>66.595520019999995</v>
      </c>
      <c r="M1403">
        <v>50</v>
      </c>
      <c r="N1403">
        <v>49.966537475999999</v>
      </c>
    </row>
    <row r="1404" spans="1:14" x14ac:dyDescent="0.25">
      <c r="A1404">
        <v>1060.1605420000001</v>
      </c>
      <c r="B1404" s="1">
        <f>DATE(2013,3,26) + TIME(3,51,10)</f>
        <v>41359.160532407404</v>
      </c>
      <c r="C1404">
        <v>0</v>
      </c>
      <c r="D1404">
        <v>2400</v>
      </c>
      <c r="E1404">
        <v>2400</v>
      </c>
      <c r="F1404">
        <v>0</v>
      </c>
      <c r="G1404">
        <v>1291.1723632999999</v>
      </c>
      <c r="H1404">
        <v>1275.0085449000001</v>
      </c>
      <c r="I1404">
        <v>1393.8674315999999</v>
      </c>
      <c r="J1404">
        <v>1374.3717041</v>
      </c>
      <c r="K1404">
        <v>80</v>
      </c>
      <c r="L1404">
        <v>66.225761414000004</v>
      </c>
      <c r="M1404">
        <v>50</v>
      </c>
      <c r="N1404">
        <v>49.966632842999999</v>
      </c>
    </row>
    <row r="1405" spans="1:14" x14ac:dyDescent="0.25">
      <c r="A1405">
        <v>1063.5198270000001</v>
      </c>
      <c r="B1405" s="1">
        <f>DATE(2013,3,29) + TIME(12,28,33)</f>
        <v>41362.519826388889</v>
      </c>
      <c r="C1405">
        <v>0</v>
      </c>
      <c r="D1405">
        <v>2400</v>
      </c>
      <c r="E1405">
        <v>2400</v>
      </c>
      <c r="F1405">
        <v>0</v>
      </c>
      <c r="G1405">
        <v>1290.7714844</v>
      </c>
      <c r="H1405">
        <v>1274.4285889</v>
      </c>
      <c r="I1405">
        <v>1393.8289795000001</v>
      </c>
      <c r="J1405">
        <v>1374.3375243999999</v>
      </c>
      <c r="K1405">
        <v>80</v>
      </c>
      <c r="L1405">
        <v>65.838867187999995</v>
      </c>
      <c r="M1405">
        <v>50</v>
      </c>
      <c r="N1405">
        <v>49.966724395999996</v>
      </c>
    </row>
    <row r="1406" spans="1:14" x14ac:dyDescent="0.25">
      <c r="A1406">
        <v>1066</v>
      </c>
      <c r="B1406" s="1">
        <f>DATE(2013,4,1) + TIME(0,0,0)</f>
        <v>41365</v>
      </c>
      <c r="C1406">
        <v>0</v>
      </c>
      <c r="D1406">
        <v>2400</v>
      </c>
      <c r="E1406">
        <v>2400</v>
      </c>
      <c r="F1406">
        <v>0</v>
      </c>
      <c r="G1406">
        <v>1290.3658447</v>
      </c>
      <c r="H1406">
        <v>1273.8466797000001</v>
      </c>
      <c r="I1406">
        <v>1393.7897949000001</v>
      </c>
      <c r="J1406">
        <v>1374.3026123</v>
      </c>
      <c r="K1406">
        <v>80</v>
      </c>
      <c r="L1406">
        <v>65.459793090999995</v>
      </c>
      <c r="M1406">
        <v>50</v>
      </c>
      <c r="N1406">
        <v>49.966793060000001</v>
      </c>
    </row>
    <row r="1407" spans="1:14" x14ac:dyDescent="0.25">
      <c r="A1407">
        <v>1069.4222500000001</v>
      </c>
      <c r="B1407" s="1">
        <f>DATE(2013,4,4) + TIME(10,8,2)</f>
        <v>41368.42224537037</v>
      </c>
      <c r="C1407">
        <v>0</v>
      </c>
      <c r="D1407">
        <v>2400</v>
      </c>
      <c r="E1407">
        <v>2400</v>
      </c>
      <c r="F1407">
        <v>0</v>
      </c>
      <c r="G1407">
        <v>1290.0483397999999</v>
      </c>
      <c r="H1407">
        <v>1273.3703613</v>
      </c>
      <c r="I1407">
        <v>1393.7614745999999</v>
      </c>
      <c r="J1407">
        <v>1374.2774658000001</v>
      </c>
      <c r="K1407">
        <v>80</v>
      </c>
      <c r="L1407">
        <v>65.110397339000002</v>
      </c>
      <c r="M1407">
        <v>50</v>
      </c>
      <c r="N1407">
        <v>49.966888427999997</v>
      </c>
    </row>
    <row r="1408" spans="1:14" x14ac:dyDescent="0.25">
      <c r="A1408">
        <v>1072.9520219999999</v>
      </c>
      <c r="B1408" s="1">
        <f>DATE(2013,4,7) + TIME(22,50,54)</f>
        <v>41371.952013888891</v>
      </c>
      <c r="C1408">
        <v>0</v>
      </c>
      <c r="D1408">
        <v>2400</v>
      </c>
      <c r="E1408">
        <v>2400</v>
      </c>
      <c r="F1408">
        <v>0</v>
      </c>
      <c r="G1408">
        <v>1289.6385498</v>
      </c>
      <c r="H1408">
        <v>1272.7761230000001</v>
      </c>
      <c r="I1408">
        <v>1393.722168</v>
      </c>
      <c r="J1408">
        <v>1374.2423096</v>
      </c>
      <c r="K1408">
        <v>80</v>
      </c>
      <c r="L1408">
        <v>64.687461853000002</v>
      </c>
      <c r="M1408">
        <v>50</v>
      </c>
      <c r="N1408">
        <v>49.966983794999997</v>
      </c>
    </row>
    <row r="1409" spans="1:14" x14ac:dyDescent="0.25">
      <c r="A1409">
        <v>1076.5419910000001</v>
      </c>
      <c r="B1409" s="1">
        <f>DATE(2013,4,11) + TIME(13,0,28)</f>
        <v>41375.541990740741</v>
      </c>
      <c r="C1409">
        <v>0</v>
      </c>
      <c r="D1409">
        <v>2400</v>
      </c>
      <c r="E1409">
        <v>2400</v>
      </c>
      <c r="F1409">
        <v>0</v>
      </c>
      <c r="G1409">
        <v>1289.2088623</v>
      </c>
      <c r="H1409">
        <v>1272.1466064000001</v>
      </c>
      <c r="I1409">
        <v>1393.6818848</v>
      </c>
      <c r="J1409">
        <v>1374.2061768000001</v>
      </c>
      <c r="K1409">
        <v>80</v>
      </c>
      <c r="L1409">
        <v>64.230300903</v>
      </c>
      <c r="M1409">
        <v>50</v>
      </c>
      <c r="N1409">
        <v>49.967079163000001</v>
      </c>
    </row>
    <row r="1410" spans="1:14" x14ac:dyDescent="0.25">
      <c r="A1410">
        <v>1080.202372</v>
      </c>
      <c r="B1410" s="1">
        <f>DATE(2013,4,15) + TIME(4,51,24)</f>
        <v>41379.202361111114</v>
      </c>
      <c r="C1410">
        <v>0</v>
      </c>
      <c r="D1410">
        <v>2400</v>
      </c>
      <c r="E1410">
        <v>2400</v>
      </c>
      <c r="F1410">
        <v>0</v>
      </c>
      <c r="G1410">
        <v>1288.7698975000001</v>
      </c>
      <c r="H1410">
        <v>1271.5001221</v>
      </c>
      <c r="I1410">
        <v>1393.6408690999999</v>
      </c>
      <c r="J1410">
        <v>1374.1694336</v>
      </c>
      <c r="K1410">
        <v>80</v>
      </c>
      <c r="L1410">
        <v>63.750190734999997</v>
      </c>
      <c r="M1410">
        <v>50</v>
      </c>
      <c r="N1410">
        <v>49.967178345000001</v>
      </c>
    </row>
    <row r="1411" spans="1:14" x14ac:dyDescent="0.25">
      <c r="A1411">
        <v>1083.943661</v>
      </c>
      <c r="B1411" s="1">
        <f>DATE(2013,4,18) + TIME(22,38,52)</f>
        <v>41382.943657407406</v>
      </c>
      <c r="C1411">
        <v>0</v>
      </c>
      <c r="D1411">
        <v>2400</v>
      </c>
      <c r="E1411">
        <v>2400</v>
      </c>
      <c r="F1411">
        <v>0</v>
      </c>
      <c r="G1411">
        <v>1288.3229980000001</v>
      </c>
      <c r="H1411">
        <v>1270.8387451000001</v>
      </c>
      <c r="I1411">
        <v>1393.5992432</v>
      </c>
      <c r="J1411">
        <v>1374.1319579999999</v>
      </c>
      <c r="K1411">
        <v>80</v>
      </c>
      <c r="L1411">
        <v>63.247829437</v>
      </c>
      <c r="M1411">
        <v>50</v>
      </c>
      <c r="N1411">
        <v>49.967273712000001</v>
      </c>
    </row>
    <row r="1412" spans="1:14" x14ac:dyDescent="0.25">
      <c r="A1412">
        <v>1087.7664810000001</v>
      </c>
      <c r="B1412" s="1">
        <f>DATE(2013,4,22) + TIME(18,23,43)</f>
        <v>41386.766469907408</v>
      </c>
      <c r="C1412">
        <v>0</v>
      </c>
      <c r="D1412">
        <v>2400</v>
      </c>
      <c r="E1412">
        <v>2400</v>
      </c>
      <c r="F1412">
        <v>0</v>
      </c>
      <c r="G1412">
        <v>1287.8676757999999</v>
      </c>
      <c r="H1412">
        <v>1270.1623535000001</v>
      </c>
      <c r="I1412">
        <v>1393.5566406</v>
      </c>
      <c r="J1412">
        <v>1374.0935059000001</v>
      </c>
      <c r="K1412">
        <v>80</v>
      </c>
      <c r="L1412">
        <v>62.722526549999998</v>
      </c>
      <c r="M1412">
        <v>50</v>
      </c>
      <c r="N1412">
        <v>49.967376709</v>
      </c>
    </row>
    <row r="1413" spans="1:14" x14ac:dyDescent="0.25">
      <c r="A1413">
        <v>1091.6636269999999</v>
      </c>
      <c r="B1413" s="1">
        <f>DATE(2013,4,26) + TIME(15,55,37)</f>
        <v>41390.663622685184</v>
      </c>
      <c r="C1413">
        <v>0</v>
      </c>
      <c r="D1413">
        <v>2400</v>
      </c>
      <c r="E1413">
        <v>2400</v>
      </c>
      <c r="F1413">
        <v>0</v>
      </c>
      <c r="G1413">
        <v>1287.4047852000001</v>
      </c>
      <c r="H1413">
        <v>1269.4719238</v>
      </c>
      <c r="I1413">
        <v>1393.5131836</v>
      </c>
      <c r="J1413">
        <v>1374.0541992000001</v>
      </c>
      <c r="K1413">
        <v>80</v>
      </c>
      <c r="L1413">
        <v>62.174388884999999</v>
      </c>
      <c r="M1413">
        <v>50</v>
      </c>
      <c r="N1413">
        <v>49.967475890999999</v>
      </c>
    </row>
    <row r="1414" spans="1:14" x14ac:dyDescent="0.25">
      <c r="A1414">
        <v>1095.6486620000001</v>
      </c>
      <c r="B1414" s="1">
        <f>DATE(2013,4,30) + TIME(15,34,4)</f>
        <v>41394.648657407408</v>
      </c>
      <c r="C1414">
        <v>0</v>
      </c>
      <c r="D1414">
        <v>2400</v>
      </c>
      <c r="E1414">
        <v>2400</v>
      </c>
      <c r="F1414">
        <v>0</v>
      </c>
      <c r="G1414">
        <v>1286.9360352000001</v>
      </c>
      <c r="H1414">
        <v>1268.7694091999999</v>
      </c>
      <c r="I1414">
        <v>1393.4688721</v>
      </c>
      <c r="J1414">
        <v>1374.0140381000001</v>
      </c>
      <c r="K1414">
        <v>80</v>
      </c>
      <c r="L1414">
        <v>61.604362488</v>
      </c>
      <c r="M1414">
        <v>50</v>
      </c>
      <c r="N1414">
        <v>49.967575072999999</v>
      </c>
    </row>
    <row r="1415" spans="1:14" x14ac:dyDescent="0.25">
      <c r="A1415">
        <v>1096</v>
      </c>
      <c r="B1415" s="1">
        <f>DATE(2013,5,1) + TIME(0,0,0)</f>
        <v>41395</v>
      </c>
      <c r="C1415">
        <v>0</v>
      </c>
      <c r="D1415">
        <v>2400</v>
      </c>
      <c r="E1415">
        <v>2400</v>
      </c>
      <c r="F1415">
        <v>0</v>
      </c>
      <c r="G1415">
        <v>1286.4886475000001</v>
      </c>
      <c r="H1415">
        <v>1268.2042236</v>
      </c>
      <c r="I1415">
        <v>1393.4233397999999</v>
      </c>
      <c r="J1415">
        <v>1373.9726562000001</v>
      </c>
      <c r="K1415">
        <v>80</v>
      </c>
      <c r="L1415">
        <v>61.377067566000001</v>
      </c>
      <c r="M1415">
        <v>50</v>
      </c>
      <c r="N1415">
        <v>49.967578887999998</v>
      </c>
    </row>
    <row r="1416" spans="1:14" x14ac:dyDescent="0.25">
      <c r="A1416">
        <v>1096.0000010000001</v>
      </c>
      <c r="B1416" s="1">
        <f>DATE(2013,5,1) + TIME(0,0,0)</f>
        <v>41395</v>
      </c>
      <c r="C1416">
        <v>2400</v>
      </c>
      <c r="D1416">
        <v>0</v>
      </c>
      <c r="E1416">
        <v>0</v>
      </c>
      <c r="F1416">
        <v>2400</v>
      </c>
      <c r="G1416">
        <v>1306.3287353999999</v>
      </c>
      <c r="H1416">
        <v>1287.4971923999999</v>
      </c>
      <c r="I1416">
        <v>1373.0983887</v>
      </c>
      <c r="J1416">
        <v>1354.2070312000001</v>
      </c>
      <c r="K1416">
        <v>80</v>
      </c>
      <c r="L1416">
        <v>61.377227783000002</v>
      </c>
      <c r="M1416">
        <v>50</v>
      </c>
      <c r="N1416">
        <v>49.967468261999997</v>
      </c>
    </row>
    <row r="1417" spans="1:14" x14ac:dyDescent="0.25">
      <c r="A1417">
        <v>1096.000004</v>
      </c>
      <c r="B1417" s="1">
        <f>DATE(2013,5,1) + TIME(0,0,0)</f>
        <v>41395</v>
      </c>
      <c r="C1417">
        <v>2400</v>
      </c>
      <c r="D1417">
        <v>0</v>
      </c>
      <c r="E1417">
        <v>0</v>
      </c>
      <c r="F1417">
        <v>2400</v>
      </c>
      <c r="G1417">
        <v>1308.7076416</v>
      </c>
      <c r="H1417">
        <v>1290.1182861</v>
      </c>
      <c r="I1417">
        <v>1370.7659911999999</v>
      </c>
      <c r="J1417">
        <v>1351.8739014</v>
      </c>
      <c r="K1417">
        <v>80</v>
      </c>
      <c r="L1417">
        <v>61.377651215</v>
      </c>
      <c r="M1417">
        <v>50</v>
      </c>
      <c r="N1417">
        <v>49.967174530000001</v>
      </c>
    </row>
    <row r="1418" spans="1:14" x14ac:dyDescent="0.25">
      <c r="A1418">
        <v>1096.0000130000001</v>
      </c>
      <c r="B1418" s="1">
        <f>DATE(2013,5,1) + TIME(0,0,1)</f>
        <v>41395.000011574077</v>
      </c>
      <c r="C1418">
        <v>2400</v>
      </c>
      <c r="D1418">
        <v>0</v>
      </c>
      <c r="E1418">
        <v>0</v>
      </c>
      <c r="F1418">
        <v>2400</v>
      </c>
      <c r="G1418">
        <v>1313.9702147999999</v>
      </c>
      <c r="H1418">
        <v>1295.7133789</v>
      </c>
      <c r="I1418">
        <v>1365.5339355000001</v>
      </c>
      <c r="J1418">
        <v>1346.640625</v>
      </c>
      <c r="K1418">
        <v>80</v>
      </c>
      <c r="L1418">
        <v>61.378620148000003</v>
      </c>
      <c r="M1418">
        <v>50</v>
      </c>
      <c r="N1418">
        <v>49.966518401999998</v>
      </c>
    </row>
    <row r="1419" spans="1:14" x14ac:dyDescent="0.25">
      <c r="A1419">
        <v>1096.0000399999999</v>
      </c>
      <c r="B1419" s="1">
        <f>DATE(2013,5,1) + TIME(0,0,3)</f>
        <v>41395.000034722223</v>
      </c>
      <c r="C1419">
        <v>2400</v>
      </c>
      <c r="D1419">
        <v>0</v>
      </c>
      <c r="E1419">
        <v>0</v>
      </c>
      <c r="F1419">
        <v>2400</v>
      </c>
      <c r="G1419">
        <v>1322.6295166</v>
      </c>
      <c r="H1419">
        <v>1304.5207519999999</v>
      </c>
      <c r="I1419">
        <v>1356.7895507999999</v>
      </c>
      <c r="J1419">
        <v>1337.8973389</v>
      </c>
      <c r="K1419">
        <v>80</v>
      </c>
      <c r="L1419">
        <v>61.380470275999997</v>
      </c>
      <c r="M1419">
        <v>50</v>
      </c>
      <c r="N1419">
        <v>49.965412139999998</v>
      </c>
    </row>
    <row r="1420" spans="1:14" x14ac:dyDescent="0.25">
      <c r="A1420">
        <v>1096.000121</v>
      </c>
      <c r="B1420" s="1">
        <f>DATE(2013,5,1) + TIME(0,0,10)</f>
        <v>41395.000115740739</v>
      </c>
      <c r="C1420">
        <v>2400</v>
      </c>
      <c r="D1420">
        <v>0</v>
      </c>
      <c r="E1420">
        <v>0</v>
      </c>
      <c r="F1420">
        <v>2400</v>
      </c>
      <c r="G1420">
        <v>1333.1435547000001</v>
      </c>
      <c r="H1420">
        <v>1314.9377440999999</v>
      </c>
      <c r="I1420">
        <v>1346.1134033000001</v>
      </c>
      <c r="J1420">
        <v>1327.2274170000001</v>
      </c>
      <c r="K1420">
        <v>80</v>
      </c>
      <c r="L1420">
        <v>61.383911132999998</v>
      </c>
      <c r="M1420">
        <v>50</v>
      </c>
      <c r="N1420">
        <v>49.964057922000002</v>
      </c>
    </row>
    <row r="1421" spans="1:14" x14ac:dyDescent="0.25">
      <c r="A1421">
        <v>1096.000364</v>
      </c>
      <c r="B1421" s="1">
        <f>DATE(2013,5,1) + TIME(0,0,31)</f>
        <v>41395.000358796293</v>
      </c>
      <c r="C1421">
        <v>2400</v>
      </c>
      <c r="D1421">
        <v>0</v>
      </c>
      <c r="E1421">
        <v>0</v>
      </c>
      <c r="F1421">
        <v>2400</v>
      </c>
      <c r="G1421">
        <v>1344.0798339999999</v>
      </c>
      <c r="H1421">
        <v>1325.7324219</v>
      </c>
      <c r="I1421">
        <v>1335.1203613</v>
      </c>
      <c r="J1421">
        <v>1316.2462158000001</v>
      </c>
      <c r="K1421">
        <v>80</v>
      </c>
      <c r="L1421">
        <v>61.391574859999999</v>
      </c>
      <c r="M1421">
        <v>50</v>
      </c>
      <c r="N1421">
        <v>49.962638855000002</v>
      </c>
    </row>
    <row r="1422" spans="1:14" x14ac:dyDescent="0.25">
      <c r="A1422">
        <v>1096.0010930000001</v>
      </c>
      <c r="B1422" s="1">
        <f>DATE(2013,5,1) + TIME(0,1,34)</f>
        <v>41395.001087962963</v>
      </c>
      <c r="C1422">
        <v>2400</v>
      </c>
      <c r="D1422">
        <v>0</v>
      </c>
      <c r="E1422">
        <v>0</v>
      </c>
      <c r="F1422">
        <v>2400</v>
      </c>
      <c r="G1422">
        <v>1355.3300781</v>
      </c>
      <c r="H1422">
        <v>1336.8287353999999</v>
      </c>
      <c r="I1422">
        <v>1324.1265868999999</v>
      </c>
      <c r="J1422">
        <v>1305.2667236</v>
      </c>
      <c r="K1422">
        <v>80</v>
      </c>
      <c r="L1422">
        <v>61.411888122999997</v>
      </c>
      <c r="M1422">
        <v>50</v>
      </c>
      <c r="N1422">
        <v>49.961151123</v>
      </c>
    </row>
    <row r="1423" spans="1:14" x14ac:dyDescent="0.25">
      <c r="A1423">
        <v>1096.0032799999999</v>
      </c>
      <c r="B1423" s="1">
        <f>DATE(2013,5,1) + TIME(0,4,43)</f>
        <v>41395.003275462965</v>
      </c>
      <c r="C1423">
        <v>2400</v>
      </c>
      <c r="D1423">
        <v>0</v>
      </c>
      <c r="E1423">
        <v>0</v>
      </c>
      <c r="F1423">
        <v>2400</v>
      </c>
      <c r="G1423">
        <v>1367.2260742000001</v>
      </c>
      <c r="H1423">
        <v>1348.5439452999999</v>
      </c>
      <c r="I1423">
        <v>1313.0073242000001</v>
      </c>
      <c r="J1423">
        <v>1294.1347656</v>
      </c>
      <c r="K1423">
        <v>80</v>
      </c>
      <c r="L1423">
        <v>61.470397949000002</v>
      </c>
      <c r="M1423">
        <v>50</v>
      </c>
      <c r="N1423">
        <v>49.959426880000002</v>
      </c>
    </row>
    <row r="1424" spans="1:14" x14ac:dyDescent="0.25">
      <c r="A1424">
        <v>1096.0098410000001</v>
      </c>
      <c r="B1424" s="1">
        <f>DATE(2013,5,1) + TIME(0,14,10)</f>
        <v>41395.009837962964</v>
      </c>
      <c r="C1424">
        <v>2400</v>
      </c>
      <c r="D1424">
        <v>0</v>
      </c>
      <c r="E1424">
        <v>0</v>
      </c>
      <c r="F1424">
        <v>2400</v>
      </c>
      <c r="G1424">
        <v>1379.2064209</v>
      </c>
      <c r="H1424">
        <v>1360.380249</v>
      </c>
      <c r="I1424">
        <v>1302.0089111</v>
      </c>
      <c r="J1424">
        <v>1283.0786132999999</v>
      </c>
      <c r="K1424">
        <v>80</v>
      </c>
      <c r="L1424">
        <v>61.642978667999998</v>
      </c>
      <c r="M1424">
        <v>50</v>
      </c>
      <c r="N1424">
        <v>49.957080841</v>
      </c>
    </row>
    <row r="1425" spans="1:14" x14ac:dyDescent="0.25">
      <c r="A1425">
        <v>1096.029524</v>
      </c>
      <c r="B1425" s="1">
        <f>DATE(2013,5,1) + TIME(0,42,30)</f>
        <v>41395.029513888891</v>
      </c>
      <c r="C1425">
        <v>2400</v>
      </c>
      <c r="D1425">
        <v>0</v>
      </c>
      <c r="E1425">
        <v>0</v>
      </c>
      <c r="F1425">
        <v>2400</v>
      </c>
      <c r="G1425">
        <v>1388.7814940999999</v>
      </c>
      <c r="H1425">
        <v>1369.9798584</v>
      </c>
      <c r="I1425">
        <v>1293.2000731999999</v>
      </c>
      <c r="J1425">
        <v>1274.2167969</v>
      </c>
      <c r="K1425">
        <v>80</v>
      </c>
      <c r="L1425">
        <v>62.146217346</v>
      </c>
      <c r="M1425">
        <v>50</v>
      </c>
      <c r="N1425">
        <v>49.953113555999998</v>
      </c>
    </row>
    <row r="1426" spans="1:14" x14ac:dyDescent="0.25">
      <c r="A1426">
        <v>1096.0559459999999</v>
      </c>
      <c r="B1426" s="1">
        <f>DATE(2013,5,1) + TIME(1,20,33)</f>
        <v>41395.055937500001</v>
      </c>
      <c r="C1426">
        <v>2400</v>
      </c>
      <c r="D1426">
        <v>0</v>
      </c>
      <c r="E1426">
        <v>0</v>
      </c>
      <c r="F1426">
        <v>2400</v>
      </c>
      <c r="G1426">
        <v>1392.6080322</v>
      </c>
      <c r="H1426">
        <v>1373.9449463000001</v>
      </c>
      <c r="I1426">
        <v>1289.8641356999999</v>
      </c>
      <c r="J1426">
        <v>1270.8626709</v>
      </c>
      <c r="K1426">
        <v>80</v>
      </c>
      <c r="L1426">
        <v>62.797370911000002</v>
      </c>
      <c r="M1426">
        <v>50</v>
      </c>
      <c r="N1426">
        <v>49.948894500999998</v>
      </c>
    </row>
    <row r="1427" spans="1:14" x14ac:dyDescent="0.25">
      <c r="A1427">
        <v>1096.0830060000001</v>
      </c>
      <c r="B1427" s="1">
        <f>DATE(2013,5,1) + TIME(1,59,31)</f>
        <v>41395.082997685182</v>
      </c>
      <c r="C1427">
        <v>2400</v>
      </c>
      <c r="D1427">
        <v>0</v>
      </c>
      <c r="E1427">
        <v>0</v>
      </c>
      <c r="F1427">
        <v>2400</v>
      </c>
      <c r="G1427">
        <v>1393.9111327999999</v>
      </c>
      <c r="H1427">
        <v>1375.4005127</v>
      </c>
      <c r="I1427">
        <v>1288.8574219</v>
      </c>
      <c r="J1427">
        <v>1269.8503418</v>
      </c>
      <c r="K1427">
        <v>80</v>
      </c>
      <c r="L1427">
        <v>63.439800261999999</v>
      </c>
      <c r="M1427">
        <v>50</v>
      </c>
      <c r="N1427">
        <v>49.944904327000003</v>
      </c>
    </row>
    <row r="1428" spans="1:14" x14ac:dyDescent="0.25">
      <c r="A1428">
        <v>1096.1106560000001</v>
      </c>
      <c r="B1428" s="1">
        <f>DATE(2013,5,1) + TIME(2,39,20)</f>
        <v>41395.110648148147</v>
      </c>
      <c r="C1428">
        <v>2400</v>
      </c>
      <c r="D1428">
        <v>0</v>
      </c>
      <c r="E1428">
        <v>0</v>
      </c>
      <c r="F1428">
        <v>2400</v>
      </c>
      <c r="G1428">
        <v>1394.3138428</v>
      </c>
      <c r="H1428">
        <v>1375.9570312000001</v>
      </c>
      <c r="I1428">
        <v>1288.5854492000001</v>
      </c>
      <c r="J1428">
        <v>1269.5762939000001</v>
      </c>
      <c r="K1428">
        <v>80</v>
      </c>
      <c r="L1428">
        <v>64.071571349999999</v>
      </c>
      <c r="M1428">
        <v>50</v>
      </c>
      <c r="N1428">
        <v>49.940956116000002</v>
      </c>
    </row>
    <row r="1429" spans="1:14" x14ac:dyDescent="0.25">
      <c r="A1429">
        <v>1096.138899</v>
      </c>
      <c r="B1429" s="1">
        <f>DATE(2013,5,1) + TIME(3,20,0)</f>
        <v>41395.138888888891</v>
      </c>
      <c r="C1429">
        <v>2400</v>
      </c>
      <c r="D1429">
        <v>0</v>
      </c>
      <c r="E1429">
        <v>0</v>
      </c>
      <c r="F1429">
        <v>2400</v>
      </c>
      <c r="G1429">
        <v>1394.3629149999999</v>
      </c>
      <c r="H1429">
        <v>1376.1564940999999</v>
      </c>
      <c r="I1429">
        <v>1288.5397949000001</v>
      </c>
      <c r="J1429">
        <v>1269.5296631000001</v>
      </c>
      <c r="K1429">
        <v>80</v>
      </c>
      <c r="L1429">
        <v>64.692169188999998</v>
      </c>
      <c r="M1429">
        <v>50</v>
      </c>
      <c r="N1429">
        <v>49.936996460000003</v>
      </c>
    </row>
    <row r="1430" spans="1:14" x14ac:dyDescent="0.25">
      <c r="A1430">
        <v>1096.16776</v>
      </c>
      <c r="B1430" s="1">
        <f>DATE(2013,5,1) + TIME(4,1,34)</f>
        <v>41395.167754629627</v>
      </c>
      <c r="C1430">
        <v>2400</v>
      </c>
      <c r="D1430">
        <v>0</v>
      </c>
      <c r="E1430">
        <v>0</v>
      </c>
      <c r="F1430">
        <v>2400</v>
      </c>
      <c r="G1430">
        <v>1394.2648925999999</v>
      </c>
      <c r="H1430">
        <v>1376.2043457</v>
      </c>
      <c r="I1430">
        <v>1288.5541992000001</v>
      </c>
      <c r="J1430">
        <v>1269.543457</v>
      </c>
      <c r="K1430">
        <v>80</v>
      </c>
      <c r="L1430">
        <v>65.301559448000006</v>
      </c>
      <c r="M1430">
        <v>50</v>
      </c>
      <c r="N1430">
        <v>49.932991028000004</v>
      </c>
    </row>
    <row r="1431" spans="1:14" x14ac:dyDescent="0.25">
      <c r="A1431">
        <v>1096.197263</v>
      </c>
      <c r="B1431" s="1">
        <f>DATE(2013,5,1) + TIME(4,44,3)</f>
        <v>41395.197256944448</v>
      </c>
      <c r="C1431">
        <v>2400</v>
      </c>
      <c r="D1431">
        <v>0</v>
      </c>
      <c r="E1431">
        <v>0</v>
      </c>
      <c r="F1431">
        <v>2400</v>
      </c>
      <c r="G1431">
        <v>1394.1043701000001</v>
      </c>
      <c r="H1431">
        <v>1376.1848144999999</v>
      </c>
      <c r="I1431">
        <v>1288.5771483999999</v>
      </c>
      <c r="J1431">
        <v>1269.5660399999999</v>
      </c>
      <c r="K1431">
        <v>80</v>
      </c>
      <c r="L1431">
        <v>65.899597168</v>
      </c>
      <c r="M1431">
        <v>50</v>
      </c>
      <c r="N1431">
        <v>49.928943633999999</v>
      </c>
    </row>
    <row r="1432" spans="1:14" x14ac:dyDescent="0.25">
      <c r="A1432">
        <v>1096.2274480000001</v>
      </c>
      <c r="B1432" s="1">
        <f>DATE(2013,5,1) + TIME(5,27,31)</f>
        <v>41395.227442129632</v>
      </c>
      <c r="C1432">
        <v>2400</v>
      </c>
      <c r="D1432">
        <v>0</v>
      </c>
      <c r="E1432">
        <v>0</v>
      </c>
      <c r="F1432">
        <v>2400</v>
      </c>
      <c r="G1432">
        <v>1393.9176024999999</v>
      </c>
      <c r="H1432">
        <v>1376.1340332</v>
      </c>
      <c r="I1432">
        <v>1288.5955810999999</v>
      </c>
      <c r="J1432">
        <v>1269.5841064000001</v>
      </c>
      <c r="K1432">
        <v>80</v>
      </c>
      <c r="L1432">
        <v>66.486366271999998</v>
      </c>
      <c r="M1432">
        <v>50</v>
      </c>
      <c r="N1432">
        <v>49.92483902</v>
      </c>
    </row>
    <row r="1433" spans="1:14" x14ac:dyDescent="0.25">
      <c r="A1433">
        <v>1096.2583529999999</v>
      </c>
      <c r="B1433" s="1">
        <f>DATE(2013,5,1) + TIME(6,12,1)</f>
        <v>41395.258344907408</v>
      </c>
      <c r="C1433">
        <v>2400</v>
      </c>
      <c r="D1433">
        <v>0</v>
      </c>
      <c r="E1433">
        <v>0</v>
      </c>
      <c r="F1433">
        <v>2400</v>
      </c>
      <c r="G1433">
        <v>1393.7210693</v>
      </c>
      <c r="H1433">
        <v>1376.0689697</v>
      </c>
      <c r="I1433">
        <v>1288.6077881000001</v>
      </c>
      <c r="J1433">
        <v>1269.5959473</v>
      </c>
      <c r="K1433">
        <v>80</v>
      </c>
      <c r="L1433">
        <v>67.061920165999993</v>
      </c>
      <c r="M1433">
        <v>50</v>
      </c>
      <c r="N1433">
        <v>49.920681000000002</v>
      </c>
    </row>
    <row r="1434" spans="1:14" x14ac:dyDescent="0.25">
      <c r="A1434">
        <v>1096.2900199999999</v>
      </c>
      <c r="B1434" s="1">
        <f>DATE(2013,5,1) + TIME(6,57,37)</f>
        <v>41395.290011574078</v>
      </c>
      <c r="C1434">
        <v>2400</v>
      </c>
      <c r="D1434">
        <v>0</v>
      </c>
      <c r="E1434">
        <v>0</v>
      </c>
      <c r="F1434">
        <v>2400</v>
      </c>
      <c r="G1434">
        <v>1393.5228271000001</v>
      </c>
      <c r="H1434">
        <v>1375.9974365</v>
      </c>
      <c r="I1434">
        <v>1288.6152344</v>
      </c>
      <c r="J1434">
        <v>1269.6030272999999</v>
      </c>
      <c r="K1434">
        <v>80</v>
      </c>
      <c r="L1434">
        <v>67.626281738000003</v>
      </c>
      <c r="M1434">
        <v>50</v>
      </c>
      <c r="N1434">
        <v>49.916461945000002</v>
      </c>
    </row>
    <row r="1435" spans="1:14" x14ac:dyDescent="0.25">
      <c r="A1435">
        <v>1096.3224949999999</v>
      </c>
      <c r="B1435" s="1">
        <f>DATE(2013,5,1) + TIME(7,44,23)</f>
        <v>41395.322488425925</v>
      </c>
      <c r="C1435">
        <v>2400</v>
      </c>
      <c r="D1435">
        <v>0</v>
      </c>
      <c r="E1435">
        <v>0</v>
      </c>
      <c r="F1435">
        <v>2400</v>
      </c>
      <c r="G1435">
        <v>1393.3265381000001</v>
      </c>
      <c r="H1435">
        <v>1375.9234618999999</v>
      </c>
      <c r="I1435">
        <v>1288.6195068</v>
      </c>
      <c r="J1435">
        <v>1269.6069336</v>
      </c>
      <c r="K1435">
        <v>80</v>
      </c>
      <c r="L1435">
        <v>68.179466247999997</v>
      </c>
      <c r="M1435">
        <v>50</v>
      </c>
      <c r="N1435">
        <v>49.912178040000001</v>
      </c>
    </row>
    <row r="1436" spans="1:14" x14ac:dyDescent="0.25">
      <c r="A1436">
        <v>1096.355824</v>
      </c>
      <c r="B1436" s="1">
        <f>DATE(2013,5,1) + TIME(8,32,23)</f>
        <v>41395.355821759258</v>
      </c>
      <c r="C1436">
        <v>2400</v>
      </c>
      <c r="D1436">
        <v>0</v>
      </c>
      <c r="E1436">
        <v>0</v>
      </c>
      <c r="F1436">
        <v>2400</v>
      </c>
      <c r="G1436">
        <v>1393.1340332</v>
      </c>
      <c r="H1436">
        <v>1375.848999</v>
      </c>
      <c r="I1436">
        <v>1288.6218262</v>
      </c>
      <c r="J1436">
        <v>1269.6088867000001</v>
      </c>
      <c r="K1436">
        <v>80</v>
      </c>
      <c r="L1436">
        <v>68.721504210999996</v>
      </c>
      <c r="M1436">
        <v>50</v>
      </c>
      <c r="N1436">
        <v>49.907825469999999</v>
      </c>
    </row>
    <row r="1437" spans="1:14" x14ac:dyDescent="0.25">
      <c r="A1437">
        <v>1096.3900619999999</v>
      </c>
      <c r="B1437" s="1">
        <f>DATE(2013,5,1) + TIME(9,21,41)</f>
        <v>41395.390057870369</v>
      </c>
      <c r="C1437">
        <v>2400</v>
      </c>
      <c r="D1437">
        <v>0</v>
      </c>
      <c r="E1437">
        <v>0</v>
      </c>
      <c r="F1437">
        <v>2400</v>
      </c>
      <c r="G1437">
        <v>1392.9461670000001</v>
      </c>
      <c r="H1437">
        <v>1375.7751464999999</v>
      </c>
      <c r="I1437">
        <v>1288.6230469</v>
      </c>
      <c r="J1437">
        <v>1269.6096190999999</v>
      </c>
      <c r="K1437">
        <v>80</v>
      </c>
      <c r="L1437">
        <v>69.252387999999996</v>
      </c>
      <c r="M1437">
        <v>50</v>
      </c>
      <c r="N1437">
        <v>49.903396606000001</v>
      </c>
    </row>
    <row r="1438" spans="1:14" x14ac:dyDescent="0.25">
      <c r="A1438">
        <v>1096.4252650000001</v>
      </c>
      <c r="B1438" s="1">
        <f>DATE(2013,5,1) + TIME(10,12,22)</f>
        <v>41395.425254629627</v>
      </c>
      <c r="C1438">
        <v>2400</v>
      </c>
      <c r="D1438">
        <v>0</v>
      </c>
      <c r="E1438">
        <v>0</v>
      </c>
      <c r="F1438">
        <v>2400</v>
      </c>
      <c r="G1438">
        <v>1392.7634277</v>
      </c>
      <c r="H1438">
        <v>1375.7022704999999</v>
      </c>
      <c r="I1438">
        <v>1288.6235352000001</v>
      </c>
      <c r="J1438">
        <v>1269.6097411999999</v>
      </c>
      <c r="K1438">
        <v>80</v>
      </c>
      <c r="L1438">
        <v>69.772109985</v>
      </c>
      <c r="M1438">
        <v>50</v>
      </c>
      <c r="N1438">
        <v>49.898891448999997</v>
      </c>
    </row>
    <row r="1439" spans="1:14" x14ac:dyDescent="0.25">
      <c r="A1439">
        <v>1096.4614959999999</v>
      </c>
      <c r="B1439" s="1">
        <f>DATE(2013,5,1) + TIME(11,4,33)</f>
        <v>41395.461493055554</v>
      </c>
      <c r="C1439">
        <v>2400</v>
      </c>
      <c r="D1439">
        <v>0</v>
      </c>
      <c r="E1439">
        <v>0</v>
      </c>
      <c r="F1439">
        <v>2400</v>
      </c>
      <c r="G1439">
        <v>1392.5856934000001</v>
      </c>
      <c r="H1439">
        <v>1375.6307373</v>
      </c>
      <c r="I1439">
        <v>1288.6236572</v>
      </c>
      <c r="J1439">
        <v>1269.6094971</v>
      </c>
      <c r="K1439">
        <v>80</v>
      </c>
      <c r="L1439">
        <v>70.280448914000004</v>
      </c>
      <c r="M1439">
        <v>50</v>
      </c>
      <c r="N1439">
        <v>49.894302367999998</v>
      </c>
    </row>
    <row r="1440" spans="1:14" x14ac:dyDescent="0.25">
      <c r="A1440">
        <v>1096.4988229999999</v>
      </c>
      <c r="B1440" s="1">
        <f>DATE(2013,5,1) + TIME(11,58,18)</f>
        <v>41395.498819444445</v>
      </c>
      <c r="C1440">
        <v>2400</v>
      </c>
      <c r="D1440">
        <v>0</v>
      </c>
      <c r="E1440">
        <v>0</v>
      </c>
      <c r="F1440">
        <v>2400</v>
      </c>
      <c r="G1440">
        <v>1392.4128418</v>
      </c>
      <c r="H1440">
        <v>1375.5604248</v>
      </c>
      <c r="I1440">
        <v>1288.6235352000001</v>
      </c>
      <c r="J1440">
        <v>1269.6088867000001</v>
      </c>
      <c r="K1440">
        <v>80</v>
      </c>
      <c r="L1440">
        <v>70.777412415000001</v>
      </c>
      <c r="M1440">
        <v>50</v>
      </c>
      <c r="N1440">
        <v>49.889625549000002</v>
      </c>
    </row>
    <row r="1441" spans="1:14" x14ac:dyDescent="0.25">
      <c r="A1441">
        <v>1096.537333</v>
      </c>
      <c r="B1441" s="1">
        <f>DATE(2013,5,1) + TIME(12,53,45)</f>
        <v>41395.537326388891</v>
      </c>
      <c r="C1441">
        <v>2400</v>
      </c>
      <c r="D1441">
        <v>0</v>
      </c>
      <c r="E1441">
        <v>0</v>
      </c>
      <c r="F1441">
        <v>2400</v>
      </c>
      <c r="G1441">
        <v>1392.2448730000001</v>
      </c>
      <c r="H1441">
        <v>1375.4913329999999</v>
      </c>
      <c r="I1441">
        <v>1288.6232910000001</v>
      </c>
      <c r="J1441">
        <v>1269.6081543</v>
      </c>
      <c r="K1441">
        <v>80</v>
      </c>
      <c r="L1441">
        <v>71.263275145999998</v>
      </c>
      <c r="M1441">
        <v>50</v>
      </c>
      <c r="N1441">
        <v>49.884845734000002</v>
      </c>
    </row>
    <row r="1442" spans="1:14" x14ac:dyDescent="0.25">
      <c r="A1442">
        <v>1096.577102</v>
      </c>
      <c r="B1442" s="1">
        <f>DATE(2013,5,1) + TIME(13,51,1)</f>
        <v>41395.577094907407</v>
      </c>
      <c r="C1442">
        <v>2400</v>
      </c>
      <c r="D1442">
        <v>0</v>
      </c>
      <c r="E1442">
        <v>0</v>
      </c>
      <c r="F1442">
        <v>2400</v>
      </c>
      <c r="G1442">
        <v>1392.0814209</v>
      </c>
      <c r="H1442">
        <v>1375.4234618999999</v>
      </c>
      <c r="I1442">
        <v>1288.6229248</v>
      </c>
      <c r="J1442">
        <v>1269.6074219</v>
      </c>
      <c r="K1442">
        <v>80</v>
      </c>
      <c r="L1442">
        <v>71.737884520999998</v>
      </c>
      <c r="M1442">
        <v>50</v>
      </c>
      <c r="N1442">
        <v>49.879962921000001</v>
      </c>
    </row>
    <row r="1443" spans="1:14" x14ac:dyDescent="0.25">
      <c r="A1443">
        <v>1096.618215</v>
      </c>
      <c r="B1443" s="1">
        <f>DATE(2013,5,1) + TIME(14,50,13)</f>
        <v>41395.618206018517</v>
      </c>
      <c r="C1443">
        <v>2400</v>
      </c>
      <c r="D1443">
        <v>0</v>
      </c>
      <c r="E1443">
        <v>0</v>
      </c>
      <c r="F1443">
        <v>2400</v>
      </c>
      <c r="G1443">
        <v>1391.9224853999999</v>
      </c>
      <c r="H1443">
        <v>1375.3568115</v>
      </c>
      <c r="I1443">
        <v>1288.6225586</v>
      </c>
      <c r="J1443">
        <v>1269.6064452999999</v>
      </c>
      <c r="K1443">
        <v>80</v>
      </c>
      <c r="L1443">
        <v>72.201126099000007</v>
      </c>
      <c r="M1443">
        <v>50</v>
      </c>
      <c r="N1443">
        <v>49.874965668000002</v>
      </c>
    </row>
    <row r="1444" spans="1:14" x14ac:dyDescent="0.25">
      <c r="A1444">
        <v>1096.6607730000001</v>
      </c>
      <c r="B1444" s="1">
        <f>DATE(2013,5,1) + TIME(15,51,30)</f>
        <v>41395.660763888889</v>
      </c>
      <c r="C1444">
        <v>2400</v>
      </c>
      <c r="D1444">
        <v>0</v>
      </c>
      <c r="E1444">
        <v>0</v>
      </c>
      <c r="F1444">
        <v>2400</v>
      </c>
      <c r="G1444">
        <v>1391.7677002</v>
      </c>
      <c r="H1444">
        <v>1375.2910156</v>
      </c>
      <c r="I1444">
        <v>1288.6219481999999</v>
      </c>
      <c r="J1444">
        <v>1269.6054687999999</v>
      </c>
      <c r="K1444">
        <v>80</v>
      </c>
      <c r="L1444">
        <v>72.652923584000007</v>
      </c>
      <c r="M1444">
        <v>50</v>
      </c>
      <c r="N1444">
        <v>49.869850159000002</v>
      </c>
    </row>
    <row r="1445" spans="1:14" x14ac:dyDescent="0.25">
      <c r="A1445">
        <v>1096.704886</v>
      </c>
      <c r="B1445" s="1">
        <f>DATE(2013,5,1) + TIME(16,55,2)</f>
        <v>41395.704884259256</v>
      </c>
      <c r="C1445">
        <v>2400</v>
      </c>
      <c r="D1445">
        <v>0</v>
      </c>
      <c r="E1445">
        <v>0</v>
      </c>
      <c r="F1445">
        <v>2400</v>
      </c>
      <c r="G1445">
        <v>1391.6168213000001</v>
      </c>
      <c r="H1445">
        <v>1375.2260742000001</v>
      </c>
      <c r="I1445">
        <v>1288.6214600000001</v>
      </c>
      <c r="J1445">
        <v>1269.6044922000001</v>
      </c>
      <c r="K1445">
        <v>80</v>
      </c>
      <c r="L1445">
        <v>73.093193053999997</v>
      </c>
      <c r="M1445">
        <v>50</v>
      </c>
      <c r="N1445">
        <v>49.864601135000001</v>
      </c>
    </row>
    <row r="1446" spans="1:14" x14ac:dyDescent="0.25">
      <c r="A1446">
        <v>1096.7506780000001</v>
      </c>
      <c r="B1446" s="1">
        <f>DATE(2013,5,1) + TIME(18,0,58)</f>
        <v>41395.750671296293</v>
      </c>
      <c r="C1446">
        <v>2400</v>
      </c>
      <c r="D1446">
        <v>0</v>
      </c>
      <c r="E1446">
        <v>0</v>
      </c>
      <c r="F1446">
        <v>2400</v>
      </c>
      <c r="G1446">
        <v>1391.4697266000001</v>
      </c>
      <c r="H1446">
        <v>1375.1619873</v>
      </c>
      <c r="I1446">
        <v>1288.6208495999999</v>
      </c>
      <c r="J1446">
        <v>1269.6032714999999</v>
      </c>
      <c r="K1446">
        <v>80</v>
      </c>
      <c r="L1446">
        <v>73.521835327000005</v>
      </c>
      <c r="M1446">
        <v>50</v>
      </c>
      <c r="N1446">
        <v>49.859210967999999</v>
      </c>
    </row>
    <row r="1447" spans="1:14" x14ac:dyDescent="0.25">
      <c r="A1447">
        <v>1096.7982850000001</v>
      </c>
      <c r="B1447" s="1">
        <f>DATE(2013,5,1) + TIME(19,9,31)</f>
        <v>41395.798275462963</v>
      </c>
      <c r="C1447">
        <v>2400</v>
      </c>
      <c r="D1447">
        <v>0</v>
      </c>
      <c r="E1447">
        <v>0</v>
      </c>
      <c r="F1447">
        <v>2400</v>
      </c>
      <c r="G1447">
        <v>1391.3261719</v>
      </c>
      <c r="H1447">
        <v>1375.0983887</v>
      </c>
      <c r="I1447">
        <v>1288.6201172000001</v>
      </c>
      <c r="J1447">
        <v>1269.6021728999999</v>
      </c>
      <c r="K1447">
        <v>80</v>
      </c>
      <c r="L1447">
        <v>73.938751221000004</v>
      </c>
      <c r="M1447">
        <v>50</v>
      </c>
      <c r="N1447">
        <v>49.853668212999999</v>
      </c>
    </row>
    <row r="1448" spans="1:14" x14ac:dyDescent="0.25">
      <c r="A1448">
        <v>1096.8478640000001</v>
      </c>
      <c r="B1448" s="1">
        <f>DATE(2013,5,1) + TIME(20,20,55)</f>
        <v>41395.847858796296</v>
      </c>
      <c r="C1448">
        <v>2400</v>
      </c>
      <c r="D1448">
        <v>0</v>
      </c>
      <c r="E1448">
        <v>0</v>
      </c>
      <c r="F1448">
        <v>2400</v>
      </c>
      <c r="G1448">
        <v>1391.1859131000001</v>
      </c>
      <c r="H1448">
        <v>1375.0354004000001</v>
      </c>
      <c r="I1448">
        <v>1288.6193848</v>
      </c>
      <c r="J1448">
        <v>1269.6009521000001</v>
      </c>
      <c r="K1448">
        <v>80</v>
      </c>
      <c r="L1448">
        <v>74.343818665000001</v>
      </c>
      <c r="M1448">
        <v>50</v>
      </c>
      <c r="N1448">
        <v>49.847961425999998</v>
      </c>
    </row>
    <row r="1449" spans="1:14" x14ac:dyDescent="0.25">
      <c r="A1449">
        <v>1096.8995890000001</v>
      </c>
      <c r="B1449" s="1">
        <f>DATE(2013,5,1) + TIME(21,35,24)</f>
        <v>41395.899583333332</v>
      </c>
      <c r="C1449">
        <v>2400</v>
      </c>
      <c r="D1449">
        <v>0</v>
      </c>
      <c r="E1449">
        <v>0</v>
      </c>
      <c r="F1449">
        <v>2400</v>
      </c>
      <c r="G1449">
        <v>1391.0488281</v>
      </c>
      <c r="H1449">
        <v>1374.9727783000001</v>
      </c>
      <c r="I1449">
        <v>1288.6186522999999</v>
      </c>
      <c r="J1449">
        <v>1269.5996094</v>
      </c>
      <c r="K1449">
        <v>80</v>
      </c>
      <c r="L1449">
        <v>74.736900329999997</v>
      </c>
      <c r="M1449">
        <v>50</v>
      </c>
      <c r="N1449">
        <v>49.842067718999999</v>
      </c>
    </row>
    <row r="1450" spans="1:14" x14ac:dyDescent="0.25">
      <c r="A1450">
        <v>1096.953657</v>
      </c>
      <c r="B1450" s="1">
        <f>DATE(2013,5,1) + TIME(22,53,15)</f>
        <v>41395.953645833331</v>
      </c>
      <c r="C1450">
        <v>2400</v>
      </c>
      <c r="D1450">
        <v>0</v>
      </c>
      <c r="E1450">
        <v>0</v>
      </c>
      <c r="F1450">
        <v>2400</v>
      </c>
      <c r="G1450">
        <v>1390.9145507999999</v>
      </c>
      <c r="H1450">
        <v>1374.9104004000001</v>
      </c>
      <c r="I1450">
        <v>1288.6177978999999</v>
      </c>
      <c r="J1450">
        <v>1269.5981445</v>
      </c>
      <c r="K1450">
        <v>80</v>
      </c>
      <c r="L1450">
        <v>75.117774963000002</v>
      </c>
      <c r="M1450">
        <v>50</v>
      </c>
      <c r="N1450">
        <v>49.835975646999998</v>
      </c>
    </row>
    <row r="1451" spans="1:14" x14ac:dyDescent="0.25">
      <c r="A1451">
        <v>1097.0103079999999</v>
      </c>
      <c r="B1451" s="1">
        <f>DATE(2013,5,2) + TIME(0,14,50)</f>
        <v>41396.010300925926</v>
      </c>
      <c r="C1451">
        <v>2400</v>
      </c>
      <c r="D1451">
        <v>0</v>
      </c>
      <c r="E1451">
        <v>0</v>
      </c>
      <c r="F1451">
        <v>2400</v>
      </c>
      <c r="G1451">
        <v>1390.7829589999999</v>
      </c>
      <c r="H1451">
        <v>1374.8480225000001</v>
      </c>
      <c r="I1451">
        <v>1288.6168213000001</v>
      </c>
      <c r="J1451">
        <v>1269.5966797000001</v>
      </c>
      <c r="K1451">
        <v>80</v>
      </c>
      <c r="L1451">
        <v>75.486251831000004</v>
      </c>
      <c r="M1451">
        <v>50</v>
      </c>
      <c r="N1451">
        <v>49.829666138</v>
      </c>
    </row>
    <row r="1452" spans="1:14" x14ac:dyDescent="0.25">
      <c r="A1452">
        <v>1097.0698179999999</v>
      </c>
      <c r="B1452" s="1">
        <f>DATE(2013,5,2) + TIME(1,40,32)</f>
        <v>41396.069814814815</v>
      </c>
      <c r="C1452">
        <v>2400</v>
      </c>
      <c r="D1452">
        <v>0</v>
      </c>
      <c r="E1452">
        <v>0</v>
      </c>
      <c r="F1452">
        <v>2400</v>
      </c>
      <c r="G1452">
        <v>1390.6538086</v>
      </c>
      <c r="H1452">
        <v>1374.7856445</v>
      </c>
      <c r="I1452">
        <v>1288.6159668</v>
      </c>
      <c r="J1452">
        <v>1269.5952147999999</v>
      </c>
      <c r="K1452">
        <v>80</v>
      </c>
      <c r="L1452">
        <v>75.842430114999999</v>
      </c>
      <c r="M1452">
        <v>50</v>
      </c>
      <c r="N1452">
        <v>49.823116302000003</v>
      </c>
    </row>
    <row r="1453" spans="1:14" x14ac:dyDescent="0.25">
      <c r="A1453">
        <v>1097.132462</v>
      </c>
      <c r="B1453" s="1">
        <f>DATE(2013,5,2) + TIME(3,10,44)</f>
        <v>41396.132453703707</v>
      </c>
      <c r="C1453">
        <v>2400</v>
      </c>
      <c r="D1453">
        <v>0</v>
      </c>
      <c r="E1453">
        <v>0</v>
      </c>
      <c r="F1453">
        <v>2400</v>
      </c>
      <c r="G1453">
        <v>1390.5268555</v>
      </c>
      <c r="H1453">
        <v>1374.7231445</v>
      </c>
      <c r="I1453">
        <v>1288.6148682</v>
      </c>
      <c r="J1453">
        <v>1269.5935059000001</v>
      </c>
      <c r="K1453">
        <v>80</v>
      </c>
      <c r="L1453">
        <v>76.185958862000007</v>
      </c>
      <c r="M1453">
        <v>50</v>
      </c>
      <c r="N1453">
        <v>49.816295623999999</v>
      </c>
    </row>
    <row r="1454" spans="1:14" x14ac:dyDescent="0.25">
      <c r="A1454">
        <v>1097.198586</v>
      </c>
      <c r="B1454" s="1">
        <f>DATE(2013,5,2) + TIME(4,45,57)</f>
        <v>41396.198576388888</v>
      </c>
      <c r="C1454">
        <v>2400</v>
      </c>
      <c r="D1454">
        <v>0</v>
      </c>
      <c r="E1454">
        <v>0</v>
      </c>
      <c r="F1454">
        <v>2400</v>
      </c>
      <c r="G1454">
        <v>1390.4018555</v>
      </c>
      <c r="H1454">
        <v>1374.6601562000001</v>
      </c>
      <c r="I1454">
        <v>1288.6137695</v>
      </c>
      <c r="J1454">
        <v>1269.5917969</v>
      </c>
      <c r="K1454">
        <v>80</v>
      </c>
      <c r="L1454">
        <v>76.516639709000003</v>
      </c>
      <c r="M1454">
        <v>50</v>
      </c>
      <c r="N1454">
        <v>49.809185028000002</v>
      </c>
    </row>
    <row r="1455" spans="1:14" x14ac:dyDescent="0.25">
      <c r="A1455">
        <v>1097.268599</v>
      </c>
      <c r="B1455" s="1">
        <f>DATE(2013,5,2) + TIME(6,26,46)</f>
        <v>41396.268587962964</v>
      </c>
      <c r="C1455">
        <v>2400</v>
      </c>
      <c r="D1455">
        <v>0</v>
      </c>
      <c r="E1455">
        <v>0</v>
      </c>
      <c r="F1455">
        <v>2400</v>
      </c>
      <c r="G1455">
        <v>1390.2786865</v>
      </c>
      <c r="H1455">
        <v>1374.5966797000001</v>
      </c>
      <c r="I1455">
        <v>1288.6126709</v>
      </c>
      <c r="J1455">
        <v>1269.5899658000001</v>
      </c>
      <c r="K1455">
        <v>80</v>
      </c>
      <c r="L1455">
        <v>76.834259032999995</v>
      </c>
      <c r="M1455">
        <v>50</v>
      </c>
      <c r="N1455">
        <v>49.801746368000003</v>
      </c>
    </row>
    <row r="1456" spans="1:14" x14ac:dyDescent="0.25">
      <c r="A1456">
        <v>1097.3429799999999</v>
      </c>
      <c r="B1456" s="1">
        <f>DATE(2013,5,2) + TIME(8,13,53)</f>
        <v>41396.342974537038</v>
      </c>
      <c r="C1456">
        <v>2400</v>
      </c>
      <c r="D1456">
        <v>0</v>
      </c>
      <c r="E1456">
        <v>0</v>
      </c>
      <c r="F1456">
        <v>2400</v>
      </c>
      <c r="G1456">
        <v>1390.1568603999999</v>
      </c>
      <c r="H1456">
        <v>1374.5324707</v>
      </c>
      <c r="I1456">
        <v>1288.6114502</v>
      </c>
      <c r="J1456">
        <v>1269.5881348</v>
      </c>
      <c r="K1456">
        <v>80</v>
      </c>
      <c r="L1456">
        <v>77.138580321999996</v>
      </c>
      <c r="M1456">
        <v>50</v>
      </c>
      <c r="N1456">
        <v>49.793937683000003</v>
      </c>
    </row>
    <row r="1457" spans="1:14" x14ac:dyDescent="0.25">
      <c r="A1457">
        <v>1097.4222850000001</v>
      </c>
      <c r="B1457" s="1">
        <f>DATE(2013,5,2) + TIME(10,8,5)</f>
        <v>41396.422280092593</v>
      </c>
      <c r="C1457">
        <v>2400</v>
      </c>
      <c r="D1457">
        <v>0</v>
      </c>
      <c r="E1457">
        <v>0</v>
      </c>
      <c r="F1457">
        <v>2400</v>
      </c>
      <c r="G1457">
        <v>1390.0363769999999</v>
      </c>
      <c r="H1457">
        <v>1374.4672852000001</v>
      </c>
      <c r="I1457">
        <v>1288.6101074000001</v>
      </c>
      <c r="J1457">
        <v>1269.5860596</v>
      </c>
      <c r="K1457">
        <v>80</v>
      </c>
      <c r="L1457">
        <v>77.429298400999997</v>
      </c>
      <c r="M1457">
        <v>50</v>
      </c>
      <c r="N1457">
        <v>49.785717009999999</v>
      </c>
    </row>
    <row r="1458" spans="1:14" x14ac:dyDescent="0.25">
      <c r="A1458">
        <v>1097.507218</v>
      </c>
      <c r="B1458" s="1">
        <f>DATE(2013,5,2) + TIME(12,10,23)</f>
        <v>41396.507210648146</v>
      </c>
      <c r="C1458">
        <v>2400</v>
      </c>
      <c r="D1458">
        <v>0</v>
      </c>
      <c r="E1458">
        <v>0</v>
      </c>
      <c r="F1458">
        <v>2400</v>
      </c>
      <c r="G1458">
        <v>1389.9168701000001</v>
      </c>
      <c r="H1458">
        <v>1374.401001</v>
      </c>
      <c r="I1458">
        <v>1288.6086425999999</v>
      </c>
      <c r="J1458">
        <v>1269.5838623</v>
      </c>
      <c r="K1458">
        <v>80</v>
      </c>
      <c r="L1458">
        <v>77.706199646000002</v>
      </c>
      <c r="M1458">
        <v>50</v>
      </c>
      <c r="N1458">
        <v>49.77702713</v>
      </c>
    </row>
    <row r="1459" spans="1:14" x14ac:dyDescent="0.25">
      <c r="A1459">
        <v>1097.5986210000001</v>
      </c>
      <c r="B1459" s="1">
        <f>DATE(2013,5,2) + TIME(14,22,0)</f>
        <v>41396.598611111112</v>
      </c>
      <c r="C1459">
        <v>2400</v>
      </c>
      <c r="D1459">
        <v>0</v>
      </c>
      <c r="E1459">
        <v>0</v>
      </c>
      <c r="F1459">
        <v>2400</v>
      </c>
      <c r="G1459">
        <v>1389.7978516000001</v>
      </c>
      <c r="H1459">
        <v>1374.3332519999999</v>
      </c>
      <c r="I1459">
        <v>1288.6071777</v>
      </c>
      <c r="J1459">
        <v>1269.581543</v>
      </c>
      <c r="K1459">
        <v>80</v>
      </c>
      <c r="L1459">
        <v>77.969001770000006</v>
      </c>
      <c r="M1459">
        <v>50</v>
      </c>
      <c r="N1459">
        <v>49.767803192000002</v>
      </c>
    </row>
    <row r="1460" spans="1:14" x14ac:dyDescent="0.25">
      <c r="A1460">
        <v>1097.697529</v>
      </c>
      <c r="B1460" s="1">
        <f>DATE(2013,5,2) + TIME(16,44,26)</f>
        <v>41396.697523148148</v>
      </c>
      <c r="C1460">
        <v>2400</v>
      </c>
      <c r="D1460">
        <v>0</v>
      </c>
      <c r="E1460">
        <v>0</v>
      </c>
      <c r="F1460">
        <v>2400</v>
      </c>
      <c r="G1460">
        <v>1389.6791992000001</v>
      </c>
      <c r="H1460">
        <v>1374.2636719</v>
      </c>
      <c r="I1460">
        <v>1288.6054687999999</v>
      </c>
      <c r="J1460">
        <v>1269.5791016000001</v>
      </c>
      <c r="K1460">
        <v>80</v>
      </c>
      <c r="L1460">
        <v>78.217391968000001</v>
      </c>
      <c r="M1460">
        <v>50</v>
      </c>
      <c r="N1460">
        <v>49.757957458</v>
      </c>
    </row>
    <row r="1461" spans="1:14" x14ac:dyDescent="0.25">
      <c r="A1461">
        <v>1097.8052439999999</v>
      </c>
      <c r="B1461" s="1">
        <f>DATE(2013,5,2) + TIME(19,19,33)</f>
        <v>41396.805243055554</v>
      </c>
      <c r="C1461">
        <v>2400</v>
      </c>
      <c r="D1461">
        <v>0</v>
      </c>
      <c r="E1461">
        <v>0</v>
      </c>
      <c r="F1461">
        <v>2400</v>
      </c>
      <c r="G1461">
        <v>1389.5601807</v>
      </c>
      <c r="H1461">
        <v>1374.1920166</v>
      </c>
      <c r="I1461">
        <v>1288.6036377</v>
      </c>
      <c r="J1461">
        <v>1269.5764160000001</v>
      </c>
      <c r="K1461">
        <v>80</v>
      </c>
      <c r="L1461">
        <v>78.451011657999999</v>
      </c>
      <c r="M1461">
        <v>50</v>
      </c>
      <c r="N1461">
        <v>49.747394561999997</v>
      </c>
    </row>
    <row r="1462" spans="1:14" x14ac:dyDescent="0.25">
      <c r="A1462">
        <v>1097.9183149999999</v>
      </c>
      <c r="B1462" s="1">
        <f>DATE(2013,5,2) + TIME(22,2,22)</f>
        <v>41396.918310185189</v>
      </c>
      <c r="C1462">
        <v>2400</v>
      </c>
      <c r="D1462">
        <v>0</v>
      </c>
      <c r="E1462">
        <v>0</v>
      </c>
      <c r="F1462">
        <v>2400</v>
      </c>
      <c r="G1462">
        <v>1389.4445800999999</v>
      </c>
      <c r="H1462">
        <v>1374.1198730000001</v>
      </c>
      <c r="I1462">
        <v>1288.6016846</v>
      </c>
      <c r="J1462">
        <v>1269.5734863</v>
      </c>
      <c r="K1462">
        <v>80</v>
      </c>
      <c r="L1462">
        <v>78.661415099999999</v>
      </c>
      <c r="M1462">
        <v>50</v>
      </c>
      <c r="N1462">
        <v>49.736419677999997</v>
      </c>
    </row>
    <row r="1463" spans="1:14" x14ac:dyDescent="0.25">
      <c r="A1463">
        <v>1098.031888</v>
      </c>
      <c r="B1463" s="1">
        <f>DATE(2013,5,3) + TIME(0,45,55)</f>
        <v>41397.031886574077</v>
      </c>
      <c r="C1463">
        <v>2400</v>
      </c>
      <c r="D1463">
        <v>0</v>
      </c>
      <c r="E1463">
        <v>0</v>
      </c>
      <c r="F1463">
        <v>2400</v>
      </c>
      <c r="G1463">
        <v>1389.3359375</v>
      </c>
      <c r="H1463">
        <v>1374.0495605000001</v>
      </c>
      <c r="I1463">
        <v>1288.5994873</v>
      </c>
      <c r="J1463">
        <v>1269.5704346</v>
      </c>
      <c r="K1463">
        <v>80</v>
      </c>
      <c r="L1463">
        <v>78.842620850000003</v>
      </c>
      <c r="M1463">
        <v>50</v>
      </c>
      <c r="N1463">
        <v>49.725448608000001</v>
      </c>
    </row>
    <row r="1464" spans="1:14" x14ac:dyDescent="0.25">
      <c r="A1464">
        <v>1098.1465290000001</v>
      </c>
      <c r="B1464" s="1">
        <f>DATE(2013,5,3) + TIME(3,31,0)</f>
        <v>41397.146527777775</v>
      </c>
      <c r="C1464">
        <v>2400</v>
      </c>
      <c r="D1464">
        <v>0</v>
      </c>
      <c r="E1464">
        <v>0</v>
      </c>
      <c r="F1464">
        <v>2400</v>
      </c>
      <c r="G1464">
        <v>1389.2336425999999</v>
      </c>
      <c r="H1464">
        <v>1373.9818115</v>
      </c>
      <c r="I1464">
        <v>1288.5972899999999</v>
      </c>
      <c r="J1464">
        <v>1269.5673827999999</v>
      </c>
      <c r="K1464">
        <v>80</v>
      </c>
      <c r="L1464">
        <v>78.999267578000001</v>
      </c>
      <c r="M1464">
        <v>50</v>
      </c>
      <c r="N1464">
        <v>49.714427948000001</v>
      </c>
    </row>
    <row r="1465" spans="1:14" x14ac:dyDescent="0.25">
      <c r="A1465">
        <v>1098.2625989999999</v>
      </c>
      <c r="B1465" s="1">
        <f>DATE(2013,5,3) + TIME(6,18,8)</f>
        <v>41397.262592592589</v>
      </c>
      <c r="C1465">
        <v>2400</v>
      </c>
      <c r="D1465">
        <v>0</v>
      </c>
      <c r="E1465">
        <v>0</v>
      </c>
      <c r="F1465">
        <v>2400</v>
      </c>
      <c r="G1465">
        <v>1389.1367187999999</v>
      </c>
      <c r="H1465">
        <v>1373.9161377</v>
      </c>
      <c r="I1465">
        <v>1288.5950928</v>
      </c>
      <c r="J1465">
        <v>1269.5643310999999</v>
      </c>
      <c r="K1465">
        <v>80</v>
      </c>
      <c r="L1465">
        <v>79.134849548000005</v>
      </c>
      <c r="M1465">
        <v>50</v>
      </c>
      <c r="N1465">
        <v>49.703334808000001</v>
      </c>
    </row>
    <row r="1466" spans="1:14" x14ac:dyDescent="0.25">
      <c r="A1466">
        <v>1098.3801080000001</v>
      </c>
      <c r="B1466" s="1">
        <f>DATE(2013,5,3) + TIME(9,7,21)</f>
        <v>41397.380104166667</v>
      </c>
      <c r="C1466">
        <v>2400</v>
      </c>
      <c r="D1466">
        <v>0</v>
      </c>
      <c r="E1466">
        <v>0</v>
      </c>
      <c r="F1466">
        <v>2400</v>
      </c>
      <c r="G1466">
        <v>1389.0445557</v>
      </c>
      <c r="H1466">
        <v>1373.8524170000001</v>
      </c>
      <c r="I1466">
        <v>1288.5928954999999</v>
      </c>
      <c r="J1466">
        <v>1269.5611572</v>
      </c>
      <c r="K1466">
        <v>80</v>
      </c>
      <c r="L1466">
        <v>79.252014160000002</v>
      </c>
      <c r="M1466">
        <v>50</v>
      </c>
      <c r="N1466">
        <v>49.692161560000002</v>
      </c>
    </row>
    <row r="1467" spans="1:14" x14ac:dyDescent="0.25">
      <c r="A1467">
        <v>1098.4992319999999</v>
      </c>
      <c r="B1467" s="1">
        <f>DATE(2013,5,3) + TIME(11,58,53)</f>
        <v>41397.499224537038</v>
      </c>
      <c r="C1467">
        <v>2400</v>
      </c>
      <c r="D1467">
        <v>0</v>
      </c>
      <c r="E1467">
        <v>0</v>
      </c>
      <c r="F1467">
        <v>2400</v>
      </c>
      <c r="G1467">
        <v>1388.9566649999999</v>
      </c>
      <c r="H1467">
        <v>1373.7904053</v>
      </c>
      <c r="I1467">
        <v>1288.5905762</v>
      </c>
      <c r="J1467">
        <v>1269.5581055</v>
      </c>
      <c r="K1467">
        <v>80</v>
      </c>
      <c r="L1467">
        <v>79.353195189999994</v>
      </c>
      <c r="M1467">
        <v>50</v>
      </c>
      <c r="N1467">
        <v>49.680892944</v>
      </c>
    </row>
    <row r="1468" spans="1:14" x14ac:dyDescent="0.25">
      <c r="A1468">
        <v>1098.6203190000001</v>
      </c>
      <c r="B1468" s="1">
        <f>DATE(2013,5,3) + TIME(14,53,15)</f>
        <v>41397.620312500003</v>
      </c>
      <c r="C1468">
        <v>2400</v>
      </c>
      <c r="D1468">
        <v>0</v>
      </c>
      <c r="E1468">
        <v>0</v>
      </c>
      <c r="F1468">
        <v>2400</v>
      </c>
      <c r="G1468">
        <v>1388.8724365</v>
      </c>
      <c r="H1468">
        <v>1373.7299805</v>
      </c>
      <c r="I1468">
        <v>1288.5883789</v>
      </c>
      <c r="J1468">
        <v>1269.5548096</v>
      </c>
      <c r="K1468">
        <v>80</v>
      </c>
      <c r="L1468">
        <v>79.440635681000003</v>
      </c>
      <c r="M1468">
        <v>50</v>
      </c>
      <c r="N1468">
        <v>49.669506073000001</v>
      </c>
    </row>
    <row r="1469" spans="1:14" x14ac:dyDescent="0.25">
      <c r="A1469">
        <v>1098.7436250000001</v>
      </c>
      <c r="B1469" s="1">
        <f>DATE(2013,5,3) + TIME(17,50,49)</f>
        <v>41397.743622685186</v>
      </c>
      <c r="C1469">
        <v>2400</v>
      </c>
      <c r="D1469">
        <v>0</v>
      </c>
      <c r="E1469">
        <v>0</v>
      </c>
      <c r="F1469">
        <v>2400</v>
      </c>
      <c r="G1469">
        <v>1388.7915039</v>
      </c>
      <c r="H1469">
        <v>1373.6707764</v>
      </c>
      <c r="I1469">
        <v>1288.5859375</v>
      </c>
      <c r="J1469">
        <v>1269.5516356999999</v>
      </c>
      <c r="K1469">
        <v>80</v>
      </c>
      <c r="L1469">
        <v>79.516136169000006</v>
      </c>
      <c r="M1469">
        <v>50</v>
      </c>
      <c r="N1469">
        <v>49.657970427999999</v>
      </c>
    </row>
    <row r="1470" spans="1:14" x14ac:dyDescent="0.25">
      <c r="A1470">
        <v>1098.869453</v>
      </c>
      <c r="B1470" s="1">
        <f>DATE(2013,5,3) + TIME(20,52,0)</f>
        <v>41397.869444444441</v>
      </c>
      <c r="C1470">
        <v>2400</v>
      </c>
      <c r="D1470">
        <v>0</v>
      </c>
      <c r="E1470">
        <v>0</v>
      </c>
      <c r="F1470">
        <v>2400</v>
      </c>
      <c r="G1470">
        <v>1388.7131348</v>
      </c>
      <c r="H1470">
        <v>1373.6126709</v>
      </c>
      <c r="I1470">
        <v>1288.5836182</v>
      </c>
      <c r="J1470">
        <v>1269.5482178</v>
      </c>
      <c r="K1470">
        <v>80</v>
      </c>
      <c r="L1470">
        <v>79.581275939999998</v>
      </c>
      <c r="M1470">
        <v>50</v>
      </c>
      <c r="N1470">
        <v>49.646270752</v>
      </c>
    </row>
    <row r="1471" spans="1:14" x14ac:dyDescent="0.25">
      <c r="A1471">
        <v>1098.998128</v>
      </c>
      <c r="B1471" s="1">
        <f>DATE(2013,5,3) + TIME(23,57,18)</f>
        <v>41397.998124999998</v>
      </c>
      <c r="C1471">
        <v>2400</v>
      </c>
      <c r="D1471">
        <v>0</v>
      </c>
      <c r="E1471">
        <v>0</v>
      </c>
      <c r="F1471">
        <v>2400</v>
      </c>
      <c r="G1471">
        <v>1388.637207</v>
      </c>
      <c r="H1471">
        <v>1373.5556641000001</v>
      </c>
      <c r="I1471">
        <v>1288.5811768000001</v>
      </c>
      <c r="J1471">
        <v>1269.5449219</v>
      </c>
      <c r="K1471">
        <v>80</v>
      </c>
      <c r="L1471">
        <v>79.637435913000004</v>
      </c>
      <c r="M1471">
        <v>50</v>
      </c>
      <c r="N1471">
        <v>49.634376525999997</v>
      </c>
    </row>
    <row r="1472" spans="1:14" x14ac:dyDescent="0.25">
      <c r="A1472">
        <v>1099.1299919999999</v>
      </c>
      <c r="B1472" s="1">
        <f>DATE(2013,5,4) + TIME(3,7,11)</f>
        <v>41398.129988425928</v>
      </c>
      <c r="C1472">
        <v>2400</v>
      </c>
      <c r="D1472">
        <v>0</v>
      </c>
      <c r="E1472">
        <v>0</v>
      </c>
      <c r="F1472">
        <v>2400</v>
      </c>
      <c r="G1472">
        <v>1388.5632324000001</v>
      </c>
      <c r="H1472">
        <v>1373.4993896000001</v>
      </c>
      <c r="I1472">
        <v>1288.5786132999999</v>
      </c>
      <c r="J1472">
        <v>1269.5413818</v>
      </c>
      <c r="K1472">
        <v>80</v>
      </c>
      <c r="L1472">
        <v>79.685768127000003</v>
      </c>
      <c r="M1472">
        <v>50</v>
      </c>
      <c r="N1472">
        <v>49.622261047000002</v>
      </c>
    </row>
    <row r="1473" spans="1:14" x14ac:dyDescent="0.25">
      <c r="A1473">
        <v>1099.265412</v>
      </c>
      <c r="B1473" s="1">
        <f>DATE(2013,5,4) + TIME(6,22,11)</f>
        <v>41398.265405092592</v>
      </c>
      <c r="C1473">
        <v>2400</v>
      </c>
      <c r="D1473">
        <v>0</v>
      </c>
      <c r="E1473">
        <v>0</v>
      </c>
      <c r="F1473">
        <v>2400</v>
      </c>
      <c r="G1473">
        <v>1388.4909668</v>
      </c>
      <c r="H1473">
        <v>1373.4438477000001</v>
      </c>
      <c r="I1473">
        <v>1288.5760498</v>
      </c>
      <c r="J1473">
        <v>1269.5378418</v>
      </c>
      <c r="K1473">
        <v>80</v>
      </c>
      <c r="L1473">
        <v>79.727310181000007</v>
      </c>
      <c r="M1473">
        <v>50</v>
      </c>
      <c r="N1473">
        <v>49.609897613999998</v>
      </c>
    </row>
    <row r="1474" spans="1:14" x14ac:dyDescent="0.25">
      <c r="A1474">
        <v>1099.4047880000001</v>
      </c>
      <c r="B1474" s="1">
        <f>DATE(2013,5,4) + TIME(9,42,53)</f>
        <v>41398.404780092591</v>
      </c>
      <c r="C1474">
        <v>2400</v>
      </c>
      <c r="D1474">
        <v>0</v>
      </c>
      <c r="E1474">
        <v>0</v>
      </c>
      <c r="F1474">
        <v>2400</v>
      </c>
      <c r="G1474">
        <v>1388.4201660000001</v>
      </c>
      <c r="H1474">
        <v>1373.3887939000001</v>
      </c>
      <c r="I1474">
        <v>1288.5733643000001</v>
      </c>
      <c r="J1474">
        <v>1269.5341797000001</v>
      </c>
      <c r="K1474">
        <v>80</v>
      </c>
      <c r="L1474">
        <v>79.762924193999993</v>
      </c>
      <c r="M1474">
        <v>50</v>
      </c>
      <c r="N1474">
        <v>49.597248077000003</v>
      </c>
    </row>
    <row r="1475" spans="1:14" x14ac:dyDescent="0.25">
      <c r="A1475">
        <v>1099.548556</v>
      </c>
      <c r="B1475" s="1">
        <f>DATE(2013,5,4) + TIME(13,9,55)</f>
        <v>41398.54855324074</v>
      </c>
      <c r="C1475">
        <v>2400</v>
      </c>
      <c r="D1475">
        <v>0</v>
      </c>
      <c r="E1475">
        <v>0</v>
      </c>
      <c r="F1475">
        <v>2400</v>
      </c>
      <c r="G1475">
        <v>1388.3504639</v>
      </c>
      <c r="H1475">
        <v>1373.3342285000001</v>
      </c>
      <c r="I1475">
        <v>1288.5706786999999</v>
      </c>
      <c r="J1475">
        <v>1269.5303954999999</v>
      </c>
      <c r="K1475">
        <v>80</v>
      </c>
      <c r="L1475">
        <v>79.793395996000001</v>
      </c>
      <c r="M1475">
        <v>50</v>
      </c>
      <c r="N1475">
        <v>49.584285735999998</v>
      </c>
    </row>
    <row r="1476" spans="1:14" x14ac:dyDescent="0.25">
      <c r="A1476">
        <v>1099.6972020000001</v>
      </c>
      <c r="B1476" s="1">
        <f>DATE(2013,5,4) + TIME(16,43,58)</f>
        <v>41398.697199074071</v>
      </c>
      <c r="C1476">
        <v>2400</v>
      </c>
      <c r="D1476">
        <v>0</v>
      </c>
      <c r="E1476">
        <v>0</v>
      </c>
      <c r="F1476">
        <v>2400</v>
      </c>
      <c r="G1476">
        <v>1388.2816161999999</v>
      </c>
      <c r="H1476">
        <v>1373.2797852000001</v>
      </c>
      <c r="I1476">
        <v>1288.5678711</v>
      </c>
      <c r="J1476">
        <v>1269.5264893000001</v>
      </c>
      <c r="K1476">
        <v>80</v>
      </c>
      <c r="L1476">
        <v>79.819396972999996</v>
      </c>
      <c r="M1476">
        <v>50</v>
      </c>
      <c r="N1476">
        <v>49.570972443000002</v>
      </c>
    </row>
    <row r="1477" spans="1:14" x14ac:dyDescent="0.25">
      <c r="A1477">
        <v>1099.8512639999999</v>
      </c>
      <c r="B1477" s="1">
        <f>DATE(2013,5,4) + TIME(20,25,49)</f>
        <v>41398.851261574076</v>
      </c>
      <c r="C1477">
        <v>2400</v>
      </c>
      <c r="D1477">
        <v>0</v>
      </c>
      <c r="E1477">
        <v>0</v>
      </c>
      <c r="F1477">
        <v>2400</v>
      </c>
      <c r="G1477">
        <v>1388.2133789</v>
      </c>
      <c r="H1477">
        <v>1373.2255858999999</v>
      </c>
      <c r="I1477">
        <v>1288.5649414</v>
      </c>
      <c r="J1477">
        <v>1269.5224608999999</v>
      </c>
      <c r="K1477">
        <v>80</v>
      </c>
      <c r="L1477">
        <v>79.841506957999997</v>
      </c>
      <c r="M1477">
        <v>50</v>
      </c>
      <c r="N1477">
        <v>49.557266235</v>
      </c>
    </row>
    <row r="1478" spans="1:14" x14ac:dyDescent="0.25">
      <c r="A1478">
        <v>1100.0114189999999</v>
      </c>
      <c r="B1478" s="1">
        <f>DATE(2013,5,5) + TIME(0,16,26)</f>
        <v>41399.011412037034</v>
      </c>
      <c r="C1478">
        <v>2400</v>
      </c>
      <c r="D1478">
        <v>0</v>
      </c>
      <c r="E1478">
        <v>0</v>
      </c>
      <c r="F1478">
        <v>2400</v>
      </c>
      <c r="G1478">
        <v>1388.1456298999999</v>
      </c>
      <c r="H1478">
        <v>1373.1713867000001</v>
      </c>
      <c r="I1478">
        <v>1288.5618896000001</v>
      </c>
      <c r="J1478">
        <v>1269.5183105000001</v>
      </c>
      <c r="K1478">
        <v>80</v>
      </c>
      <c r="L1478">
        <v>79.860252380000006</v>
      </c>
      <c r="M1478">
        <v>50</v>
      </c>
      <c r="N1478">
        <v>49.543117522999999</v>
      </c>
    </row>
    <row r="1479" spans="1:14" x14ac:dyDescent="0.25">
      <c r="A1479">
        <v>1100.1783350000001</v>
      </c>
      <c r="B1479" s="1">
        <f>DATE(2013,5,5) + TIME(4,16,48)</f>
        <v>41399.178333333337</v>
      </c>
      <c r="C1479">
        <v>2400</v>
      </c>
      <c r="D1479">
        <v>0</v>
      </c>
      <c r="E1479">
        <v>0</v>
      </c>
      <c r="F1479">
        <v>2400</v>
      </c>
      <c r="G1479">
        <v>1388.0780029</v>
      </c>
      <c r="H1479">
        <v>1373.1169434000001</v>
      </c>
      <c r="I1479">
        <v>1288.5587158000001</v>
      </c>
      <c r="J1479">
        <v>1269.5139160000001</v>
      </c>
      <c r="K1479">
        <v>80</v>
      </c>
      <c r="L1479">
        <v>79.876083374000004</v>
      </c>
      <c r="M1479">
        <v>50</v>
      </c>
      <c r="N1479">
        <v>49.528476714999996</v>
      </c>
    </row>
    <row r="1480" spans="1:14" x14ac:dyDescent="0.25">
      <c r="A1480">
        <v>1100.352766</v>
      </c>
      <c r="B1480" s="1">
        <f>DATE(2013,5,5) + TIME(8,27,58)</f>
        <v>41399.352754629632</v>
      </c>
      <c r="C1480">
        <v>2400</v>
      </c>
      <c r="D1480">
        <v>0</v>
      </c>
      <c r="E1480">
        <v>0</v>
      </c>
      <c r="F1480">
        <v>2400</v>
      </c>
      <c r="G1480">
        <v>1388.010376</v>
      </c>
      <c r="H1480">
        <v>1373.0622559000001</v>
      </c>
      <c r="I1480">
        <v>1288.5554199000001</v>
      </c>
      <c r="J1480">
        <v>1269.5093993999999</v>
      </c>
      <c r="K1480">
        <v>80</v>
      </c>
      <c r="L1480">
        <v>79.889396667</v>
      </c>
      <c r="M1480">
        <v>50</v>
      </c>
      <c r="N1480">
        <v>49.513286591000004</v>
      </c>
    </row>
    <row r="1481" spans="1:14" x14ac:dyDescent="0.25">
      <c r="A1481">
        <v>1100.534766</v>
      </c>
      <c r="B1481" s="1">
        <f>DATE(2013,5,5) + TIME(12,50,3)</f>
        <v>41399.534756944442</v>
      </c>
      <c r="C1481">
        <v>2400</v>
      </c>
      <c r="D1481">
        <v>0</v>
      </c>
      <c r="E1481">
        <v>0</v>
      </c>
      <c r="F1481">
        <v>2400</v>
      </c>
      <c r="G1481">
        <v>1387.9425048999999</v>
      </c>
      <c r="H1481">
        <v>1373.0070800999999</v>
      </c>
      <c r="I1481">
        <v>1288.5518798999999</v>
      </c>
      <c r="J1481">
        <v>1269.5046387</v>
      </c>
      <c r="K1481">
        <v>80</v>
      </c>
      <c r="L1481">
        <v>79.900489807</v>
      </c>
      <c r="M1481">
        <v>50</v>
      </c>
      <c r="N1481">
        <v>49.497547150000003</v>
      </c>
    </row>
    <row r="1482" spans="1:14" x14ac:dyDescent="0.25">
      <c r="A1482">
        <v>1100.723497</v>
      </c>
      <c r="B1482" s="1">
        <f>DATE(2013,5,5) + TIME(17,21,50)</f>
        <v>41399.723495370374</v>
      </c>
      <c r="C1482">
        <v>2400</v>
      </c>
      <c r="D1482">
        <v>0</v>
      </c>
      <c r="E1482">
        <v>0</v>
      </c>
      <c r="F1482">
        <v>2400</v>
      </c>
      <c r="G1482">
        <v>1387.8742675999999</v>
      </c>
      <c r="H1482">
        <v>1372.9515381000001</v>
      </c>
      <c r="I1482">
        <v>1288.5482178</v>
      </c>
      <c r="J1482">
        <v>1269.4997559000001</v>
      </c>
      <c r="K1482">
        <v>80</v>
      </c>
      <c r="L1482">
        <v>79.909637450999995</v>
      </c>
      <c r="M1482">
        <v>50</v>
      </c>
      <c r="N1482">
        <v>49.481315613</v>
      </c>
    </row>
    <row r="1483" spans="1:14" x14ac:dyDescent="0.25">
      <c r="A1483">
        <v>1100.919768</v>
      </c>
      <c r="B1483" s="1">
        <f>DATE(2013,5,5) + TIME(22,4,27)</f>
        <v>41399.919756944444</v>
      </c>
      <c r="C1483">
        <v>2400</v>
      </c>
      <c r="D1483">
        <v>0</v>
      </c>
      <c r="E1483">
        <v>0</v>
      </c>
      <c r="F1483">
        <v>2400</v>
      </c>
      <c r="G1483">
        <v>1387.8062743999999</v>
      </c>
      <c r="H1483">
        <v>1372.8959961</v>
      </c>
      <c r="I1483">
        <v>1288.5444336</v>
      </c>
      <c r="J1483">
        <v>1269.4946289</v>
      </c>
      <c r="K1483">
        <v>80</v>
      </c>
      <c r="L1483">
        <v>79.917144774999997</v>
      </c>
      <c r="M1483">
        <v>50</v>
      </c>
      <c r="N1483">
        <v>49.464534759999999</v>
      </c>
    </row>
    <row r="1484" spans="1:14" x14ac:dyDescent="0.25">
      <c r="A1484">
        <v>1101.1244690000001</v>
      </c>
      <c r="B1484" s="1">
        <f>DATE(2013,5,6) + TIME(2,59,14)</f>
        <v>41400.124467592592</v>
      </c>
      <c r="C1484">
        <v>2400</v>
      </c>
      <c r="D1484">
        <v>0</v>
      </c>
      <c r="E1484">
        <v>0</v>
      </c>
      <c r="F1484">
        <v>2400</v>
      </c>
      <c r="G1484">
        <v>1387.7381591999999</v>
      </c>
      <c r="H1484">
        <v>1372.840332</v>
      </c>
      <c r="I1484">
        <v>1288.5405272999999</v>
      </c>
      <c r="J1484">
        <v>1269.4892577999999</v>
      </c>
      <c r="K1484">
        <v>80</v>
      </c>
      <c r="L1484">
        <v>79.923301696999999</v>
      </c>
      <c r="M1484">
        <v>50</v>
      </c>
      <c r="N1484">
        <v>49.447143554999997</v>
      </c>
    </row>
    <row r="1485" spans="1:14" x14ac:dyDescent="0.25">
      <c r="A1485">
        <v>1101.3384269999999</v>
      </c>
      <c r="B1485" s="1">
        <f>DATE(2013,5,6) + TIME(8,7,20)</f>
        <v>41400.338425925926</v>
      </c>
      <c r="C1485">
        <v>2400</v>
      </c>
      <c r="D1485">
        <v>0</v>
      </c>
      <c r="E1485">
        <v>0</v>
      </c>
      <c r="F1485">
        <v>2400</v>
      </c>
      <c r="G1485">
        <v>1387.6696777</v>
      </c>
      <c r="H1485">
        <v>1372.7841797000001</v>
      </c>
      <c r="I1485">
        <v>1288.5363769999999</v>
      </c>
      <c r="J1485">
        <v>1269.4837646000001</v>
      </c>
      <c r="K1485">
        <v>80</v>
      </c>
      <c r="L1485">
        <v>79.928314209000007</v>
      </c>
      <c r="M1485">
        <v>50</v>
      </c>
      <c r="N1485">
        <v>49.429088593000003</v>
      </c>
    </row>
    <row r="1486" spans="1:14" x14ac:dyDescent="0.25">
      <c r="A1486">
        <v>1101.5627159999999</v>
      </c>
      <c r="B1486" s="1">
        <f>DATE(2013,5,6) + TIME(13,30,18)</f>
        <v>41400.562708333331</v>
      </c>
      <c r="C1486">
        <v>2400</v>
      </c>
      <c r="D1486">
        <v>0</v>
      </c>
      <c r="E1486">
        <v>0</v>
      </c>
      <c r="F1486">
        <v>2400</v>
      </c>
      <c r="G1486">
        <v>1387.6005858999999</v>
      </c>
      <c r="H1486">
        <v>1372.7276611</v>
      </c>
      <c r="I1486">
        <v>1288.5321045000001</v>
      </c>
      <c r="J1486">
        <v>1269.4779053</v>
      </c>
      <c r="K1486">
        <v>80</v>
      </c>
      <c r="L1486">
        <v>79.932388306000007</v>
      </c>
      <c r="M1486">
        <v>50</v>
      </c>
      <c r="N1486">
        <v>49.410297393999997</v>
      </c>
    </row>
    <row r="1487" spans="1:14" x14ac:dyDescent="0.25">
      <c r="A1487">
        <v>1101.7962889999999</v>
      </c>
      <c r="B1487" s="1">
        <f>DATE(2013,5,6) + TIME(19,6,39)</f>
        <v>41400.796284722222</v>
      </c>
      <c r="C1487">
        <v>2400</v>
      </c>
      <c r="D1487">
        <v>0</v>
      </c>
      <c r="E1487">
        <v>0</v>
      </c>
      <c r="F1487">
        <v>2400</v>
      </c>
      <c r="G1487">
        <v>1387.5307617000001</v>
      </c>
      <c r="H1487">
        <v>1372.6704102000001</v>
      </c>
      <c r="I1487">
        <v>1288.5275879000001</v>
      </c>
      <c r="J1487">
        <v>1269.4718018000001</v>
      </c>
      <c r="K1487">
        <v>80</v>
      </c>
      <c r="L1487">
        <v>79.935661315999994</v>
      </c>
      <c r="M1487">
        <v>50</v>
      </c>
      <c r="N1487">
        <v>49.390834808000001</v>
      </c>
    </row>
    <row r="1488" spans="1:14" x14ac:dyDescent="0.25">
      <c r="A1488">
        <v>1102.031962</v>
      </c>
      <c r="B1488" s="1">
        <f>DATE(2013,5,7) + TIME(0,46,1)</f>
        <v>41401.031956018516</v>
      </c>
      <c r="C1488">
        <v>2400</v>
      </c>
      <c r="D1488">
        <v>0</v>
      </c>
      <c r="E1488">
        <v>0</v>
      </c>
      <c r="F1488">
        <v>2400</v>
      </c>
      <c r="G1488">
        <v>1387.4606934000001</v>
      </c>
      <c r="H1488">
        <v>1372.6129149999999</v>
      </c>
      <c r="I1488">
        <v>1288.5227050999999</v>
      </c>
      <c r="J1488">
        <v>1269.4654541</v>
      </c>
      <c r="K1488">
        <v>80</v>
      </c>
      <c r="L1488">
        <v>79.938217163000004</v>
      </c>
      <c r="M1488">
        <v>50</v>
      </c>
      <c r="N1488">
        <v>49.371166229000004</v>
      </c>
    </row>
    <row r="1489" spans="1:14" x14ac:dyDescent="0.25">
      <c r="A1489">
        <v>1102.2702389999999</v>
      </c>
      <c r="B1489" s="1">
        <f>DATE(2013,5,7) + TIME(6,29,8)</f>
        <v>41401.270231481481</v>
      </c>
      <c r="C1489">
        <v>2400</v>
      </c>
      <c r="D1489">
        <v>0</v>
      </c>
      <c r="E1489">
        <v>0</v>
      </c>
      <c r="F1489">
        <v>2400</v>
      </c>
      <c r="G1489">
        <v>1387.3923339999999</v>
      </c>
      <c r="H1489">
        <v>1372.5568848</v>
      </c>
      <c r="I1489">
        <v>1288.5179443</v>
      </c>
      <c r="J1489">
        <v>1269.4589844</v>
      </c>
      <c r="K1489">
        <v>80</v>
      </c>
      <c r="L1489">
        <v>79.940223693999997</v>
      </c>
      <c r="M1489">
        <v>50</v>
      </c>
      <c r="N1489">
        <v>49.351287841999998</v>
      </c>
    </row>
    <row r="1490" spans="1:14" x14ac:dyDescent="0.25">
      <c r="A1490">
        <v>1102.5108970000001</v>
      </c>
      <c r="B1490" s="1">
        <f>DATE(2013,5,7) + TIME(12,15,41)</f>
        <v>41401.510891203703</v>
      </c>
      <c r="C1490">
        <v>2400</v>
      </c>
      <c r="D1490">
        <v>0</v>
      </c>
      <c r="E1490">
        <v>0</v>
      </c>
      <c r="F1490">
        <v>2400</v>
      </c>
      <c r="G1490">
        <v>1387.3254394999999</v>
      </c>
      <c r="H1490">
        <v>1372.5020752</v>
      </c>
      <c r="I1490">
        <v>1288.5129394999999</v>
      </c>
      <c r="J1490">
        <v>1269.4525146000001</v>
      </c>
      <c r="K1490">
        <v>80</v>
      </c>
      <c r="L1490">
        <v>79.941802979000002</v>
      </c>
      <c r="M1490">
        <v>50</v>
      </c>
      <c r="N1490">
        <v>49.331230163999997</v>
      </c>
    </row>
    <row r="1491" spans="1:14" x14ac:dyDescent="0.25">
      <c r="A1491">
        <v>1102.754633</v>
      </c>
      <c r="B1491" s="1">
        <f>DATE(2013,5,7) + TIME(18,6,40)</f>
        <v>41401.754629629628</v>
      </c>
      <c r="C1491">
        <v>2400</v>
      </c>
      <c r="D1491">
        <v>0</v>
      </c>
      <c r="E1491">
        <v>0</v>
      </c>
      <c r="F1491">
        <v>2400</v>
      </c>
      <c r="G1491">
        <v>1387.2601318</v>
      </c>
      <c r="H1491">
        <v>1372.4486084</v>
      </c>
      <c r="I1491">
        <v>1288.5080565999999</v>
      </c>
      <c r="J1491">
        <v>1269.4459228999999</v>
      </c>
      <c r="K1491">
        <v>80</v>
      </c>
      <c r="L1491">
        <v>79.943054199000002</v>
      </c>
      <c r="M1491">
        <v>50</v>
      </c>
      <c r="N1491">
        <v>49.310966491999999</v>
      </c>
    </row>
    <row r="1492" spans="1:14" x14ac:dyDescent="0.25">
      <c r="A1492">
        <v>1103.002142</v>
      </c>
      <c r="B1492" s="1">
        <f>DATE(2013,5,8) + TIME(0,3,5)</f>
        <v>41402.002141203702</v>
      </c>
      <c r="C1492">
        <v>2400</v>
      </c>
      <c r="D1492">
        <v>0</v>
      </c>
      <c r="E1492">
        <v>0</v>
      </c>
      <c r="F1492">
        <v>2400</v>
      </c>
      <c r="G1492">
        <v>1387.1959228999999</v>
      </c>
      <c r="H1492">
        <v>1372.3961182</v>
      </c>
      <c r="I1492">
        <v>1288.5030518000001</v>
      </c>
      <c r="J1492">
        <v>1269.4393310999999</v>
      </c>
      <c r="K1492">
        <v>80</v>
      </c>
      <c r="L1492">
        <v>79.944046021000005</v>
      </c>
      <c r="M1492">
        <v>50</v>
      </c>
      <c r="N1492">
        <v>49.290466309000003</v>
      </c>
    </row>
    <row r="1493" spans="1:14" x14ac:dyDescent="0.25">
      <c r="A1493">
        <v>1103.2541329999999</v>
      </c>
      <c r="B1493" s="1">
        <f>DATE(2013,5,8) + TIME(6,5,57)</f>
        <v>41402.254131944443</v>
      </c>
      <c r="C1493">
        <v>2400</v>
      </c>
      <c r="D1493">
        <v>0</v>
      </c>
      <c r="E1493">
        <v>0</v>
      </c>
      <c r="F1493">
        <v>2400</v>
      </c>
      <c r="G1493">
        <v>1387.1325684000001</v>
      </c>
      <c r="H1493">
        <v>1372.3443603999999</v>
      </c>
      <c r="I1493">
        <v>1288.4980469</v>
      </c>
      <c r="J1493">
        <v>1269.4324951000001</v>
      </c>
      <c r="K1493">
        <v>80</v>
      </c>
      <c r="L1493">
        <v>79.944847107000001</v>
      </c>
      <c r="M1493">
        <v>50</v>
      </c>
      <c r="N1493">
        <v>49.269683837999999</v>
      </c>
    </row>
    <row r="1494" spans="1:14" x14ac:dyDescent="0.25">
      <c r="A1494">
        <v>1103.511344</v>
      </c>
      <c r="B1494" s="1">
        <f>DATE(2013,5,8) + TIME(12,16,20)</f>
        <v>41402.511342592596</v>
      </c>
      <c r="C1494">
        <v>2400</v>
      </c>
      <c r="D1494">
        <v>0</v>
      </c>
      <c r="E1494">
        <v>0</v>
      </c>
      <c r="F1494">
        <v>2400</v>
      </c>
      <c r="G1494">
        <v>1387.0700684000001</v>
      </c>
      <c r="H1494">
        <v>1372.2933350000001</v>
      </c>
      <c r="I1494">
        <v>1288.4927978999999</v>
      </c>
      <c r="J1494">
        <v>1269.4256591999999</v>
      </c>
      <c r="K1494">
        <v>80</v>
      </c>
      <c r="L1494">
        <v>79.945495605000005</v>
      </c>
      <c r="M1494">
        <v>50</v>
      </c>
      <c r="N1494">
        <v>49.248584747000002</v>
      </c>
    </row>
    <row r="1495" spans="1:14" x14ac:dyDescent="0.25">
      <c r="A1495">
        <v>1103.774559</v>
      </c>
      <c r="B1495" s="1">
        <f>DATE(2013,5,8) + TIME(18,35,21)</f>
        <v>41402.774548611109</v>
      </c>
      <c r="C1495">
        <v>2400</v>
      </c>
      <c r="D1495">
        <v>0</v>
      </c>
      <c r="E1495">
        <v>0</v>
      </c>
      <c r="F1495">
        <v>2400</v>
      </c>
      <c r="G1495">
        <v>1387.0080565999999</v>
      </c>
      <c r="H1495">
        <v>1372.2426757999999</v>
      </c>
      <c r="I1495">
        <v>1288.4875488</v>
      </c>
      <c r="J1495">
        <v>1269.4185791</v>
      </c>
      <c r="K1495">
        <v>80</v>
      </c>
      <c r="L1495">
        <v>79.946014403999996</v>
      </c>
      <c r="M1495">
        <v>50</v>
      </c>
      <c r="N1495">
        <v>49.227111815999997</v>
      </c>
    </row>
    <row r="1496" spans="1:14" x14ac:dyDescent="0.25">
      <c r="A1496">
        <v>1104.0446219999999</v>
      </c>
      <c r="B1496" s="1">
        <f>DATE(2013,5,9) + TIME(1,4,15)</f>
        <v>41403.044618055559</v>
      </c>
      <c r="C1496">
        <v>2400</v>
      </c>
      <c r="D1496">
        <v>0</v>
      </c>
      <c r="E1496">
        <v>0</v>
      </c>
      <c r="F1496">
        <v>2400</v>
      </c>
      <c r="G1496">
        <v>1386.9462891000001</v>
      </c>
      <c r="H1496">
        <v>1372.1925048999999</v>
      </c>
      <c r="I1496">
        <v>1288.4821777</v>
      </c>
      <c r="J1496">
        <v>1269.4113769999999</v>
      </c>
      <c r="K1496">
        <v>80</v>
      </c>
      <c r="L1496">
        <v>79.946449279999996</v>
      </c>
      <c r="M1496">
        <v>50</v>
      </c>
      <c r="N1496">
        <v>49.205215453999998</v>
      </c>
    </row>
    <row r="1497" spans="1:14" x14ac:dyDescent="0.25">
      <c r="A1497">
        <v>1104.3224560000001</v>
      </c>
      <c r="B1497" s="1">
        <f>DATE(2013,5,9) + TIME(7,44,20)</f>
        <v>41403.322453703702</v>
      </c>
      <c r="C1497">
        <v>2400</v>
      </c>
      <c r="D1497">
        <v>0</v>
      </c>
      <c r="E1497">
        <v>0</v>
      </c>
      <c r="F1497">
        <v>2400</v>
      </c>
      <c r="G1497">
        <v>1386.8847656</v>
      </c>
      <c r="H1497">
        <v>1372.1423339999999</v>
      </c>
      <c r="I1497">
        <v>1288.4765625</v>
      </c>
      <c r="J1497">
        <v>1269.4039307</v>
      </c>
      <c r="K1497">
        <v>80</v>
      </c>
      <c r="L1497">
        <v>79.946800232000001</v>
      </c>
      <c r="M1497">
        <v>50</v>
      </c>
      <c r="N1497">
        <v>49.182834624999998</v>
      </c>
    </row>
    <row r="1498" spans="1:14" x14ac:dyDescent="0.25">
      <c r="A1498">
        <v>1104.6092149999999</v>
      </c>
      <c r="B1498" s="1">
        <f>DATE(2013,5,9) + TIME(14,37,16)</f>
        <v>41403.609212962961</v>
      </c>
      <c r="C1498">
        <v>2400</v>
      </c>
      <c r="D1498">
        <v>0</v>
      </c>
      <c r="E1498">
        <v>0</v>
      </c>
      <c r="F1498">
        <v>2400</v>
      </c>
      <c r="G1498">
        <v>1386.8231201000001</v>
      </c>
      <c r="H1498">
        <v>1372.0922852000001</v>
      </c>
      <c r="I1498">
        <v>1288.4708252</v>
      </c>
      <c r="J1498">
        <v>1269.3963623</v>
      </c>
      <c r="K1498">
        <v>80</v>
      </c>
      <c r="L1498">
        <v>79.947090149000005</v>
      </c>
      <c r="M1498">
        <v>50</v>
      </c>
      <c r="N1498">
        <v>49.159896850999999</v>
      </c>
    </row>
    <row r="1499" spans="1:14" x14ac:dyDescent="0.25">
      <c r="A1499">
        <v>1104.905982</v>
      </c>
      <c r="B1499" s="1">
        <f>DATE(2013,5,9) + TIME(21,44,36)</f>
        <v>41403.905972222223</v>
      </c>
      <c r="C1499">
        <v>2400</v>
      </c>
      <c r="D1499">
        <v>0</v>
      </c>
      <c r="E1499">
        <v>0</v>
      </c>
      <c r="F1499">
        <v>2400</v>
      </c>
      <c r="G1499">
        <v>1386.7612305</v>
      </c>
      <c r="H1499">
        <v>1372.0419922000001</v>
      </c>
      <c r="I1499">
        <v>1288.4649658000001</v>
      </c>
      <c r="J1499">
        <v>1269.3884277</v>
      </c>
      <c r="K1499">
        <v>80</v>
      </c>
      <c r="L1499">
        <v>79.947326660000002</v>
      </c>
      <c r="M1499">
        <v>50</v>
      </c>
      <c r="N1499">
        <v>49.136333466000004</v>
      </c>
    </row>
    <row r="1500" spans="1:14" x14ac:dyDescent="0.25">
      <c r="A1500">
        <v>1105.2095830000001</v>
      </c>
      <c r="B1500" s="1">
        <f>DATE(2013,5,10) + TIME(5,1,47)</f>
        <v>41404.20957175926</v>
      </c>
      <c r="C1500">
        <v>2400</v>
      </c>
      <c r="D1500">
        <v>0</v>
      </c>
      <c r="E1500">
        <v>0</v>
      </c>
      <c r="F1500">
        <v>2400</v>
      </c>
      <c r="G1500">
        <v>1386.6988524999999</v>
      </c>
      <c r="H1500">
        <v>1371.9914550999999</v>
      </c>
      <c r="I1500">
        <v>1288.4588623</v>
      </c>
      <c r="J1500">
        <v>1269.380249</v>
      </c>
      <c r="K1500">
        <v>80</v>
      </c>
      <c r="L1500">
        <v>79.947525024000001</v>
      </c>
      <c r="M1500">
        <v>50</v>
      </c>
      <c r="N1500">
        <v>49.112316131999997</v>
      </c>
    </row>
    <row r="1501" spans="1:14" x14ac:dyDescent="0.25">
      <c r="A1501">
        <v>1105.5204940000001</v>
      </c>
      <c r="B1501" s="1">
        <f>DATE(2013,5,10) + TIME(12,29,30)</f>
        <v>41404.520486111112</v>
      </c>
      <c r="C1501">
        <v>2400</v>
      </c>
      <c r="D1501">
        <v>0</v>
      </c>
      <c r="E1501">
        <v>0</v>
      </c>
      <c r="F1501">
        <v>2400</v>
      </c>
      <c r="G1501">
        <v>1386.6367187999999</v>
      </c>
      <c r="H1501">
        <v>1371.9412841999999</v>
      </c>
      <c r="I1501">
        <v>1288.4525146000001</v>
      </c>
      <c r="J1501">
        <v>1269.3719481999999</v>
      </c>
      <c r="K1501">
        <v>80</v>
      </c>
      <c r="L1501">
        <v>79.947692871000001</v>
      </c>
      <c r="M1501">
        <v>50</v>
      </c>
      <c r="N1501">
        <v>49.087825774999999</v>
      </c>
    </row>
    <row r="1502" spans="1:14" x14ac:dyDescent="0.25">
      <c r="A1502">
        <v>1105.839612</v>
      </c>
      <c r="B1502" s="1">
        <f>DATE(2013,5,10) + TIME(20,9,2)</f>
        <v>41404.839606481481</v>
      </c>
      <c r="C1502">
        <v>2400</v>
      </c>
      <c r="D1502">
        <v>0</v>
      </c>
      <c r="E1502">
        <v>0</v>
      </c>
      <c r="F1502">
        <v>2400</v>
      </c>
      <c r="G1502">
        <v>1386.5749512</v>
      </c>
      <c r="H1502">
        <v>1371.8911132999999</v>
      </c>
      <c r="I1502">
        <v>1288.4460449000001</v>
      </c>
      <c r="J1502">
        <v>1269.3634033000001</v>
      </c>
      <c r="K1502">
        <v>80</v>
      </c>
      <c r="L1502">
        <v>79.947822571000003</v>
      </c>
      <c r="M1502">
        <v>50</v>
      </c>
      <c r="N1502">
        <v>49.062820434999999</v>
      </c>
    </row>
    <row r="1503" spans="1:14" x14ac:dyDescent="0.25">
      <c r="A1503">
        <v>1106.167911</v>
      </c>
      <c r="B1503" s="1">
        <f>DATE(2013,5,11) + TIME(4,1,47)</f>
        <v>41405.167905092596</v>
      </c>
      <c r="C1503">
        <v>2400</v>
      </c>
      <c r="D1503">
        <v>0</v>
      </c>
      <c r="E1503">
        <v>0</v>
      </c>
      <c r="F1503">
        <v>2400</v>
      </c>
      <c r="G1503">
        <v>1386.5130615</v>
      </c>
      <c r="H1503">
        <v>1371.8411865</v>
      </c>
      <c r="I1503">
        <v>1288.4394531</v>
      </c>
      <c r="J1503">
        <v>1269.3546143000001</v>
      </c>
      <c r="K1503">
        <v>80</v>
      </c>
      <c r="L1503">
        <v>79.947937011999997</v>
      </c>
      <c r="M1503">
        <v>50</v>
      </c>
      <c r="N1503">
        <v>49.037242888999998</v>
      </c>
    </row>
    <row r="1504" spans="1:14" x14ac:dyDescent="0.25">
      <c r="A1504">
        <v>1106.506474</v>
      </c>
      <c r="B1504" s="1">
        <f>DATE(2013,5,11) + TIME(12,9,19)</f>
        <v>41405.506469907406</v>
      </c>
      <c r="C1504">
        <v>2400</v>
      </c>
      <c r="D1504">
        <v>0</v>
      </c>
      <c r="E1504">
        <v>0</v>
      </c>
      <c r="F1504">
        <v>2400</v>
      </c>
      <c r="G1504">
        <v>1386.4510498</v>
      </c>
      <c r="H1504">
        <v>1371.7911377</v>
      </c>
      <c r="I1504">
        <v>1288.4326172000001</v>
      </c>
      <c r="J1504">
        <v>1269.3455810999999</v>
      </c>
      <c r="K1504">
        <v>80</v>
      </c>
      <c r="L1504">
        <v>79.948020935000002</v>
      </c>
      <c r="M1504">
        <v>50</v>
      </c>
      <c r="N1504">
        <v>49.011035919000001</v>
      </c>
    </row>
    <row r="1505" spans="1:14" x14ac:dyDescent="0.25">
      <c r="A1505">
        <v>1106.8566109999999</v>
      </c>
      <c r="B1505" s="1">
        <f>DATE(2013,5,11) + TIME(20,33,31)</f>
        <v>41405.856608796297</v>
      </c>
      <c r="C1505">
        <v>2400</v>
      </c>
      <c r="D1505">
        <v>0</v>
      </c>
      <c r="E1505">
        <v>0</v>
      </c>
      <c r="F1505">
        <v>2400</v>
      </c>
      <c r="G1505">
        <v>1386.3887939000001</v>
      </c>
      <c r="H1505">
        <v>1371.7409668</v>
      </c>
      <c r="I1505">
        <v>1288.4255370999999</v>
      </c>
      <c r="J1505">
        <v>1269.3361815999999</v>
      </c>
      <c r="K1505">
        <v>80</v>
      </c>
      <c r="L1505">
        <v>79.948097228999998</v>
      </c>
      <c r="M1505">
        <v>50</v>
      </c>
      <c r="N1505">
        <v>48.984115600999999</v>
      </c>
    </row>
    <row r="1506" spans="1:14" x14ac:dyDescent="0.25">
      <c r="A1506">
        <v>1107.2197470000001</v>
      </c>
      <c r="B1506" s="1">
        <f>DATE(2013,5,12) + TIME(5,16,26)</f>
        <v>41406.21974537037</v>
      </c>
      <c r="C1506">
        <v>2400</v>
      </c>
      <c r="D1506">
        <v>0</v>
      </c>
      <c r="E1506">
        <v>0</v>
      </c>
      <c r="F1506">
        <v>2400</v>
      </c>
      <c r="G1506">
        <v>1386.3260498</v>
      </c>
      <c r="H1506">
        <v>1371.6904297000001</v>
      </c>
      <c r="I1506">
        <v>1288.4182129000001</v>
      </c>
      <c r="J1506">
        <v>1269.3265381000001</v>
      </c>
      <c r="K1506">
        <v>80</v>
      </c>
      <c r="L1506">
        <v>79.948158264</v>
      </c>
      <c r="M1506">
        <v>50</v>
      </c>
      <c r="N1506">
        <v>48.95640564</v>
      </c>
    </row>
    <row r="1507" spans="1:14" x14ac:dyDescent="0.25">
      <c r="A1507">
        <v>1107.5889159999999</v>
      </c>
      <c r="B1507" s="1">
        <f>DATE(2013,5,12) + TIME(14,8,2)</f>
        <v>41406.588912037034</v>
      </c>
      <c r="C1507">
        <v>2400</v>
      </c>
      <c r="D1507">
        <v>0</v>
      </c>
      <c r="E1507">
        <v>0</v>
      </c>
      <c r="F1507">
        <v>2400</v>
      </c>
      <c r="G1507">
        <v>1386.2626952999999</v>
      </c>
      <c r="H1507">
        <v>1371.6394043</v>
      </c>
      <c r="I1507">
        <v>1288.4106445</v>
      </c>
      <c r="J1507">
        <v>1269.3165283000001</v>
      </c>
      <c r="K1507">
        <v>80</v>
      </c>
      <c r="L1507">
        <v>79.948204040999997</v>
      </c>
      <c r="M1507">
        <v>50</v>
      </c>
      <c r="N1507">
        <v>48.928253173999998</v>
      </c>
    </row>
    <row r="1508" spans="1:14" x14ac:dyDescent="0.25">
      <c r="A1508">
        <v>1107.962356</v>
      </c>
      <c r="B1508" s="1">
        <f>DATE(2013,5,12) + TIME(23,5,47)</f>
        <v>41406.96234953704</v>
      </c>
      <c r="C1508">
        <v>2400</v>
      </c>
      <c r="D1508">
        <v>0</v>
      </c>
      <c r="E1508">
        <v>0</v>
      </c>
      <c r="F1508">
        <v>2400</v>
      </c>
      <c r="G1508">
        <v>1386.1999512</v>
      </c>
      <c r="H1508">
        <v>1371.5888672000001</v>
      </c>
      <c r="I1508">
        <v>1288.402832</v>
      </c>
      <c r="J1508">
        <v>1269.3062743999999</v>
      </c>
      <c r="K1508">
        <v>80</v>
      </c>
      <c r="L1508">
        <v>79.948242187999995</v>
      </c>
      <c r="M1508">
        <v>50</v>
      </c>
      <c r="N1508">
        <v>48.899795531999999</v>
      </c>
    </row>
    <row r="1509" spans="1:14" x14ac:dyDescent="0.25">
      <c r="A1509">
        <v>1108.341222</v>
      </c>
      <c r="B1509" s="1">
        <f>DATE(2013,5,13) + TIME(8,11,21)</f>
        <v>41407.341215277775</v>
      </c>
      <c r="C1509">
        <v>2400</v>
      </c>
      <c r="D1509">
        <v>0</v>
      </c>
      <c r="E1509">
        <v>0</v>
      </c>
      <c r="F1509">
        <v>2400</v>
      </c>
      <c r="G1509">
        <v>1386.1379394999999</v>
      </c>
      <c r="H1509">
        <v>1371.5391846</v>
      </c>
      <c r="I1509">
        <v>1288.3950195</v>
      </c>
      <c r="J1509">
        <v>1269.2958983999999</v>
      </c>
      <c r="K1509">
        <v>80</v>
      </c>
      <c r="L1509">
        <v>79.948265075999998</v>
      </c>
      <c r="M1509">
        <v>50</v>
      </c>
      <c r="N1509">
        <v>48.871006012000002</v>
      </c>
    </row>
    <row r="1510" spans="1:14" x14ac:dyDescent="0.25">
      <c r="A1510">
        <v>1108.7266689999999</v>
      </c>
      <c r="B1510" s="1">
        <f>DATE(2013,5,13) + TIME(17,26,24)</f>
        <v>41407.726666666669</v>
      </c>
      <c r="C1510">
        <v>2400</v>
      </c>
      <c r="D1510">
        <v>0</v>
      </c>
      <c r="E1510">
        <v>0</v>
      </c>
      <c r="F1510">
        <v>2400</v>
      </c>
      <c r="G1510">
        <v>1386.0766602000001</v>
      </c>
      <c r="H1510">
        <v>1371.4899902</v>
      </c>
      <c r="I1510">
        <v>1288.3869629000001</v>
      </c>
      <c r="J1510">
        <v>1269.2854004000001</v>
      </c>
      <c r="K1510">
        <v>80</v>
      </c>
      <c r="L1510">
        <v>79.948287964000002</v>
      </c>
      <c r="M1510">
        <v>50</v>
      </c>
      <c r="N1510">
        <v>48.841850280999999</v>
      </c>
    </row>
    <row r="1511" spans="1:14" x14ac:dyDescent="0.25">
      <c r="A1511">
        <v>1109.1196179999999</v>
      </c>
      <c r="B1511" s="1">
        <f>DATE(2013,5,14) + TIME(2,52,14)</f>
        <v>41408.119606481479</v>
      </c>
      <c r="C1511">
        <v>2400</v>
      </c>
      <c r="D1511">
        <v>0</v>
      </c>
      <c r="E1511">
        <v>0</v>
      </c>
      <c r="F1511">
        <v>2400</v>
      </c>
      <c r="G1511">
        <v>1386.0158690999999</v>
      </c>
      <c r="H1511">
        <v>1371.4411620999999</v>
      </c>
      <c r="I1511">
        <v>1288.3789062000001</v>
      </c>
      <c r="J1511">
        <v>1269.2746582</v>
      </c>
      <c r="K1511">
        <v>80</v>
      </c>
      <c r="L1511">
        <v>79.948303222999996</v>
      </c>
      <c r="M1511">
        <v>50</v>
      </c>
      <c r="N1511">
        <v>48.812286377</v>
      </c>
    </row>
    <row r="1512" spans="1:14" x14ac:dyDescent="0.25">
      <c r="A1512">
        <v>1109.518963</v>
      </c>
      <c r="B1512" s="1">
        <f>DATE(2013,5,14) + TIME(12,27,18)</f>
        <v>41408.518958333334</v>
      </c>
      <c r="C1512">
        <v>2400</v>
      </c>
      <c r="D1512">
        <v>0</v>
      </c>
      <c r="E1512">
        <v>0</v>
      </c>
      <c r="F1512">
        <v>2400</v>
      </c>
      <c r="G1512">
        <v>1385.9553223</v>
      </c>
      <c r="H1512">
        <v>1371.3927002</v>
      </c>
      <c r="I1512">
        <v>1288.3706055</v>
      </c>
      <c r="J1512">
        <v>1269.2636719</v>
      </c>
      <c r="K1512">
        <v>80</v>
      </c>
      <c r="L1512">
        <v>79.948310852000006</v>
      </c>
      <c r="M1512">
        <v>50</v>
      </c>
      <c r="N1512">
        <v>48.782371521000002</v>
      </c>
    </row>
    <row r="1513" spans="1:14" x14ac:dyDescent="0.25">
      <c r="A1513">
        <v>1109.9258970000001</v>
      </c>
      <c r="B1513" s="1">
        <f>DATE(2013,5,14) + TIME(22,13,17)</f>
        <v>41408.925891203704</v>
      </c>
      <c r="C1513">
        <v>2400</v>
      </c>
      <c r="D1513">
        <v>0</v>
      </c>
      <c r="E1513">
        <v>0</v>
      </c>
      <c r="F1513">
        <v>2400</v>
      </c>
      <c r="G1513">
        <v>1385.8953856999999</v>
      </c>
      <c r="H1513">
        <v>1371.3444824000001</v>
      </c>
      <c r="I1513">
        <v>1288.3620605000001</v>
      </c>
      <c r="J1513">
        <v>1269.2525635</v>
      </c>
      <c r="K1513">
        <v>80</v>
      </c>
      <c r="L1513">
        <v>79.948310852000006</v>
      </c>
      <c r="M1513">
        <v>50</v>
      </c>
      <c r="N1513">
        <v>48.752056121999999</v>
      </c>
    </row>
    <row r="1514" spans="1:14" x14ac:dyDescent="0.25">
      <c r="A1514">
        <v>1110.3416460000001</v>
      </c>
      <c r="B1514" s="1">
        <f>DATE(2013,5,15) + TIME(8,11,58)</f>
        <v>41409.341643518521</v>
      </c>
      <c r="C1514">
        <v>2400</v>
      </c>
      <c r="D1514">
        <v>0</v>
      </c>
      <c r="E1514">
        <v>0</v>
      </c>
      <c r="F1514">
        <v>2400</v>
      </c>
      <c r="G1514">
        <v>1385.8355713000001</v>
      </c>
      <c r="H1514">
        <v>1371.2966309000001</v>
      </c>
      <c r="I1514">
        <v>1288.3535156</v>
      </c>
      <c r="J1514">
        <v>1269.2412108999999</v>
      </c>
      <c r="K1514">
        <v>80</v>
      </c>
      <c r="L1514">
        <v>79.948310852000006</v>
      </c>
      <c r="M1514">
        <v>50</v>
      </c>
      <c r="N1514">
        <v>48.721282959</v>
      </c>
    </row>
    <row r="1515" spans="1:14" x14ac:dyDescent="0.25">
      <c r="A1515">
        <v>1110.7675300000001</v>
      </c>
      <c r="B1515" s="1">
        <f>DATE(2013,5,15) + TIME(18,25,14)</f>
        <v>41409.767523148148</v>
      </c>
      <c r="C1515">
        <v>2400</v>
      </c>
      <c r="D1515">
        <v>0</v>
      </c>
      <c r="E1515">
        <v>0</v>
      </c>
      <c r="F1515">
        <v>2400</v>
      </c>
      <c r="G1515">
        <v>1385.7758789</v>
      </c>
      <c r="H1515">
        <v>1371.2489014</v>
      </c>
      <c r="I1515">
        <v>1288.3446045000001</v>
      </c>
      <c r="J1515">
        <v>1269.2294922000001</v>
      </c>
      <c r="K1515">
        <v>80</v>
      </c>
      <c r="L1515">
        <v>79.948310852000006</v>
      </c>
      <c r="M1515">
        <v>50</v>
      </c>
      <c r="N1515">
        <v>48.689975738999998</v>
      </c>
    </row>
    <row r="1516" spans="1:14" x14ac:dyDescent="0.25">
      <c r="A1516">
        <v>1111.204982</v>
      </c>
      <c r="B1516" s="1">
        <f>DATE(2013,5,16) + TIME(4,55,10)</f>
        <v>41410.204976851855</v>
      </c>
      <c r="C1516">
        <v>2400</v>
      </c>
      <c r="D1516">
        <v>0</v>
      </c>
      <c r="E1516">
        <v>0</v>
      </c>
      <c r="F1516">
        <v>2400</v>
      </c>
      <c r="G1516">
        <v>1385.7161865</v>
      </c>
      <c r="H1516">
        <v>1371.2011719</v>
      </c>
      <c r="I1516">
        <v>1288.3355713000001</v>
      </c>
      <c r="J1516">
        <v>1269.2175293</v>
      </c>
      <c r="K1516">
        <v>80</v>
      </c>
      <c r="L1516">
        <v>79.948303222999996</v>
      </c>
      <c r="M1516">
        <v>50</v>
      </c>
      <c r="N1516">
        <v>48.658054352000001</v>
      </c>
    </row>
    <row r="1517" spans="1:14" x14ac:dyDescent="0.25">
      <c r="A1517">
        <v>1111.6541</v>
      </c>
      <c r="B1517" s="1">
        <f>DATE(2013,5,16) + TIME(15,41,54)</f>
        <v>41410.654097222221</v>
      </c>
      <c r="C1517">
        <v>2400</v>
      </c>
      <c r="D1517">
        <v>0</v>
      </c>
      <c r="E1517">
        <v>0</v>
      </c>
      <c r="F1517">
        <v>2400</v>
      </c>
      <c r="G1517">
        <v>1385.65625</v>
      </c>
      <c r="H1517">
        <v>1371.1531981999999</v>
      </c>
      <c r="I1517">
        <v>1288.3261719</v>
      </c>
      <c r="J1517">
        <v>1269.2052002</v>
      </c>
      <c r="K1517">
        <v>80</v>
      </c>
      <c r="L1517">
        <v>79.948295592999997</v>
      </c>
      <c r="M1517">
        <v>50</v>
      </c>
      <c r="N1517">
        <v>48.625503539999997</v>
      </c>
    </row>
    <row r="1518" spans="1:14" x14ac:dyDescent="0.25">
      <c r="A1518">
        <v>1112.1114889999999</v>
      </c>
      <c r="B1518" s="1">
        <f>DATE(2013,5,17) + TIME(2,40,32)</f>
        <v>41411.111481481479</v>
      </c>
      <c r="C1518">
        <v>2400</v>
      </c>
      <c r="D1518">
        <v>0</v>
      </c>
      <c r="E1518">
        <v>0</v>
      </c>
      <c r="F1518">
        <v>2400</v>
      </c>
      <c r="G1518">
        <v>1385.5960693</v>
      </c>
      <c r="H1518">
        <v>1371.1051024999999</v>
      </c>
      <c r="I1518">
        <v>1288.3165283000001</v>
      </c>
      <c r="J1518">
        <v>1269.1925048999999</v>
      </c>
      <c r="K1518">
        <v>80</v>
      </c>
      <c r="L1518">
        <v>79.948287964000002</v>
      </c>
      <c r="M1518">
        <v>50</v>
      </c>
      <c r="N1518">
        <v>48.592464446999998</v>
      </c>
    </row>
    <row r="1519" spans="1:14" x14ac:dyDescent="0.25">
      <c r="A1519">
        <v>1112.5784860000001</v>
      </c>
      <c r="B1519" s="1">
        <f>DATE(2013,5,17) + TIME(13,53,1)</f>
        <v>41411.578483796293</v>
      </c>
      <c r="C1519">
        <v>2400</v>
      </c>
      <c r="D1519">
        <v>0</v>
      </c>
      <c r="E1519">
        <v>0</v>
      </c>
      <c r="F1519">
        <v>2400</v>
      </c>
      <c r="G1519">
        <v>1385.5361327999999</v>
      </c>
      <c r="H1519">
        <v>1371.0573730000001</v>
      </c>
      <c r="I1519">
        <v>1288.3067627</v>
      </c>
      <c r="J1519">
        <v>1269.1795654</v>
      </c>
      <c r="K1519">
        <v>80</v>
      </c>
      <c r="L1519">
        <v>79.948280334000003</v>
      </c>
      <c r="M1519">
        <v>50</v>
      </c>
      <c r="N1519">
        <v>48.558906555</v>
      </c>
    </row>
    <row r="1520" spans="1:14" x14ac:dyDescent="0.25">
      <c r="A1520">
        <v>1113.0564489999999</v>
      </c>
      <c r="B1520" s="1">
        <f>DATE(2013,5,18) + TIME(1,21,17)</f>
        <v>41412.056446759256</v>
      </c>
      <c r="C1520">
        <v>2400</v>
      </c>
      <c r="D1520">
        <v>0</v>
      </c>
      <c r="E1520">
        <v>0</v>
      </c>
      <c r="F1520">
        <v>2400</v>
      </c>
      <c r="G1520">
        <v>1385.4763184000001</v>
      </c>
      <c r="H1520">
        <v>1371.0095214999999</v>
      </c>
      <c r="I1520">
        <v>1288.2966309000001</v>
      </c>
      <c r="J1520">
        <v>1269.1662598</v>
      </c>
      <c r="K1520">
        <v>80</v>
      </c>
      <c r="L1520">
        <v>79.948272704999994</v>
      </c>
      <c r="M1520">
        <v>50</v>
      </c>
      <c r="N1520">
        <v>48.524772644000002</v>
      </c>
    </row>
    <row r="1521" spans="1:14" x14ac:dyDescent="0.25">
      <c r="A1521">
        <v>1113.546859</v>
      </c>
      <c r="B1521" s="1">
        <f>DATE(2013,5,18) + TIME(13,7,28)</f>
        <v>41412.546851851854</v>
      </c>
      <c r="C1521">
        <v>2400</v>
      </c>
      <c r="D1521">
        <v>0</v>
      </c>
      <c r="E1521">
        <v>0</v>
      </c>
      <c r="F1521">
        <v>2400</v>
      </c>
      <c r="G1521">
        <v>1385.4165039</v>
      </c>
      <c r="H1521">
        <v>1370.9617920000001</v>
      </c>
      <c r="I1521">
        <v>1288.2863769999999</v>
      </c>
      <c r="J1521">
        <v>1269.1527100000001</v>
      </c>
      <c r="K1521">
        <v>80</v>
      </c>
      <c r="L1521">
        <v>79.948257446</v>
      </c>
      <c r="M1521">
        <v>50</v>
      </c>
      <c r="N1521">
        <v>48.489990233999997</v>
      </c>
    </row>
    <row r="1522" spans="1:14" x14ac:dyDescent="0.25">
      <c r="A1522">
        <v>1114.0427480000001</v>
      </c>
      <c r="B1522" s="1">
        <f>DATE(2013,5,19) + TIME(1,1,33)</f>
        <v>41413.042743055557</v>
      </c>
      <c r="C1522">
        <v>2400</v>
      </c>
      <c r="D1522">
        <v>0</v>
      </c>
      <c r="E1522">
        <v>0</v>
      </c>
      <c r="F1522">
        <v>2400</v>
      </c>
      <c r="G1522">
        <v>1385.3563231999999</v>
      </c>
      <c r="H1522">
        <v>1370.9138184000001</v>
      </c>
      <c r="I1522">
        <v>1288.2756348</v>
      </c>
      <c r="J1522">
        <v>1269.1386719</v>
      </c>
      <c r="K1522">
        <v>80</v>
      </c>
      <c r="L1522">
        <v>79.948242187999995</v>
      </c>
      <c r="M1522">
        <v>50</v>
      </c>
      <c r="N1522">
        <v>48.454860687</v>
      </c>
    </row>
    <row r="1523" spans="1:14" x14ac:dyDescent="0.25">
      <c r="A1523">
        <v>1114.5446589999999</v>
      </c>
      <c r="B1523" s="1">
        <f>DATE(2013,5,19) + TIME(13,4,18)</f>
        <v>41413.544652777775</v>
      </c>
      <c r="C1523">
        <v>2400</v>
      </c>
      <c r="D1523">
        <v>0</v>
      </c>
      <c r="E1523">
        <v>0</v>
      </c>
      <c r="F1523">
        <v>2400</v>
      </c>
      <c r="G1523">
        <v>1385.296875</v>
      </c>
      <c r="H1523">
        <v>1370.8664550999999</v>
      </c>
      <c r="I1523">
        <v>1288.2648925999999</v>
      </c>
      <c r="J1523">
        <v>1269.1245117000001</v>
      </c>
      <c r="K1523">
        <v>80</v>
      </c>
      <c r="L1523">
        <v>79.948234557999996</v>
      </c>
      <c r="M1523">
        <v>50</v>
      </c>
      <c r="N1523">
        <v>48.419418335000003</v>
      </c>
    </row>
    <row r="1524" spans="1:14" x14ac:dyDescent="0.25">
      <c r="A1524">
        <v>1115.0541559999999</v>
      </c>
      <c r="B1524" s="1">
        <f>DATE(2013,5,20) + TIME(1,17,59)</f>
        <v>41414.054155092592</v>
      </c>
      <c r="C1524">
        <v>2400</v>
      </c>
      <c r="D1524">
        <v>0</v>
      </c>
      <c r="E1524">
        <v>0</v>
      </c>
      <c r="F1524">
        <v>2400</v>
      </c>
      <c r="G1524">
        <v>1385.2380370999999</v>
      </c>
      <c r="H1524">
        <v>1370.8194579999999</v>
      </c>
      <c r="I1524">
        <v>1288.2539062000001</v>
      </c>
      <c r="J1524">
        <v>1269.1101074000001</v>
      </c>
      <c r="K1524">
        <v>80</v>
      </c>
      <c r="L1524">
        <v>79.948219299000002</v>
      </c>
      <c r="M1524">
        <v>50</v>
      </c>
      <c r="N1524">
        <v>48.383625031000001</v>
      </c>
    </row>
    <row r="1525" spans="1:14" x14ac:dyDescent="0.25">
      <c r="A1525">
        <v>1115.572864</v>
      </c>
      <c r="B1525" s="1">
        <f>DATE(2013,5,20) + TIME(13,44,55)</f>
        <v>41414.572858796295</v>
      </c>
      <c r="C1525">
        <v>2400</v>
      </c>
      <c r="D1525">
        <v>0</v>
      </c>
      <c r="E1525">
        <v>0</v>
      </c>
      <c r="F1525">
        <v>2400</v>
      </c>
      <c r="G1525">
        <v>1385.1795654</v>
      </c>
      <c r="H1525">
        <v>1370.7728271000001</v>
      </c>
      <c r="I1525">
        <v>1288.2427978999999</v>
      </c>
      <c r="J1525">
        <v>1269.0954589999999</v>
      </c>
      <c r="K1525">
        <v>80</v>
      </c>
      <c r="L1525">
        <v>79.948211670000006</v>
      </c>
      <c r="M1525">
        <v>50</v>
      </c>
      <c r="N1525">
        <v>48.347419739000003</v>
      </c>
    </row>
    <row r="1526" spans="1:14" x14ac:dyDescent="0.25">
      <c r="A1526">
        <v>1116.102498</v>
      </c>
      <c r="B1526" s="1">
        <f>DATE(2013,5,21) + TIME(2,27,35)</f>
        <v>41415.102488425924</v>
      </c>
      <c r="C1526">
        <v>2400</v>
      </c>
      <c r="D1526">
        <v>0</v>
      </c>
      <c r="E1526">
        <v>0</v>
      </c>
      <c r="F1526">
        <v>2400</v>
      </c>
      <c r="G1526">
        <v>1385.1212158000001</v>
      </c>
      <c r="H1526">
        <v>1370.7263184000001</v>
      </c>
      <c r="I1526">
        <v>1288.2313231999999</v>
      </c>
      <c r="J1526">
        <v>1269.0804443</v>
      </c>
      <c r="K1526">
        <v>80</v>
      </c>
      <c r="L1526">
        <v>79.948196410999998</v>
      </c>
      <c r="M1526">
        <v>50</v>
      </c>
      <c r="N1526">
        <v>48.310718536000003</v>
      </c>
    </row>
    <row r="1527" spans="1:14" x14ac:dyDescent="0.25">
      <c r="A1527">
        <v>1116.643965</v>
      </c>
      <c r="B1527" s="1">
        <f>DATE(2013,5,21) + TIME(15,27,18)</f>
        <v>41415.643958333334</v>
      </c>
      <c r="C1527">
        <v>2400</v>
      </c>
      <c r="D1527">
        <v>0</v>
      </c>
      <c r="E1527">
        <v>0</v>
      </c>
      <c r="F1527">
        <v>2400</v>
      </c>
      <c r="G1527">
        <v>1385.0628661999999</v>
      </c>
      <c r="H1527">
        <v>1370.6798096</v>
      </c>
      <c r="I1527">
        <v>1288.2197266000001</v>
      </c>
      <c r="J1527">
        <v>1269.0650635</v>
      </c>
      <c r="K1527">
        <v>80</v>
      </c>
      <c r="L1527">
        <v>79.948181152000004</v>
      </c>
      <c r="M1527">
        <v>50</v>
      </c>
      <c r="N1527">
        <v>48.273471831999998</v>
      </c>
    </row>
    <row r="1528" spans="1:14" x14ac:dyDescent="0.25">
      <c r="A1528">
        <v>1117.195344</v>
      </c>
      <c r="B1528" s="1">
        <f>DATE(2013,5,22) + TIME(4,41,17)</f>
        <v>41416.195335648146</v>
      </c>
      <c r="C1528">
        <v>2400</v>
      </c>
      <c r="D1528">
        <v>0</v>
      </c>
      <c r="E1528">
        <v>0</v>
      </c>
      <c r="F1528">
        <v>2400</v>
      </c>
      <c r="G1528">
        <v>1385.0043945</v>
      </c>
      <c r="H1528">
        <v>1370.6331786999999</v>
      </c>
      <c r="I1528">
        <v>1288.2077637</v>
      </c>
      <c r="J1528">
        <v>1269.0493164</v>
      </c>
      <c r="K1528">
        <v>80</v>
      </c>
      <c r="L1528">
        <v>79.948173522999994</v>
      </c>
      <c r="M1528">
        <v>50</v>
      </c>
      <c r="N1528">
        <v>48.235736846999998</v>
      </c>
    </row>
    <row r="1529" spans="1:14" x14ac:dyDescent="0.25">
      <c r="A1529">
        <v>1117.7584469999999</v>
      </c>
      <c r="B1529" s="1">
        <f>DATE(2013,5,22) + TIME(18,12,9)</f>
        <v>41416.758437500001</v>
      </c>
      <c r="C1529">
        <v>2400</v>
      </c>
      <c r="D1529">
        <v>0</v>
      </c>
      <c r="E1529">
        <v>0</v>
      </c>
      <c r="F1529">
        <v>2400</v>
      </c>
      <c r="G1529">
        <v>1384.9460449000001</v>
      </c>
      <c r="H1529">
        <v>1370.5866699000001</v>
      </c>
      <c r="I1529">
        <v>1288.1954346</v>
      </c>
      <c r="J1529">
        <v>1269.0330810999999</v>
      </c>
      <c r="K1529">
        <v>80</v>
      </c>
      <c r="L1529">
        <v>79.948158264</v>
      </c>
      <c r="M1529">
        <v>50</v>
      </c>
      <c r="N1529">
        <v>48.197456359999997</v>
      </c>
    </row>
    <row r="1530" spans="1:14" x14ac:dyDescent="0.25">
      <c r="A1530">
        <v>1118.3351789999999</v>
      </c>
      <c r="B1530" s="1">
        <f>DATE(2013,5,23) + TIME(8,2,39)</f>
        <v>41417.335173611114</v>
      </c>
      <c r="C1530">
        <v>2400</v>
      </c>
      <c r="D1530">
        <v>0</v>
      </c>
      <c r="E1530">
        <v>0</v>
      </c>
      <c r="F1530">
        <v>2400</v>
      </c>
      <c r="G1530">
        <v>1384.8876952999999</v>
      </c>
      <c r="H1530">
        <v>1370.5401611</v>
      </c>
      <c r="I1530">
        <v>1288.1829834</v>
      </c>
      <c r="J1530">
        <v>1269.0166016000001</v>
      </c>
      <c r="K1530">
        <v>80</v>
      </c>
      <c r="L1530">
        <v>79.948150635000005</v>
      </c>
      <c r="M1530">
        <v>50</v>
      </c>
      <c r="N1530">
        <v>48.158538817999997</v>
      </c>
    </row>
    <row r="1531" spans="1:14" x14ac:dyDescent="0.25">
      <c r="A1531">
        <v>1118.9276600000001</v>
      </c>
      <c r="B1531" s="1">
        <f>DATE(2013,5,23) + TIME(22,15,49)</f>
        <v>41417.92765046296</v>
      </c>
      <c r="C1531">
        <v>2400</v>
      </c>
      <c r="D1531">
        <v>0</v>
      </c>
      <c r="E1531">
        <v>0</v>
      </c>
      <c r="F1531">
        <v>2400</v>
      </c>
      <c r="G1531">
        <v>1384.8292236</v>
      </c>
      <c r="H1531">
        <v>1370.4935303</v>
      </c>
      <c r="I1531">
        <v>1288.1700439000001</v>
      </c>
      <c r="J1531">
        <v>1268.9995117000001</v>
      </c>
      <c r="K1531">
        <v>80</v>
      </c>
      <c r="L1531">
        <v>79.948135375999996</v>
      </c>
      <c r="M1531">
        <v>50</v>
      </c>
      <c r="N1531">
        <v>48.118881225999999</v>
      </c>
    </row>
    <row r="1532" spans="1:14" x14ac:dyDescent="0.25">
      <c r="A1532">
        <v>1119.5385940000001</v>
      </c>
      <c r="B1532" s="1">
        <f>DATE(2013,5,24) + TIME(12,55,34)</f>
        <v>41418.538587962961</v>
      </c>
      <c r="C1532">
        <v>2400</v>
      </c>
      <c r="D1532">
        <v>0</v>
      </c>
      <c r="E1532">
        <v>0</v>
      </c>
      <c r="F1532">
        <v>2400</v>
      </c>
      <c r="G1532">
        <v>1384.7701416</v>
      </c>
      <c r="H1532">
        <v>1370.4465332</v>
      </c>
      <c r="I1532">
        <v>1288.1567382999999</v>
      </c>
      <c r="J1532">
        <v>1268.9819336</v>
      </c>
      <c r="K1532">
        <v>80</v>
      </c>
      <c r="L1532">
        <v>79.948127747000001</v>
      </c>
      <c r="M1532">
        <v>50</v>
      </c>
      <c r="N1532">
        <v>48.078350067000002</v>
      </c>
    </row>
    <row r="1533" spans="1:14" x14ac:dyDescent="0.25">
      <c r="A1533">
        <v>1120.1581450000001</v>
      </c>
      <c r="B1533" s="1">
        <f>DATE(2013,5,25) + TIME(3,47,43)</f>
        <v>41419.158136574071</v>
      </c>
      <c r="C1533">
        <v>2400</v>
      </c>
      <c r="D1533">
        <v>0</v>
      </c>
      <c r="E1533">
        <v>0</v>
      </c>
      <c r="F1533">
        <v>2400</v>
      </c>
      <c r="G1533">
        <v>1384.7105713000001</v>
      </c>
      <c r="H1533">
        <v>1370.3989257999999</v>
      </c>
      <c r="I1533">
        <v>1288.1428223</v>
      </c>
      <c r="J1533">
        <v>1268.9637451000001</v>
      </c>
      <c r="K1533">
        <v>80</v>
      </c>
      <c r="L1533">
        <v>79.948120117000002</v>
      </c>
      <c r="M1533">
        <v>50</v>
      </c>
      <c r="N1533">
        <v>48.037277222</v>
      </c>
    </row>
    <row r="1534" spans="1:14" x14ac:dyDescent="0.25">
      <c r="A1534">
        <v>1120.7863589999999</v>
      </c>
      <c r="B1534" s="1">
        <f>DATE(2013,5,25) + TIME(18,52,21)</f>
        <v>41419.786354166667</v>
      </c>
      <c r="C1534">
        <v>2400</v>
      </c>
      <c r="D1534">
        <v>0</v>
      </c>
      <c r="E1534">
        <v>0</v>
      </c>
      <c r="F1534">
        <v>2400</v>
      </c>
      <c r="G1534">
        <v>1384.6513672000001</v>
      </c>
      <c r="H1534">
        <v>1370.3516846</v>
      </c>
      <c r="I1534">
        <v>1288.1287841999999</v>
      </c>
      <c r="J1534">
        <v>1268.9451904</v>
      </c>
      <c r="K1534">
        <v>80</v>
      </c>
      <c r="L1534">
        <v>79.948104857999994</v>
      </c>
      <c r="M1534">
        <v>50</v>
      </c>
      <c r="N1534">
        <v>47.995754241999997</v>
      </c>
    </row>
    <row r="1535" spans="1:14" x14ac:dyDescent="0.25">
      <c r="A1535">
        <v>1121.4236450000001</v>
      </c>
      <c r="B1535" s="1">
        <f>DATE(2013,5,26) + TIME(10,10,2)</f>
        <v>41420.423634259256</v>
      </c>
      <c r="C1535">
        <v>2400</v>
      </c>
      <c r="D1535">
        <v>0</v>
      </c>
      <c r="E1535">
        <v>0</v>
      </c>
      <c r="F1535">
        <v>2400</v>
      </c>
      <c r="G1535">
        <v>1384.5924072</v>
      </c>
      <c r="H1535">
        <v>1370.3046875</v>
      </c>
      <c r="I1535">
        <v>1288.1143798999999</v>
      </c>
      <c r="J1535">
        <v>1268.9262695</v>
      </c>
      <c r="K1535">
        <v>80</v>
      </c>
      <c r="L1535">
        <v>79.948097228999998</v>
      </c>
      <c r="M1535">
        <v>50</v>
      </c>
      <c r="N1535">
        <v>47.953819275000001</v>
      </c>
    </row>
    <row r="1536" spans="1:14" x14ac:dyDescent="0.25">
      <c r="A1536">
        <v>1122.067812</v>
      </c>
      <c r="B1536" s="1">
        <f>DATE(2013,5,27) + TIME(1,37,38)</f>
        <v>41421.067800925928</v>
      </c>
      <c r="C1536">
        <v>2400</v>
      </c>
      <c r="D1536">
        <v>0</v>
      </c>
      <c r="E1536">
        <v>0</v>
      </c>
      <c r="F1536">
        <v>2400</v>
      </c>
      <c r="G1536">
        <v>1384.5338135</v>
      </c>
      <c r="H1536">
        <v>1370.2579346</v>
      </c>
      <c r="I1536">
        <v>1288.0997314000001</v>
      </c>
      <c r="J1536">
        <v>1268.9069824000001</v>
      </c>
      <c r="K1536">
        <v>80</v>
      </c>
      <c r="L1536">
        <v>79.948089600000003</v>
      </c>
      <c r="M1536">
        <v>50</v>
      </c>
      <c r="N1536">
        <v>47.911579132</v>
      </c>
    </row>
    <row r="1537" spans="1:14" x14ac:dyDescent="0.25">
      <c r="A1537">
        <v>1122.7209660000001</v>
      </c>
      <c r="B1537" s="1">
        <f>DATE(2013,5,27) + TIME(17,18,11)</f>
        <v>41421.720960648148</v>
      </c>
      <c r="C1537">
        <v>2400</v>
      </c>
      <c r="D1537">
        <v>0</v>
      </c>
      <c r="E1537">
        <v>0</v>
      </c>
      <c r="F1537">
        <v>2400</v>
      </c>
      <c r="G1537">
        <v>1384.4757079999999</v>
      </c>
      <c r="H1537">
        <v>1370.2116699000001</v>
      </c>
      <c r="I1537">
        <v>1288.0848389</v>
      </c>
      <c r="J1537">
        <v>1268.887207</v>
      </c>
      <c r="K1537">
        <v>80</v>
      </c>
      <c r="L1537">
        <v>79.948081970000004</v>
      </c>
      <c r="M1537">
        <v>50</v>
      </c>
      <c r="N1537">
        <v>47.869003296000002</v>
      </c>
    </row>
    <row r="1538" spans="1:14" x14ac:dyDescent="0.25">
      <c r="A1538">
        <v>1123.385252</v>
      </c>
      <c r="B1538" s="1">
        <f>DATE(2013,5,28) + TIME(9,14,45)</f>
        <v>41422.385243055556</v>
      </c>
      <c r="C1538">
        <v>2400</v>
      </c>
      <c r="D1538">
        <v>0</v>
      </c>
      <c r="E1538">
        <v>0</v>
      </c>
      <c r="F1538">
        <v>2400</v>
      </c>
      <c r="G1538">
        <v>1384.4179687999999</v>
      </c>
      <c r="H1538">
        <v>1370.1655272999999</v>
      </c>
      <c r="I1538">
        <v>1288.0697021000001</v>
      </c>
      <c r="J1538">
        <v>1268.8671875</v>
      </c>
      <c r="K1538">
        <v>80</v>
      </c>
      <c r="L1538">
        <v>79.948074340999995</v>
      </c>
      <c r="M1538">
        <v>50</v>
      </c>
      <c r="N1538">
        <v>47.826015472000002</v>
      </c>
    </row>
    <row r="1539" spans="1:14" x14ac:dyDescent="0.25">
      <c r="A1539">
        <v>1124.0592240000001</v>
      </c>
      <c r="B1539" s="1">
        <f>DATE(2013,5,29) + TIME(1,25,16)</f>
        <v>41423.059212962966</v>
      </c>
      <c r="C1539">
        <v>2400</v>
      </c>
      <c r="D1539">
        <v>0</v>
      </c>
      <c r="E1539">
        <v>0</v>
      </c>
      <c r="F1539">
        <v>2400</v>
      </c>
      <c r="G1539">
        <v>1384.3602295000001</v>
      </c>
      <c r="H1539">
        <v>1370.1193848</v>
      </c>
      <c r="I1539">
        <v>1288.0541992000001</v>
      </c>
      <c r="J1539">
        <v>1268.8465576000001</v>
      </c>
      <c r="K1539">
        <v>80</v>
      </c>
      <c r="L1539">
        <v>79.948066710999996</v>
      </c>
      <c r="M1539">
        <v>50</v>
      </c>
      <c r="N1539">
        <v>47.782646178999997</v>
      </c>
    </row>
    <row r="1540" spans="1:14" x14ac:dyDescent="0.25">
      <c r="A1540">
        <v>1124.744398</v>
      </c>
      <c r="B1540" s="1">
        <f>DATE(2013,5,29) + TIME(17,51,55)</f>
        <v>41423.744386574072</v>
      </c>
      <c r="C1540">
        <v>2400</v>
      </c>
      <c r="D1540">
        <v>0</v>
      </c>
      <c r="E1540">
        <v>0</v>
      </c>
      <c r="F1540">
        <v>2400</v>
      </c>
      <c r="G1540">
        <v>1384.3028564000001</v>
      </c>
      <c r="H1540">
        <v>1370.0734863</v>
      </c>
      <c r="I1540">
        <v>1288.0383300999999</v>
      </c>
      <c r="J1540">
        <v>1268.8255615</v>
      </c>
      <c r="K1540">
        <v>80</v>
      </c>
      <c r="L1540">
        <v>79.948059082</v>
      </c>
      <c r="M1540">
        <v>50</v>
      </c>
      <c r="N1540">
        <v>47.738849639999998</v>
      </c>
    </row>
    <row r="1541" spans="1:14" x14ac:dyDescent="0.25">
      <c r="A1541">
        <v>1125.4429299999999</v>
      </c>
      <c r="B1541" s="1">
        <f>DATE(2013,5,30) + TIME(10,37,49)</f>
        <v>41424.442928240744</v>
      </c>
      <c r="C1541">
        <v>2400</v>
      </c>
      <c r="D1541">
        <v>0</v>
      </c>
      <c r="E1541">
        <v>0</v>
      </c>
      <c r="F1541">
        <v>2400</v>
      </c>
      <c r="G1541">
        <v>1384.2454834</v>
      </c>
      <c r="H1541">
        <v>1370.0277100000001</v>
      </c>
      <c r="I1541">
        <v>1288.0220947</v>
      </c>
      <c r="J1541">
        <v>1268.8040771000001</v>
      </c>
      <c r="K1541">
        <v>80</v>
      </c>
      <c r="L1541">
        <v>79.948059082</v>
      </c>
      <c r="M1541">
        <v>50</v>
      </c>
      <c r="N1541">
        <v>47.694534302000001</v>
      </c>
    </row>
    <row r="1542" spans="1:14" x14ac:dyDescent="0.25">
      <c r="A1542">
        <v>1126.157123</v>
      </c>
      <c r="B1542" s="1">
        <f>DATE(2013,5,31) + TIME(3,46,15)</f>
        <v>41425.157118055555</v>
      </c>
      <c r="C1542">
        <v>2400</v>
      </c>
      <c r="D1542">
        <v>0</v>
      </c>
      <c r="E1542">
        <v>0</v>
      </c>
      <c r="F1542">
        <v>2400</v>
      </c>
      <c r="G1542">
        <v>1384.1881103999999</v>
      </c>
      <c r="H1542">
        <v>1369.9818115</v>
      </c>
      <c r="I1542">
        <v>1288.0054932</v>
      </c>
      <c r="J1542">
        <v>1268.7819824000001</v>
      </c>
      <c r="K1542">
        <v>80</v>
      </c>
      <c r="L1542">
        <v>79.948051453000005</v>
      </c>
      <c r="M1542">
        <v>50</v>
      </c>
      <c r="N1542">
        <v>47.649600982999999</v>
      </c>
    </row>
    <row r="1543" spans="1:14" x14ac:dyDescent="0.25">
      <c r="A1543">
        <v>1126.8896930000001</v>
      </c>
      <c r="B1543" s="1">
        <f>DATE(2013,5,31) + TIME(21,21,9)</f>
        <v>41425.889687499999</v>
      </c>
      <c r="C1543">
        <v>2400</v>
      </c>
      <c r="D1543">
        <v>0</v>
      </c>
      <c r="E1543">
        <v>0</v>
      </c>
      <c r="F1543">
        <v>2400</v>
      </c>
      <c r="G1543">
        <v>1384.1304932</v>
      </c>
      <c r="H1543">
        <v>1369.9356689000001</v>
      </c>
      <c r="I1543">
        <v>1287.9884033000001</v>
      </c>
      <c r="J1543">
        <v>1268.7591553</v>
      </c>
      <c r="K1543">
        <v>80</v>
      </c>
      <c r="L1543">
        <v>79.948051453000005</v>
      </c>
      <c r="M1543">
        <v>50</v>
      </c>
      <c r="N1543">
        <v>47.603904724000003</v>
      </c>
    </row>
    <row r="1544" spans="1:14" x14ac:dyDescent="0.25">
      <c r="A1544">
        <v>1127</v>
      </c>
      <c r="B1544" s="1">
        <f>DATE(2013,6,1) + TIME(0,0,0)</f>
        <v>41426</v>
      </c>
      <c r="C1544">
        <v>2400</v>
      </c>
      <c r="D1544">
        <v>0</v>
      </c>
      <c r="E1544">
        <v>0</v>
      </c>
      <c r="F1544">
        <v>2400</v>
      </c>
      <c r="G1544">
        <v>1384.0738524999999</v>
      </c>
      <c r="H1544">
        <v>1369.890625</v>
      </c>
      <c r="I1544">
        <v>1287.9675293</v>
      </c>
      <c r="J1544">
        <v>1268.739624</v>
      </c>
      <c r="K1544">
        <v>80</v>
      </c>
      <c r="L1544">
        <v>79.948036193999997</v>
      </c>
      <c r="M1544">
        <v>50</v>
      </c>
      <c r="N1544">
        <v>47.592601776000002</v>
      </c>
    </row>
    <row r="1545" spans="1:14" x14ac:dyDescent="0.25">
      <c r="A1545">
        <v>1127.753823</v>
      </c>
      <c r="B1545" s="1">
        <f>DATE(2013,6,1) + TIME(18,5,30)</f>
        <v>41426.753819444442</v>
      </c>
      <c r="C1545">
        <v>2400</v>
      </c>
      <c r="D1545">
        <v>0</v>
      </c>
      <c r="E1545">
        <v>0</v>
      </c>
      <c r="F1545">
        <v>2400</v>
      </c>
      <c r="G1545">
        <v>1384.0634766000001</v>
      </c>
      <c r="H1545">
        <v>1369.8820800999999</v>
      </c>
      <c r="I1545">
        <v>1287.9680175999999</v>
      </c>
      <c r="J1545">
        <v>1268.7314452999999</v>
      </c>
      <c r="K1545">
        <v>80</v>
      </c>
      <c r="L1545">
        <v>79.948043823000006</v>
      </c>
      <c r="M1545">
        <v>50</v>
      </c>
      <c r="N1545">
        <v>47.548042297000002</v>
      </c>
    </row>
    <row r="1546" spans="1:14" x14ac:dyDescent="0.25">
      <c r="A1546">
        <v>1128.5330469999999</v>
      </c>
      <c r="B1546" s="1">
        <f>DATE(2013,6,2) + TIME(12,47,35)</f>
        <v>41427.533043981479</v>
      </c>
      <c r="C1546">
        <v>2400</v>
      </c>
      <c r="D1546">
        <v>0</v>
      </c>
      <c r="E1546">
        <v>0</v>
      </c>
      <c r="F1546">
        <v>2400</v>
      </c>
      <c r="G1546">
        <v>1384.005249</v>
      </c>
      <c r="H1546">
        <v>1369.8354492000001</v>
      </c>
      <c r="I1546">
        <v>1287.949707</v>
      </c>
      <c r="J1546">
        <v>1268.7071533000001</v>
      </c>
      <c r="K1546">
        <v>80</v>
      </c>
      <c r="L1546">
        <v>79.948043823000006</v>
      </c>
      <c r="M1546">
        <v>50</v>
      </c>
      <c r="N1546">
        <v>47.501468658</v>
      </c>
    </row>
    <row r="1547" spans="1:14" x14ac:dyDescent="0.25">
      <c r="A1547">
        <v>1129.312396</v>
      </c>
      <c r="B1547" s="1">
        <f>DATE(2013,6,3) + TIME(7,29,51)</f>
        <v>41428.312395833331</v>
      </c>
      <c r="C1547">
        <v>2400</v>
      </c>
      <c r="D1547">
        <v>0</v>
      </c>
      <c r="E1547">
        <v>0</v>
      </c>
      <c r="F1547">
        <v>2400</v>
      </c>
      <c r="G1547">
        <v>1383.9459228999999</v>
      </c>
      <c r="H1547">
        <v>1369.7878418</v>
      </c>
      <c r="I1547">
        <v>1287.9304199000001</v>
      </c>
      <c r="J1547">
        <v>1268.6817627</v>
      </c>
      <c r="K1547">
        <v>80</v>
      </c>
      <c r="L1547">
        <v>79.948043823000006</v>
      </c>
      <c r="M1547">
        <v>50</v>
      </c>
      <c r="N1547">
        <v>47.454013824</v>
      </c>
    </row>
    <row r="1548" spans="1:14" x14ac:dyDescent="0.25">
      <c r="A1548">
        <v>1130.0942219999999</v>
      </c>
      <c r="B1548" s="1">
        <f>DATE(2013,6,4) + TIME(2,15,40)</f>
        <v>41429.094212962962</v>
      </c>
      <c r="C1548">
        <v>2400</v>
      </c>
      <c r="D1548">
        <v>0</v>
      </c>
      <c r="E1548">
        <v>0</v>
      </c>
      <c r="F1548">
        <v>2400</v>
      </c>
      <c r="G1548">
        <v>1383.8875731999999</v>
      </c>
      <c r="H1548">
        <v>1369.7410889</v>
      </c>
      <c r="I1548">
        <v>1287.9110106999999</v>
      </c>
      <c r="J1548">
        <v>1268.6558838000001</v>
      </c>
      <c r="K1548">
        <v>80</v>
      </c>
      <c r="L1548">
        <v>79.948036193999997</v>
      </c>
      <c r="M1548">
        <v>50</v>
      </c>
      <c r="N1548">
        <v>47.406143188000001</v>
      </c>
    </row>
    <row r="1549" spans="1:14" x14ac:dyDescent="0.25">
      <c r="A1549">
        <v>1130.8808879999999</v>
      </c>
      <c r="B1549" s="1">
        <f>DATE(2013,6,4) + TIME(21,8,28)</f>
        <v>41429.880879629629</v>
      </c>
      <c r="C1549">
        <v>2400</v>
      </c>
      <c r="D1549">
        <v>0</v>
      </c>
      <c r="E1549">
        <v>0</v>
      </c>
      <c r="F1549">
        <v>2400</v>
      </c>
      <c r="G1549">
        <v>1383.8300781</v>
      </c>
      <c r="H1549">
        <v>1369.6949463000001</v>
      </c>
      <c r="I1549">
        <v>1287.8913574000001</v>
      </c>
      <c r="J1549">
        <v>1268.6297606999999</v>
      </c>
      <c r="K1549">
        <v>80</v>
      </c>
      <c r="L1549">
        <v>79.948036193999997</v>
      </c>
      <c r="M1549">
        <v>50</v>
      </c>
      <c r="N1549">
        <v>47.358043670999997</v>
      </c>
    </row>
    <row r="1550" spans="1:14" x14ac:dyDescent="0.25">
      <c r="A1550">
        <v>1131.6747350000001</v>
      </c>
      <c r="B1550" s="1">
        <f>DATE(2013,6,5) + TIME(16,11,37)</f>
        <v>41430.674733796295</v>
      </c>
      <c r="C1550">
        <v>2400</v>
      </c>
      <c r="D1550">
        <v>0</v>
      </c>
      <c r="E1550">
        <v>0</v>
      </c>
      <c r="F1550">
        <v>2400</v>
      </c>
      <c r="G1550">
        <v>1383.7731934000001</v>
      </c>
      <c r="H1550">
        <v>1369.6492920000001</v>
      </c>
      <c r="I1550">
        <v>1287.8714600000001</v>
      </c>
      <c r="J1550">
        <v>1268.6030272999999</v>
      </c>
      <c r="K1550">
        <v>80</v>
      </c>
      <c r="L1550">
        <v>79.948036193999997</v>
      </c>
      <c r="M1550">
        <v>50</v>
      </c>
      <c r="N1550">
        <v>47.309730530000003</v>
      </c>
    </row>
    <row r="1551" spans="1:14" x14ac:dyDescent="0.25">
      <c r="A1551">
        <v>1132.478128</v>
      </c>
      <c r="B1551" s="1">
        <f>DATE(2013,6,6) + TIME(11,28,30)</f>
        <v>41431.478125000001</v>
      </c>
      <c r="C1551">
        <v>2400</v>
      </c>
      <c r="D1551">
        <v>0</v>
      </c>
      <c r="E1551">
        <v>0</v>
      </c>
      <c r="F1551">
        <v>2400</v>
      </c>
      <c r="G1551">
        <v>1383.7167969</v>
      </c>
      <c r="H1551">
        <v>1369.6038818</v>
      </c>
      <c r="I1551">
        <v>1287.8511963000001</v>
      </c>
      <c r="J1551">
        <v>1268.5758057</v>
      </c>
      <c r="K1551">
        <v>80</v>
      </c>
      <c r="L1551">
        <v>79.948043823000006</v>
      </c>
      <c r="M1551">
        <v>50</v>
      </c>
      <c r="N1551">
        <v>47.261154175000001</v>
      </c>
    </row>
    <row r="1552" spans="1:14" x14ac:dyDescent="0.25">
      <c r="A1552">
        <v>1133.2934990000001</v>
      </c>
      <c r="B1552" s="1">
        <f>DATE(2013,6,7) + TIME(7,2,38)</f>
        <v>41432.293495370373</v>
      </c>
      <c r="C1552">
        <v>2400</v>
      </c>
      <c r="D1552">
        <v>0</v>
      </c>
      <c r="E1552">
        <v>0</v>
      </c>
      <c r="F1552">
        <v>2400</v>
      </c>
      <c r="G1552">
        <v>1383.6606445</v>
      </c>
      <c r="H1552">
        <v>1369.5588379000001</v>
      </c>
      <c r="I1552">
        <v>1287.8305664</v>
      </c>
      <c r="J1552">
        <v>1268.5478516000001</v>
      </c>
      <c r="K1552">
        <v>80</v>
      </c>
      <c r="L1552">
        <v>79.948043823000006</v>
      </c>
      <c r="M1552">
        <v>50</v>
      </c>
      <c r="N1552">
        <v>47.212215424</v>
      </c>
    </row>
    <row r="1553" spans="1:14" x14ac:dyDescent="0.25">
      <c r="A1553">
        <v>1134.1233850000001</v>
      </c>
      <c r="B1553" s="1">
        <f>DATE(2013,6,8) + TIME(2,57,40)</f>
        <v>41433.123379629629</v>
      </c>
      <c r="C1553">
        <v>2400</v>
      </c>
      <c r="D1553">
        <v>0</v>
      </c>
      <c r="E1553">
        <v>0</v>
      </c>
      <c r="F1553">
        <v>2400</v>
      </c>
      <c r="G1553">
        <v>1383.6044922000001</v>
      </c>
      <c r="H1553">
        <v>1369.5136719</v>
      </c>
      <c r="I1553">
        <v>1287.8093262</v>
      </c>
      <c r="J1553">
        <v>1268.5192870999999</v>
      </c>
      <c r="K1553">
        <v>80</v>
      </c>
      <c r="L1553">
        <v>79.948043823000006</v>
      </c>
      <c r="M1553">
        <v>50</v>
      </c>
      <c r="N1553">
        <v>47.162796020999998</v>
      </c>
    </row>
    <row r="1554" spans="1:14" x14ac:dyDescent="0.25">
      <c r="A1554">
        <v>1134.970501</v>
      </c>
      <c r="B1554" s="1">
        <f>DATE(2013,6,8) + TIME(23,17,31)</f>
        <v>41433.970497685186</v>
      </c>
      <c r="C1554">
        <v>2400</v>
      </c>
      <c r="D1554">
        <v>0</v>
      </c>
      <c r="E1554">
        <v>0</v>
      </c>
      <c r="F1554">
        <v>2400</v>
      </c>
      <c r="G1554">
        <v>1383.5484618999999</v>
      </c>
      <c r="H1554">
        <v>1369.4685059000001</v>
      </c>
      <c r="I1554">
        <v>1287.7875977000001</v>
      </c>
      <c r="J1554">
        <v>1268.4897461</v>
      </c>
      <c r="K1554">
        <v>80</v>
      </c>
      <c r="L1554">
        <v>79.948051453000005</v>
      </c>
      <c r="M1554">
        <v>50</v>
      </c>
      <c r="N1554">
        <v>47.112754821999999</v>
      </c>
    </row>
    <row r="1555" spans="1:14" x14ac:dyDescent="0.25">
      <c r="A1555">
        <v>1135.838013</v>
      </c>
      <c r="B1555" s="1">
        <f>DATE(2013,6,9) + TIME(20,6,44)</f>
        <v>41434.838009259256</v>
      </c>
      <c r="C1555">
        <v>2400</v>
      </c>
      <c r="D1555">
        <v>0</v>
      </c>
      <c r="E1555">
        <v>0</v>
      </c>
      <c r="F1555">
        <v>2400</v>
      </c>
      <c r="G1555">
        <v>1383.4920654</v>
      </c>
      <c r="H1555">
        <v>1369.4230957</v>
      </c>
      <c r="I1555">
        <v>1287.7651367000001</v>
      </c>
      <c r="J1555">
        <v>1268.4592285000001</v>
      </c>
      <c r="K1555">
        <v>80</v>
      </c>
      <c r="L1555">
        <v>79.948051453000005</v>
      </c>
      <c r="M1555">
        <v>50</v>
      </c>
      <c r="N1555">
        <v>47.061935425000001</v>
      </c>
    </row>
    <row r="1556" spans="1:14" x14ac:dyDescent="0.25">
      <c r="A1556">
        <v>1136.7293549999999</v>
      </c>
      <c r="B1556" s="1">
        <f>DATE(2013,6,10) + TIME(17,30,16)</f>
        <v>41435.729351851849</v>
      </c>
      <c r="C1556">
        <v>2400</v>
      </c>
      <c r="D1556">
        <v>0</v>
      </c>
      <c r="E1556">
        <v>0</v>
      </c>
      <c r="F1556">
        <v>2400</v>
      </c>
      <c r="G1556">
        <v>1383.4353027</v>
      </c>
      <c r="H1556">
        <v>1369.3773193</v>
      </c>
      <c r="I1556">
        <v>1287.7418213000001</v>
      </c>
      <c r="J1556">
        <v>1268.4276123</v>
      </c>
      <c r="K1556">
        <v>80</v>
      </c>
      <c r="L1556">
        <v>79.948059082</v>
      </c>
      <c r="M1556">
        <v>50</v>
      </c>
      <c r="N1556">
        <v>47.010166167999998</v>
      </c>
    </row>
    <row r="1557" spans="1:14" x14ac:dyDescent="0.25">
      <c r="A1557">
        <v>1137.6477890000001</v>
      </c>
      <c r="B1557" s="1">
        <f>DATE(2013,6,11) + TIME(15,32,48)</f>
        <v>41436.647777777776</v>
      </c>
      <c r="C1557">
        <v>2400</v>
      </c>
      <c r="D1557">
        <v>0</v>
      </c>
      <c r="E1557">
        <v>0</v>
      </c>
      <c r="F1557">
        <v>2400</v>
      </c>
      <c r="G1557">
        <v>1383.3779297000001</v>
      </c>
      <c r="H1557">
        <v>1369.3310547000001</v>
      </c>
      <c r="I1557">
        <v>1287.7176514</v>
      </c>
      <c r="J1557">
        <v>1268.3946533000001</v>
      </c>
      <c r="K1557">
        <v>80</v>
      </c>
      <c r="L1557">
        <v>79.948066710999996</v>
      </c>
      <c r="M1557">
        <v>50</v>
      </c>
      <c r="N1557">
        <v>46.957267760999997</v>
      </c>
    </row>
    <row r="1558" spans="1:14" x14ac:dyDescent="0.25">
      <c r="A1558">
        <v>1138.577325</v>
      </c>
      <c r="B1558" s="1">
        <f>DATE(2013,6,12) + TIME(13,51,20)</f>
        <v>41437.577314814815</v>
      </c>
      <c r="C1558">
        <v>2400</v>
      </c>
      <c r="D1558">
        <v>0</v>
      </c>
      <c r="E1558">
        <v>0</v>
      </c>
      <c r="F1558">
        <v>2400</v>
      </c>
      <c r="G1558">
        <v>1383.3198242000001</v>
      </c>
      <c r="H1558">
        <v>1369.2840576000001</v>
      </c>
      <c r="I1558">
        <v>1287.6923827999999</v>
      </c>
      <c r="J1558">
        <v>1268.3602295000001</v>
      </c>
      <c r="K1558">
        <v>80</v>
      </c>
      <c r="L1558">
        <v>79.948066710999996</v>
      </c>
      <c r="M1558">
        <v>50</v>
      </c>
      <c r="N1558">
        <v>46.903598785</v>
      </c>
    </row>
    <row r="1559" spans="1:14" x14ac:dyDescent="0.25">
      <c r="A1559">
        <v>1139.5088089999999</v>
      </c>
      <c r="B1559" s="1">
        <f>DATE(2013,6,13) + TIME(12,12,41)</f>
        <v>41438.50880787037</v>
      </c>
      <c r="C1559">
        <v>2400</v>
      </c>
      <c r="D1559">
        <v>0</v>
      </c>
      <c r="E1559">
        <v>0</v>
      </c>
      <c r="F1559">
        <v>2400</v>
      </c>
      <c r="G1559">
        <v>1383.2618408000001</v>
      </c>
      <c r="H1559">
        <v>1369.2371826000001</v>
      </c>
      <c r="I1559">
        <v>1287.6665039</v>
      </c>
      <c r="J1559">
        <v>1268.3249512</v>
      </c>
      <c r="K1559">
        <v>80</v>
      </c>
      <c r="L1559">
        <v>79.948074340999995</v>
      </c>
      <c r="M1559">
        <v>50</v>
      </c>
      <c r="N1559">
        <v>46.849620819000002</v>
      </c>
    </row>
    <row r="1560" spans="1:14" x14ac:dyDescent="0.25">
      <c r="A1560">
        <v>1140.445103</v>
      </c>
      <c r="B1560" s="1">
        <f>DATE(2013,6,14) + TIME(10,40,56)</f>
        <v>41439.445092592592</v>
      </c>
      <c r="C1560">
        <v>2400</v>
      </c>
      <c r="D1560">
        <v>0</v>
      </c>
      <c r="E1560">
        <v>0</v>
      </c>
      <c r="F1560">
        <v>2400</v>
      </c>
      <c r="G1560">
        <v>1383.2048339999999</v>
      </c>
      <c r="H1560">
        <v>1369.1910399999999</v>
      </c>
      <c r="I1560">
        <v>1287.6402588000001</v>
      </c>
      <c r="J1560">
        <v>1268.2890625</v>
      </c>
      <c r="K1560">
        <v>80</v>
      </c>
      <c r="L1560">
        <v>79.948081970000004</v>
      </c>
      <c r="M1560">
        <v>50</v>
      </c>
      <c r="N1560">
        <v>46.795486449999999</v>
      </c>
    </row>
    <row r="1561" spans="1:14" x14ac:dyDescent="0.25">
      <c r="A1561">
        <v>1141.3890429999999</v>
      </c>
      <c r="B1561" s="1">
        <f>DATE(2013,6,15) + TIME(9,20,13)</f>
        <v>41440.389039351852</v>
      </c>
      <c r="C1561">
        <v>2400</v>
      </c>
      <c r="D1561">
        <v>0</v>
      </c>
      <c r="E1561">
        <v>0</v>
      </c>
      <c r="F1561">
        <v>2400</v>
      </c>
      <c r="G1561">
        <v>1383.1483154</v>
      </c>
      <c r="H1561">
        <v>1369.1452637</v>
      </c>
      <c r="I1561">
        <v>1287.6135254000001</v>
      </c>
      <c r="J1561">
        <v>1268.2523193</v>
      </c>
      <c r="K1561">
        <v>80</v>
      </c>
      <c r="L1561">
        <v>79.948089600000003</v>
      </c>
      <c r="M1561">
        <v>50</v>
      </c>
      <c r="N1561">
        <v>46.741188049000002</v>
      </c>
    </row>
    <row r="1562" spans="1:14" x14ac:dyDescent="0.25">
      <c r="A1562">
        <v>1142.3434970000001</v>
      </c>
      <c r="B1562" s="1">
        <f>DATE(2013,6,16) + TIME(8,14,38)</f>
        <v>41441.343495370369</v>
      </c>
      <c r="C1562">
        <v>2400</v>
      </c>
      <c r="D1562">
        <v>0</v>
      </c>
      <c r="E1562">
        <v>0</v>
      </c>
      <c r="F1562">
        <v>2400</v>
      </c>
      <c r="G1562">
        <v>1383.0921631000001</v>
      </c>
      <c r="H1562">
        <v>1369.0997314000001</v>
      </c>
      <c r="I1562">
        <v>1287.5863036999999</v>
      </c>
      <c r="J1562">
        <v>1268.2147216999999</v>
      </c>
      <c r="K1562">
        <v>80</v>
      </c>
      <c r="L1562">
        <v>79.948104857999994</v>
      </c>
      <c r="M1562">
        <v>50</v>
      </c>
      <c r="N1562">
        <v>46.686630248999997</v>
      </c>
    </row>
    <row r="1563" spans="1:14" x14ac:dyDescent="0.25">
      <c r="A1563">
        <v>1143.311387</v>
      </c>
      <c r="B1563" s="1">
        <f>DATE(2013,6,17) + TIME(7,28,23)</f>
        <v>41442.311377314814</v>
      </c>
      <c r="C1563">
        <v>2400</v>
      </c>
      <c r="D1563">
        <v>0</v>
      </c>
      <c r="E1563">
        <v>0</v>
      </c>
      <c r="F1563">
        <v>2400</v>
      </c>
      <c r="G1563">
        <v>1383.0363769999999</v>
      </c>
      <c r="H1563">
        <v>1369.0544434000001</v>
      </c>
      <c r="I1563">
        <v>1287.5583495999999</v>
      </c>
      <c r="J1563">
        <v>1268.1760254000001</v>
      </c>
      <c r="K1563">
        <v>80</v>
      </c>
      <c r="L1563">
        <v>79.948112488000007</v>
      </c>
      <c r="M1563">
        <v>50</v>
      </c>
      <c r="N1563">
        <v>46.631683350000003</v>
      </c>
    </row>
    <row r="1564" spans="1:14" x14ac:dyDescent="0.25">
      <c r="A1564">
        <v>1144.295775</v>
      </c>
      <c r="B1564" s="1">
        <f>DATE(2013,6,18) + TIME(7,5,54)</f>
        <v>41443.295763888891</v>
      </c>
      <c r="C1564">
        <v>2400</v>
      </c>
      <c r="D1564">
        <v>0</v>
      </c>
      <c r="E1564">
        <v>0</v>
      </c>
      <c r="F1564">
        <v>2400</v>
      </c>
      <c r="G1564">
        <v>1382.9805908000001</v>
      </c>
      <c r="H1564">
        <v>1369.0091553</v>
      </c>
      <c r="I1564">
        <v>1287.5296631000001</v>
      </c>
      <c r="J1564">
        <v>1268.1362305</v>
      </c>
      <c r="K1564">
        <v>80</v>
      </c>
      <c r="L1564">
        <v>79.948120117000002</v>
      </c>
      <c r="M1564">
        <v>50</v>
      </c>
      <c r="N1564">
        <v>46.576190947999997</v>
      </c>
    </row>
    <row r="1565" spans="1:14" x14ac:dyDescent="0.25">
      <c r="A1565">
        <v>1145.2999199999999</v>
      </c>
      <c r="B1565" s="1">
        <f>DATE(2013,6,19) + TIME(7,11,53)</f>
        <v>41444.29991898148</v>
      </c>
      <c r="C1565">
        <v>2400</v>
      </c>
      <c r="D1565">
        <v>0</v>
      </c>
      <c r="E1565">
        <v>0</v>
      </c>
      <c r="F1565">
        <v>2400</v>
      </c>
      <c r="G1565">
        <v>1382.9248047000001</v>
      </c>
      <c r="H1565">
        <v>1368.9637451000001</v>
      </c>
      <c r="I1565">
        <v>1287.5001221</v>
      </c>
      <c r="J1565">
        <v>1268.0950928</v>
      </c>
      <c r="K1565">
        <v>80</v>
      </c>
      <c r="L1565">
        <v>79.948135375999996</v>
      </c>
      <c r="M1565">
        <v>50</v>
      </c>
      <c r="N1565">
        <v>46.519989013999997</v>
      </c>
    </row>
    <row r="1566" spans="1:14" x14ac:dyDescent="0.25">
      <c r="A1566">
        <v>1146.3264710000001</v>
      </c>
      <c r="B1566" s="1">
        <f>DATE(2013,6,20) + TIME(7,50,7)</f>
        <v>41445.326469907406</v>
      </c>
      <c r="C1566">
        <v>2400</v>
      </c>
      <c r="D1566">
        <v>0</v>
      </c>
      <c r="E1566">
        <v>0</v>
      </c>
      <c r="F1566">
        <v>2400</v>
      </c>
      <c r="G1566">
        <v>1382.8686522999999</v>
      </c>
      <c r="H1566">
        <v>1368.9180908000001</v>
      </c>
      <c r="I1566">
        <v>1287.4696045000001</v>
      </c>
      <c r="J1566">
        <v>1268.0524902</v>
      </c>
      <c r="K1566">
        <v>80</v>
      </c>
      <c r="L1566">
        <v>79.948150635000005</v>
      </c>
      <c r="M1566">
        <v>50</v>
      </c>
      <c r="N1566">
        <v>46.462917328000003</v>
      </c>
    </row>
    <row r="1567" spans="1:14" x14ac:dyDescent="0.25">
      <c r="A1567">
        <v>1147.3709160000001</v>
      </c>
      <c r="B1567" s="1">
        <f>DATE(2013,6,21) + TIME(8,54,7)</f>
        <v>41446.37091435185</v>
      </c>
      <c r="C1567">
        <v>2400</v>
      </c>
      <c r="D1567">
        <v>0</v>
      </c>
      <c r="E1567">
        <v>0</v>
      </c>
      <c r="F1567">
        <v>2400</v>
      </c>
      <c r="G1567">
        <v>1382.8121338000001</v>
      </c>
      <c r="H1567">
        <v>1368.8719481999999</v>
      </c>
      <c r="I1567">
        <v>1287.4378661999999</v>
      </c>
      <c r="J1567">
        <v>1268.0081786999999</v>
      </c>
      <c r="K1567">
        <v>80</v>
      </c>
      <c r="L1567">
        <v>79.948158264</v>
      </c>
      <c r="M1567">
        <v>50</v>
      </c>
      <c r="N1567">
        <v>46.405002594000003</v>
      </c>
    </row>
    <row r="1568" spans="1:14" x14ac:dyDescent="0.25">
      <c r="A1568">
        <v>1148.436645</v>
      </c>
      <c r="B1568" s="1">
        <f>DATE(2013,6,22) + TIME(10,28,46)</f>
        <v>41447.436643518522</v>
      </c>
      <c r="C1568">
        <v>2400</v>
      </c>
      <c r="D1568">
        <v>0</v>
      </c>
      <c r="E1568">
        <v>0</v>
      </c>
      <c r="F1568">
        <v>2400</v>
      </c>
      <c r="G1568">
        <v>1382.7554932</v>
      </c>
      <c r="H1568">
        <v>1368.8258057</v>
      </c>
      <c r="I1568">
        <v>1287.4052733999999</v>
      </c>
      <c r="J1568">
        <v>1267.9622803</v>
      </c>
      <c r="K1568">
        <v>80</v>
      </c>
      <c r="L1568">
        <v>79.948173522999994</v>
      </c>
      <c r="M1568">
        <v>50</v>
      </c>
      <c r="N1568">
        <v>46.346195221000002</v>
      </c>
    </row>
    <row r="1569" spans="1:14" x14ac:dyDescent="0.25">
      <c r="A1569">
        <v>1149.5272239999999</v>
      </c>
      <c r="B1569" s="1">
        <f>DATE(2013,6,23) + TIME(12,39,12)</f>
        <v>41448.527222222219</v>
      </c>
      <c r="C1569">
        <v>2400</v>
      </c>
      <c r="D1569">
        <v>0</v>
      </c>
      <c r="E1569">
        <v>0</v>
      </c>
      <c r="F1569">
        <v>2400</v>
      </c>
      <c r="G1569">
        <v>1382.6984863</v>
      </c>
      <c r="H1569">
        <v>1368.7792969</v>
      </c>
      <c r="I1569">
        <v>1287.3713379000001</v>
      </c>
      <c r="J1569">
        <v>1267.9146728999999</v>
      </c>
      <c r="K1569">
        <v>80</v>
      </c>
      <c r="L1569">
        <v>79.948188782000003</v>
      </c>
      <c r="M1569">
        <v>50</v>
      </c>
      <c r="N1569">
        <v>46.286361694</v>
      </c>
    </row>
    <row r="1570" spans="1:14" x14ac:dyDescent="0.25">
      <c r="A1570">
        <v>1150.6285170000001</v>
      </c>
      <c r="B1570" s="1">
        <f>DATE(2013,6,24) + TIME(15,5,3)</f>
        <v>41449.628506944442</v>
      </c>
      <c r="C1570">
        <v>2400</v>
      </c>
      <c r="D1570">
        <v>0</v>
      </c>
      <c r="E1570">
        <v>0</v>
      </c>
      <c r="F1570">
        <v>2400</v>
      </c>
      <c r="G1570">
        <v>1382.6411132999999</v>
      </c>
      <c r="H1570">
        <v>1368.7322998</v>
      </c>
      <c r="I1570">
        <v>1287.3361815999999</v>
      </c>
      <c r="J1570">
        <v>1267.8651123</v>
      </c>
      <c r="K1570">
        <v>80</v>
      </c>
      <c r="L1570">
        <v>79.948204040999997</v>
      </c>
      <c r="M1570">
        <v>50</v>
      </c>
      <c r="N1570">
        <v>46.225769043</v>
      </c>
    </row>
    <row r="1571" spans="1:14" x14ac:dyDescent="0.25">
      <c r="A1571">
        <v>1151.736001</v>
      </c>
      <c r="B1571" s="1">
        <f>DATE(2013,6,25) + TIME(17,39,50)</f>
        <v>41450.735995370371</v>
      </c>
      <c r="C1571">
        <v>2400</v>
      </c>
      <c r="D1571">
        <v>0</v>
      </c>
      <c r="E1571">
        <v>0</v>
      </c>
      <c r="F1571">
        <v>2400</v>
      </c>
      <c r="G1571">
        <v>1382.5839844</v>
      </c>
      <c r="H1571">
        <v>1368.6855469</v>
      </c>
      <c r="I1571">
        <v>1287.3001709</v>
      </c>
      <c r="J1571">
        <v>1267.8140868999999</v>
      </c>
      <c r="K1571">
        <v>80</v>
      </c>
      <c r="L1571">
        <v>79.948219299000002</v>
      </c>
      <c r="M1571">
        <v>50</v>
      </c>
      <c r="N1571">
        <v>46.164726256999998</v>
      </c>
    </row>
    <row r="1572" spans="1:14" x14ac:dyDescent="0.25">
      <c r="A1572">
        <v>1152.853108</v>
      </c>
      <c r="B1572" s="1">
        <f>DATE(2013,6,26) + TIME(20,28,28)</f>
        <v>41451.853101851855</v>
      </c>
      <c r="C1572">
        <v>2400</v>
      </c>
      <c r="D1572">
        <v>0</v>
      </c>
      <c r="E1572">
        <v>0</v>
      </c>
      <c r="F1572">
        <v>2400</v>
      </c>
      <c r="G1572">
        <v>1382.5273437999999</v>
      </c>
      <c r="H1572">
        <v>1368.6391602000001</v>
      </c>
      <c r="I1572">
        <v>1287.2633057</v>
      </c>
      <c r="J1572">
        <v>1267.7617187999999</v>
      </c>
      <c r="K1572">
        <v>80</v>
      </c>
      <c r="L1572">
        <v>79.948242187999995</v>
      </c>
      <c r="M1572">
        <v>50</v>
      </c>
      <c r="N1572">
        <v>46.103317261000001</v>
      </c>
    </row>
    <row r="1573" spans="1:14" x14ac:dyDescent="0.25">
      <c r="A1573">
        <v>1153.9833120000001</v>
      </c>
      <c r="B1573" s="1">
        <f>DATE(2013,6,27) + TIME(23,35,58)</f>
        <v>41452.983310185184</v>
      </c>
      <c r="C1573">
        <v>2400</v>
      </c>
      <c r="D1573">
        <v>0</v>
      </c>
      <c r="E1573">
        <v>0</v>
      </c>
      <c r="F1573">
        <v>2400</v>
      </c>
      <c r="G1573">
        <v>1382.4710693</v>
      </c>
      <c r="H1573">
        <v>1368.5928954999999</v>
      </c>
      <c r="I1573">
        <v>1287.2257079999999</v>
      </c>
      <c r="J1573">
        <v>1267.7080077999999</v>
      </c>
      <c r="K1573">
        <v>80</v>
      </c>
      <c r="L1573">
        <v>79.948257446</v>
      </c>
      <c r="M1573">
        <v>50</v>
      </c>
      <c r="N1573">
        <v>46.041465758999998</v>
      </c>
    </row>
    <row r="1574" spans="1:14" x14ac:dyDescent="0.25">
      <c r="A1574">
        <v>1155.125714</v>
      </c>
      <c r="B1574" s="1">
        <f>DATE(2013,6,29) + TIME(3,1,1)</f>
        <v>41454.125706018516</v>
      </c>
      <c r="C1574">
        <v>2400</v>
      </c>
      <c r="D1574">
        <v>0</v>
      </c>
      <c r="E1574">
        <v>0</v>
      </c>
      <c r="F1574">
        <v>2400</v>
      </c>
      <c r="G1574">
        <v>1382.4150391000001</v>
      </c>
      <c r="H1574">
        <v>1368.546875</v>
      </c>
      <c r="I1574">
        <v>1287.1868896000001</v>
      </c>
      <c r="J1574">
        <v>1267.6525879000001</v>
      </c>
      <c r="K1574">
        <v>80</v>
      </c>
      <c r="L1574">
        <v>79.948272704999994</v>
      </c>
      <c r="M1574">
        <v>50</v>
      </c>
      <c r="N1574">
        <v>45.979129790999998</v>
      </c>
    </row>
    <row r="1575" spans="1:14" x14ac:dyDescent="0.25">
      <c r="A1575">
        <v>1156.280827</v>
      </c>
      <c r="B1575" s="1">
        <f>DATE(2013,6,30) + TIME(6,44,23)</f>
        <v>41455.280821759261</v>
      </c>
      <c r="C1575">
        <v>2400</v>
      </c>
      <c r="D1575">
        <v>0</v>
      </c>
      <c r="E1575">
        <v>0</v>
      </c>
      <c r="F1575">
        <v>2400</v>
      </c>
      <c r="G1575">
        <v>1382.3590088000001</v>
      </c>
      <c r="H1575">
        <v>1368.5008545000001</v>
      </c>
      <c r="I1575">
        <v>1287.1472168</v>
      </c>
      <c r="J1575">
        <v>1267.5955810999999</v>
      </c>
      <c r="K1575">
        <v>80</v>
      </c>
      <c r="L1575">
        <v>79.948295592999997</v>
      </c>
      <c r="M1575">
        <v>50</v>
      </c>
      <c r="N1575">
        <v>45.916282654</v>
      </c>
    </row>
    <row r="1576" spans="1:14" x14ac:dyDescent="0.25">
      <c r="A1576">
        <v>1157</v>
      </c>
      <c r="B1576" s="1">
        <f>DATE(2013,7,1) + TIME(0,0,0)</f>
        <v>41456</v>
      </c>
      <c r="C1576">
        <v>2400</v>
      </c>
      <c r="D1576">
        <v>0</v>
      </c>
      <c r="E1576">
        <v>0</v>
      </c>
      <c r="F1576">
        <v>2400</v>
      </c>
      <c r="G1576">
        <v>1382.3032227000001</v>
      </c>
      <c r="H1576">
        <v>1368.4548339999999</v>
      </c>
      <c r="I1576">
        <v>1287.105957</v>
      </c>
      <c r="J1576">
        <v>1267.5399170000001</v>
      </c>
      <c r="K1576">
        <v>80</v>
      </c>
      <c r="L1576">
        <v>79.948295592999997</v>
      </c>
      <c r="M1576">
        <v>50</v>
      </c>
      <c r="N1576">
        <v>45.866321564000003</v>
      </c>
    </row>
    <row r="1577" spans="1:14" x14ac:dyDescent="0.25">
      <c r="A1577">
        <v>1158.1712170000001</v>
      </c>
      <c r="B1577" s="1">
        <f>DATE(2013,7,2) + TIME(4,6,33)</f>
        <v>41457.171215277776</v>
      </c>
      <c r="C1577">
        <v>2400</v>
      </c>
      <c r="D1577">
        <v>0</v>
      </c>
      <c r="E1577">
        <v>0</v>
      </c>
      <c r="F1577">
        <v>2400</v>
      </c>
      <c r="G1577">
        <v>1382.2687988</v>
      </c>
      <c r="H1577">
        <v>1368.4263916</v>
      </c>
      <c r="I1577">
        <v>1287.0804443</v>
      </c>
      <c r="J1577">
        <v>1267.4976807</v>
      </c>
      <c r="K1577">
        <v>80</v>
      </c>
      <c r="L1577">
        <v>79.948326111</v>
      </c>
      <c r="M1577">
        <v>50</v>
      </c>
      <c r="N1577">
        <v>45.808917999000002</v>
      </c>
    </row>
    <row r="1578" spans="1:14" x14ac:dyDescent="0.25">
      <c r="A1578">
        <v>1159.3763160000001</v>
      </c>
      <c r="B1578" s="1">
        <f>DATE(2013,7,3) + TIME(9,1,53)</f>
        <v>41458.376307870371</v>
      </c>
      <c r="C1578">
        <v>2400</v>
      </c>
      <c r="D1578">
        <v>0</v>
      </c>
      <c r="E1578">
        <v>0</v>
      </c>
      <c r="F1578">
        <v>2400</v>
      </c>
      <c r="G1578">
        <v>1382.2136230000001</v>
      </c>
      <c r="H1578">
        <v>1368.3809814000001</v>
      </c>
      <c r="I1578">
        <v>1287.0382079999999</v>
      </c>
      <c r="J1578">
        <v>1267.4372559000001</v>
      </c>
      <c r="K1578">
        <v>80</v>
      </c>
      <c r="L1578">
        <v>79.948348999000004</v>
      </c>
      <c r="M1578">
        <v>50</v>
      </c>
      <c r="N1578">
        <v>45.747039794999999</v>
      </c>
    </row>
    <row r="1579" spans="1:14" x14ac:dyDescent="0.25">
      <c r="A1579">
        <v>1160.607017</v>
      </c>
      <c r="B1579" s="1">
        <f>DATE(2013,7,4) + TIME(14,34,6)</f>
        <v>41459.60701388889</v>
      </c>
      <c r="C1579">
        <v>2400</v>
      </c>
      <c r="D1579">
        <v>0</v>
      </c>
      <c r="E1579">
        <v>0</v>
      </c>
      <c r="F1579">
        <v>2400</v>
      </c>
      <c r="G1579">
        <v>1382.1575928</v>
      </c>
      <c r="H1579">
        <v>1368.3345947</v>
      </c>
      <c r="I1579">
        <v>1286.9941406</v>
      </c>
      <c r="J1579">
        <v>1267.3734131000001</v>
      </c>
      <c r="K1579">
        <v>80</v>
      </c>
      <c r="L1579">
        <v>79.948371886999993</v>
      </c>
      <c r="M1579">
        <v>50</v>
      </c>
      <c r="N1579">
        <v>45.682418822999999</v>
      </c>
    </row>
    <row r="1580" spans="1:14" x14ac:dyDescent="0.25">
      <c r="A1580">
        <v>1161.8678150000001</v>
      </c>
      <c r="B1580" s="1">
        <f>DATE(2013,7,5) + TIME(20,49,39)</f>
        <v>41460.867812500001</v>
      </c>
      <c r="C1580">
        <v>2400</v>
      </c>
      <c r="D1580">
        <v>0</v>
      </c>
      <c r="E1580">
        <v>0</v>
      </c>
      <c r="F1580">
        <v>2400</v>
      </c>
      <c r="G1580">
        <v>1382.1010742000001</v>
      </c>
      <c r="H1580">
        <v>1368.2878418</v>
      </c>
      <c r="I1580">
        <v>1286.9482422000001</v>
      </c>
      <c r="J1580">
        <v>1267.3066406</v>
      </c>
      <c r="K1580">
        <v>80</v>
      </c>
      <c r="L1580">
        <v>79.948394774999997</v>
      </c>
      <c r="M1580">
        <v>50</v>
      </c>
      <c r="N1580">
        <v>45.615802764999998</v>
      </c>
    </row>
    <row r="1581" spans="1:14" x14ac:dyDescent="0.25">
      <c r="A1581">
        <v>1163.156371</v>
      </c>
      <c r="B1581" s="1">
        <f>DATE(2013,7,7) + TIME(3,45,10)</f>
        <v>41462.156365740739</v>
      </c>
      <c r="C1581">
        <v>2400</v>
      </c>
      <c r="D1581">
        <v>0</v>
      </c>
      <c r="E1581">
        <v>0</v>
      </c>
      <c r="F1581">
        <v>2400</v>
      </c>
      <c r="G1581">
        <v>1382.0439452999999</v>
      </c>
      <c r="H1581">
        <v>1368.2404785000001</v>
      </c>
      <c r="I1581">
        <v>1286.9005127</v>
      </c>
      <c r="J1581">
        <v>1267.2369385</v>
      </c>
      <c r="K1581">
        <v>80</v>
      </c>
      <c r="L1581">
        <v>79.948417664000004</v>
      </c>
      <c r="M1581">
        <v>50</v>
      </c>
      <c r="N1581">
        <v>45.547515869000001</v>
      </c>
    </row>
    <row r="1582" spans="1:14" x14ac:dyDescent="0.25">
      <c r="A1582">
        <v>1164.4467870000001</v>
      </c>
      <c r="B1582" s="1">
        <f>DATE(2013,7,8) + TIME(10,43,22)</f>
        <v>41463.446782407409</v>
      </c>
      <c r="C1582">
        <v>2400</v>
      </c>
      <c r="D1582">
        <v>0</v>
      </c>
      <c r="E1582">
        <v>0</v>
      </c>
      <c r="F1582">
        <v>2400</v>
      </c>
      <c r="G1582">
        <v>1381.9863281</v>
      </c>
      <c r="H1582">
        <v>1368.192749</v>
      </c>
      <c r="I1582">
        <v>1286.8510742000001</v>
      </c>
      <c r="J1582">
        <v>1267.1643065999999</v>
      </c>
      <c r="K1582">
        <v>80</v>
      </c>
      <c r="L1582">
        <v>79.948448181000003</v>
      </c>
      <c r="M1582">
        <v>50</v>
      </c>
      <c r="N1582">
        <v>45.478279114000003</v>
      </c>
    </row>
    <row r="1583" spans="1:14" x14ac:dyDescent="0.25">
      <c r="A1583">
        <v>1165.7425929999999</v>
      </c>
      <c r="B1583" s="1">
        <f>DATE(2013,7,9) + TIME(17,49,20)</f>
        <v>41464.742592592593</v>
      </c>
      <c r="C1583">
        <v>2400</v>
      </c>
      <c r="D1583">
        <v>0</v>
      </c>
      <c r="E1583">
        <v>0</v>
      </c>
      <c r="F1583">
        <v>2400</v>
      </c>
      <c r="G1583">
        <v>1381.9294434000001</v>
      </c>
      <c r="H1583">
        <v>1368.1455077999999</v>
      </c>
      <c r="I1583">
        <v>1286.8006591999999</v>
      </c>
      <c r="J1583">
        <v>1267.0900879000001</v>
      </c>
      <c r="K1583">
        <v>80</v>
      </c>
      <c r="L1583">
        <v>79.948471068999993</v>
      </c>
      <c r="M1583">
        <v>50</v>
      </c>
      <c r="N1583">
        <v>45.408576965000002</v>
      </c>
    </row>
    <row r="1584" spans="1:14" x14ac:dyDescent="0.25">
      <c r="A1584">
        <v>1167.0475280000001</v>
      </c>
      <c r="B1584" s="1">
        <f>DATE(2013,7,11) + TIME(1,8,26)</f>
        <v>41466.047523148147</v>
      </c>
      <c r="C1584">
        <v>2400</v>
      </c>
      <c r="D1584">
        <v>0</v>
      </c>
      <c r="E1584">
        <v>0</v>
      </c>
      <c r="F1584">
        <v>2400</v>
      </c>
      <c r="G1584">
        <v>1381.8730469</v>
      </c>
      <c r="H1584">
        <v>1368.0986327999999</v>
      </c>
      <c r="I1584">
        <v>1286.7492675999999</v>
      </c>
      <c r="J1584">
        <v>1267.0140381000001</v>
      </c>
      <c r="K1584">
        <v>80</v>
      </c>
      <c r="L1584">
        <v>79.948493958</v>
      </c>
      <c r="M1584">
        <v>50</v>
      </c>
      <c r="N1584">
        <v>45.338481903000002</v>
      </c>
    </row>
    <row r="1585" spans="1:14" x14ac:dyDescent="0.25">
      <c r="A1585">
        <v>1168.365352</v>
      </c>
      <c r="B1585" s="1">
        <f>DATE(2013,7,12) + TIME(8,46,6)</f>
        <v>41467.365347222221</v>
      </c>
      <c r="C1585">
        <v>2400</v>
      </c>
      <c r="D1585">
        <v>0</v>
      </c>
      <c r="E1585">
        <v>0</v>
      </c>
      <c r="F1585">
        <v>2400</v>
      </c>
      <c r="G1585">
        <v>1381.8170166</v>
      </c>
      <c r="H1585">
        <v>1368.0520019999999</v>
      </c>
      <c r="I1585">
        <v>1286.6967772999999</v>
      </c>
      <c r="J1585">
        <v>1266.9359131000001</v>
      </c>
      <c r="K1585">
        <v>80</v>
      </c>
      <c r="L1585">
        <v>79.948524474999999</v>
      </c>
      <c r="M1585">
        <v>50</v>
      </c>
      <c r="N1585">
        <v>45.267902374000002</v>
      </c>
    </row>
    <row r="1586" spans="1:14" x14ac:dyDescent="0.25">
      <c r="A1586">
        <v>1169.6999149999999</v>
      </c>
      <c r="B1586" s="1">
        <f>DATE(2013,7,13) + TIME(16,47,52)</f>
        <v>41468.699907407405</v>
      </c>
      <c r="C1586">
        <v>2400</v>
      </c>
      <c r="D1586">
        <v>0</v>
      </c>
      <c r="E1586">
        <v>0</v>
      </c>
      <c r="F1586">
        <v>2400</v>
      </c>
      <c r="G1586">
        <v>1381.7611084</v>
      </c>
      <c r="H1586">
        <v>1368.0053711</v>
      </c>
      <c r="I1586">
        <v>1286.6430664</v>
      </c>
      <c r="J1586">
        <v>1266.8557129000001</v>
      </c>
      <c r="K1586">
        <v>80</v>
      </c>
      <c r="L1586">
        <v>79.948547363000003</v>
      </c>
      <c r="M1586">
        <v>50</v>
      </c>
      <c r="N1586">
        <v>45.196678161999998</v>
      </c>
    </row>
    <row r="1587" spans="1:14" x14ac:dyDescent="0.25">
      <c r="A1587">
        <v>1171.0552499999999</v>
      </c>
      <c r="B1587" s="1">
        <f>DATE(2013,7,15) + TIME(1,19,33)</f>
        <v>41470.055243055554</v>
      </c>
      <c r="C1587">
        <v>2400</v>
      </c>
      <c r="D1587">
        <v>0</v>
      </c>
      <c r="E1587">
        <v>0</v>
      </c>
      <c r="F1587">
        <v>2400</v>
      </c>
      <c r="G1587">
        <v>1381.7053223</v>
      </c>
      <c r="H1587">
        <v>1367.9587402</v>
      </c>
      <c r="I1587">
        <v>1286.5877685999999</v>
      </c>
      <c r="J1587">
        <v>1266.7729492000001</v>
      </c>
      <c r="K1587">
        <v>80</v>
      </c>
      <c r="L1587">
        <v>79.948577881000006</v>
      </c>
      <c r="M1587">
        <v>50</v>
      </c>
      <c r="N1587">
        <v>45.124610900999997</v>
      </c>
    </row>
    <row r="1588" spans="1:14" x14ac:dyDescent="0.25">
      <c r="A1588">
        <v>1172.4356439999999</v>
      </c>
      <c r="B1588" s="1">
        <f>DATE(2013,7,16) + TIME(10,27,19)</f>
        <v>41471.435636574075</v>
      </c>
      <c r="C1588">
        <v>2400</v>
      </c>
      <c r="D1588">
        <v>0</v>
      </c>
      <c r="E1588">
        <v>0</v>
      </c>
      <c r="F1588">
        <v>2400</v>
      </c>
      <c r="G1588">
        <v>1381.6494141000001</v>
      </c>
      <c r="H1588">
        <v>1367.9119873</v>
      </c>
      <c r="I1588">
        <v>1286.5308838000001</v>
      </c>
      <c r="J1588">
        <v>1266.6875</v>
      </c>
      <c r="K1588">
        <v>80</v>
      </c>
      <c r="L1588">
        <v>79.948608398000005</v>
      </c>
      <c r="M1588">
        <v>50</v>
      </c>
      <c r="N1588">
        <v>45.051494597999998</v>
      </c>
    </row>
    <row r="1589" spans="1:14" x14ac:dyDescent="0.25">
      <c r="A1589">
        <v>1173.845705</v>
      </c>
      <c r="B1589" s="1">
        <f>DATE(2013,7,17) + TIME(20,17,48)</f>
        <v>41472.845694444448</v>
      </c>
      <c r="C1589">
        <v>2400</v>
      </c>
      <c r="D1589">
        <v>0</v>
      </c>
      <c r="E1589">
        <v>0</v>
      </c>
      <c r="F1589">
        <v>2400</v>
      </c>
      <c r="G1589">
        <v>1381.5930175999999</v>
      </c>
      <c r="H1589">
        <v>1367.8648682</v>
      </c>
      <c r="I1589">
        <v>1286.472168</v>
      </c>
      <c r="J1589">
        <v>1266.5988769999999</v>
      </c>
      <c r="K1589">
        <v>80</v>
      </c>
      <c r="L1589">
        <v>79.948638915999993</v>
      </c>
      <c r="M1589">
        <v>50</v>
      </c>
      <c r="N1589">
        <v>44.977100372000002</v>
      </c>
    </row>
    <row r="1590" spans="1:14" x14ac:dyDescent="0.25">
      <c r="A1590">
        <v>1175.2904679999999</v>
      </c>
      <c r="B1590" s="1">
        <f>DATE(2013,7,19) + TIME(6,58,16)</f>
        <v>41474.290462962963</v>
      </c>
      <c r="C1590">
        <v>2400</v>
      </c>
      <c r="D1590">
        <v>0</v>
      </c>
      <c r="E1590">
        <v>0</v>
      </c>
      <c r="F1590">
        <v>2400</v>
      </c>
      <c r="G1590">
        <v>1381.5362548999999</v>
      </c>
      <c r="H1590">
        <v>1367.8172606999999</v>
      </c>
      <c r="I1590">
        <v>1286.4112548999999</v>
      </c>
      <c r="J1590">
        <v>1266.5067139</v>
      </c>
      <c r="K1590">
        <v>80</v>
      </c>
      <c r="L1590">
        <v>79.948669433999996</v>
      </c>
      <c r="M1590">
        <v>50</v>
      </c>
      <c r="N1590">
        <v>44.901180267000001</v>
      </c>
    </row>
    <row r="1591" spans="1:14" x14ac:dyDescent="0.25">
      <c r="A1591">
        <v>1176.7654359999999</v>
      </c>
      <c r="B1591" s="1">
        <f>DATE(2013,7,20) + TIME(18,22,13)</f>
        <v>41475.765428240738</v>
      </c>
      <c r="C1591">
        <v>2400</v>
      </c>
      <c r="D1591">
        <v>0</v>
      </c>
      <c r="E1591">
        <v>0</v>
      </c>
      <c r="F1591">
        <v>2400</v>
      </c>
      <c r="G1591">
        <v>1381.4788818</v>
      </c>
      <c r="H1591">
        <v>1367.769043</v>
      </c>
      <c r="I1591">
        <v>1286.3481445</v>
      </c>
      <c r="J1591">
        <v>1266.4108887</v>
      </c>
      <c r="K1591">
        <v>80</v>
      </c>
      <c r="L1591">
        <v>79.948707580999994</v>
      </c>
      <c r="M1591">
        <v>50</v>
      </c>
      <c r="N1591">
        <v>44.823669434000003</v>
      </c>
    </row>
    <row r="1592" spans="1:14" x14ac:dyDescent="0.25">
      <c r="A1592">
        <v>1178.243453</v>
      </c>
      <c r="B1592" s="1">
        <f>DATE(2013,7,22) + TIME(5,50,34)</f>
        <v>41477.243449074071</v>
      </c>
      <c r="C1592">
        <v>2400</v>
      </c>
      <c r="D1592">
        <v>0</v>
      </c>
      <c r="E1592">
        <v>0</v>
      </c>
      <c r="F1592">
        <v>2400</v>
      </c>
      <c r="G1592">
        <v>1381.4210204999999</v>
      </c>
      <c r="H1592">
        <v>1367.7203368999999</v>
      </c>
      <c r="I1592">
        <v>1286.2828368999999</v>
      </c>
      <c r="J1592">
        <v>1266.3114014</v>
      </c>
      <c r="K1592">
        <v>80</v>
      </c>
      <c r="L1592">
        <v>79.948738098000007</v>
      </c>
      <c r="M1592">
        <v>50</v>
      </c>
      <c r="N1592">
        <v>44.745140075999998</v>
      </c>
    </row>
    <row r="1593" spans="1:14" x14ac:dyDescent="0.25">
      <c r="A1593">
        <v>1179.7286079999999</v>
      </c>
      <c r="B1593" s="1">
        <f>DATE(2013,7,23) + TIME(17,29,11)</f>
        <v>41478.72859953704</v>
      </c>
      <c r="C1593">
        <v>2400</v>
      </c>
      <c r="D1593">
        <v>0</v>
      </c>
      <c r="E1593">
        <v>0</v>
      </c>
      <c r="F1593">
        <v>2400</v>
      </c>
      <c r="G1593">
        <v>1381.3636475000001</v>
      </c>
      <c r="H1593">
        <v>1367.6721190999999</v>
      </c>
      <c r="I1593">
        <v>1286.2164307</v>
      </c>
      <c r="J1593">
        <v>1266.2099608999999</v>
      </c>
      <c r="K1593">
        <v>80</v>
      </c>
      <c r="L1593">
        <v>79.948768615999995</v>
      </c>
      <c r="M1593">
        <v>50</v>
      </c>
      <c r="N1593">
        <v>44.666099547999998</v>
      </c>
    </row>
    <row r="1594" spans="1:14" x14ac:dyDescent="0.25">
      <c r="A1594">
        <v>1181.225242</v>
      </c>
      <c r="B1594" s="1">
        <f>DATE(2013,7,25) + TIME(5,24,20)</f>
        <v>41480.225231481483</v>
      </c>
      <c r="C1594">
        <v>2400</v>
      </c>
      <c r="D1594">
        <v>0</v>
      </c>
      <c r="E1594">
        <v>0</v>
      </c>
      <c r="F1594">
        <v>2400</v>
      </c>
      <c r="G1594">
        <v>1381.3068848</v>
      </c>
      <c r="H1594">
        <v>1367.6241454999999</v>
      </c>
      <c r="I1594">
        <v>1286.1488036999999</v>
      </c>
      <c r="J1594">
        <v>1266.1060791</v>
      </c>
      <c r="K1594">
        <v>80</v>
      </c>
      <c r="L1594">
        <v>79.948806762999993</v>
      </c>
      <c r="M1594">
        <v>50</v>
      </c>
      <c r="N1594">
        <v>44.586608886999997</v>
      </c>
    </row>
    <row r="1595" spans="1:14" x14ac:dyDescent="0.25">
      <c r="A1595">
        <v>1182.73776</v>
      </c>
      <c r="B1595" s="1">
        <f>DATE(2013,7,26) + TIME(17,42,22)</f>
        <v>41481.737754629627</v>
      </c>
      <c r="C1595">
        <v>2400</v>
      </c>
      <c r="D1595">
        <v>0</v>
      </c>
      <c r="E1595">
        <v>0</v>
      </c>
      <c r="F1595">
        <v>2400</v>
      </c>
      <c r="G1595">
        <v>1381.2502440999999</v>
      </c>
      <c r="H1595">
        <v>1367.5764160000001</v>
      </c>
      <c r="I1595">
        <v>1286.0799560999999</v>
      </c>
      <c r="J1595">
        <v>1265.9998779</v>
      </c>
      <c r="K1595">
        <v>80</v>
      </c>
      <c r="L1595">
        <v>79.948837280000006</v>
      </c>
      <c r="M1595">
        <v>50</v>
      </c>
      <c r="N1595">
        <v>44.506546020999998</v>
      </c>
    </row>
    <row r="1596" spans="1:14" x14ac:dyDescent="0.25">
      <c r="A1596">
        <v>1184.270698</v>
      </c>
      <c r="B1596" s="1">
        <f>DATE(2013,7,28) + TIME(6,29,48)</f>
        <v>41483.270694444444</v>
      </c>
      <c r="C1596">
        <v>2400</v>
      </c>
      <c r="D1596">
        <v>0</v>
      </c>
      <c r="E1596">
        <v>0</v>
      </c>
      <c r="F1596">
        <v>2400</v>
      </c>
      <c r="G1596">
        <v>1381.1937256000001</v>
      </c>
      <c r="H1596">
        <v>1367.5285644999999</v>
      </c>
      <c r="I1596">
        <v>1286.0095214999999</v>
      </c>
      <c r="J1596">
        <v>1265.8908690999999</v>
      </c>
      <c r="K1596">
        <v>80</v>
      </c>
      <c r="L1596">
        <v>79.948875427000004</v>
      </c>
      <c r="M1596">
        <v>50</v>
      </c>
      <c r="N1596">
        <v>44.425735474</v>
      </c>
    </row>
    <row r="1597" spans="1:14" x14ac:dyDescent="0.25">
      <c r="A1597">
        <v>1185.8288219999999</v>
      </c>
      <c r="B1597" s="1">
        <f>DATE(2013,7,29) + TIME(19,53,30)</f>
        <v>41484.828819444447</v>
      </c>
      <c r="C1597">
        <v>2400</v>
      </c>
      <c r="D1597">
        <v>0</v>
      </c>
      <c r="E1597">
        <v>0</v>
      </c>
      <c r="F1597">
        <v>2400</v>
      </c>
      <c r="G1597">
        <v>1381.1370850000001</v>
      </c>
      <c r="H1597">
        <v>1367.4807129000001</v>
      </c>
      <c r="I1597">
        <v>1285.9373779</v>
      </c>
      <c r="J1597">
        <v>1265.7788086</v>
      </c>
      <c r="K1597">
        <v>80</v>
      </c>
      <c r="L1597">
        <v>79.948913574000002</v>
      </c>
      <c r="M1597">
        <v>50</v>
      </c>
      <c r="N1597">
        <v>44.343975067000002</v>
      </c>
    </row>
    <row r="1598" spans="1:14" x14ac:dyDescent="0.25">
      <c r="A1598">
        <v>1187.417248</v>
      </c>
      <c r="B1598" s="1">
        <f>DATE(2013,7,31) + TIME(10,0,50)</f>
        <v>41486.417245370372</v>
      </c>
      <c r="C1598">
        <v>2400</v>
      </c>
      <c r="D1598">
        <v>0</v>
      </c>
      <c r="E1598">
        <v>0</v>
      </c>
      <c r="F1598">
        <v>2400</v>
      </c>
      <c r="G1598">
        <v>1381.0803223</v>
      </c>
      <c r="H1598">
        <v>1367.4323730000001</v>
      </c>
      <c r="I1598">
        <v>1285.8634033000001</v>
      </c>
      <c r="J1598">
        <v>1265.6632079999999</v>
      </c>
      <c r="K1598">
        <v>80</v>
      </c>
      <c r="L1598">
        <v>79.948951721</v>
      </c>
      <c r="M1598">
        <v>50</v>
      </c>
      <c r="N1598">
        <v>44.261039734000001</v>
      </c>
    </row>
    <row r="1599" spans="1:14" x14ac:dyDescent="0.25">
      <c r="A1599">
        <v>1188</v>
      </c>
      <c r="B1599" s="1">
        <f>DATE(2013,8,1) + TIME(0,0,0)</f>
        <v>41487</v>
      </c>
      <c r="C1599">
        <v>2400</v>
      </c>
      <c r="D1599">
        <v>0</v>
      </c>
      <c r="E1599">
        <v>0</v>
      </c>
      <c r="F1599">
        <v>2400</v>
      </c>
      <c r="G1599">
        <v>1381.0231934000001</v>
      </c>
      <c r="H1599">
        <v>1367.3839111</v>
      </c>
      <c r="I1599">
        <v>1285.7893065999999</v>
      </c>
      <c r="J1599">
        <v>1265.5585937999999</v>
      </c>
      <c r="K1599">
        <v>80</v>
      </c>
      <c r="L1599">
        <v>79.948951721</v>
      </c>
      <c r="M1599">
        <v>50</v>
      </c>
      <c r="N1599">
        <v>44.209232329999999</v>
      </c>
    </row>
    <row r="1600" spans="1:14" x14ac:dyDescent="0.25">
      <c r="A1600">
        <v>1189.615268</v>
      </c>
      <c r="B1600" s="1">
        <f>DATE(2013,8,2) + TIME(14,45,59)</f>
        <v>41488.615266203706</v>
      </c>
      <c r="C1600">
        <v>2400</v>
      </c>
      <c r="D1600">
        <v>0</v>
      </c>
      <c r="E1600">
        <v>0</v>
      </c>
      <c r="F1600">
        <v>2400</v>
      </c>
      <c r="G1600">
        <v>1381.0019531</v>
      </c>
      <c r="H1600">
        <v>1367.3658447</v>
      </c>
      <c r="I1600">
        <v>1285.7568358999999</v>
      </c>
      <c r="J1600">
        <v>1265.4937743999999</v>
      </c>
      <c r="K1600">
        <v>80</v>
      </c>
      <c r="L1600">
        <v>79.948997497999997</v>
      </c>
      <c r="M1600">
        <v>50</v>
      </c>
      <c r="N1600">
        <v>44.138641356999997</v>
      </c>
    </row>
    <row r="1601" spans="1:14" x14ac:dyDescent="0.25">
      <c r="A1601">
        <v>1191.2678189999999</v>
      </c>
      <c r="B1601" s="1">
        <f>DATE(2013,8,4) + TIME(6,25,39)</f>
        <v>41490.267812500002</v>
      </c>
      <c r="C1601">
        <v>2400</v>
      </c>
      <c r="D1601">
        <v>0</v>
      </c>
      <c r="E1601">
        <v>0</v>
      </c>
      <c r="F1601">
        <v>2400</v>
      </c>
      <c r="G1601">
        <v>1380.9448242000001</v>
      </c>
      <c r="H1601">
        <v>1367.3172606999999</v>
      </c>
      <c r="I1601">
        <v>1285.6796875</v>
      </c>
      <c r="J1601">
        <v>1265.3740233999999</v>
      </c>
      <c r="K1601">
        <v>80</v>
      </c>
      <c r="L1601">
        <v>79.949043274000005</v>
      </c>
      <c r="M1601">
        <v>50</v>
      </c>
      <c r="N1601">
        <v>44.057964325</v>
      </c>
    </row>
    <row r="1602" spans="1:14" x14ac:dyDescent="0.25">
      <c r="A1602">
        <v>1192.953444</v>
      </c>
      <c r="B1602" s="1">
        <f>DATE(2013,8,5) + TIME(22,52,57)</f>
        <v>41491.9534375</v>
      </c>
      <c r="C1602">
        <v>2400</v>
      </c>
      <c r="D1602">
        <v>0</v>
      </c>
      <c r="E1602">
        <v>0</v>
      </c>
      <c r="F1602">
        <v>2400</v>
      </c>
      <c r="G1602">
        <v>1380.8868408000001</v>
      </c>
      <c r="H1602">
        <v>1367.2678223</v>
      </c>
      <c r="I1602">
        <v>1285.5991211</v>
      </c>
      <c r="J1602">
        <v>1265.2474365</v>
      </c>
      <c r="K1602">
        <v>80</v>
      </c>
      <c r="L1602">
        <v>79.949081421000002</v>
      </c>
      <c r="M1602">
        <v>50</v>
      </c>
      <c r="N1602">
        <v>43.972721100000001</v>
      </c>
    </row>
    <row r="1603" spans="1:14" x14ac:dyDescent="0.25">
      <c r="A1603">
        <v>1194.6486749999999</v>
      </c>
      <c r="B1603" s="1">
        <f>DATE(2013,8,7) + TIME(15,34,5)</f>
        <v>41493.648668981485</v>
      </c>
      <c r="C1603">
        <v>2400</v>
      </c>
      <c r="D1603">
        <v>0</v>
      </c>
      <c r="E1603">
        <v>0</v>
      </c>
      <c r="F1603">
        <v>2400</v>
      </c>
      <c r="G1603">
        <v>1380.8283690999999</v>
      </c>
      <c r="H1603">
        <v>1367.2178954999999</v>
      </c>
      <c r="I1603">
        <v>1285.5161132999999</v>
      </c>
      <c r="J1603">
        <v>1265.1160889</v>
      </c>
      <c r="K1603">
        <v>80</v>
      </c>
      <c r="L1603">
        <v>79.949127196999996</v>
      </c>
      <c r="M1603">
        <v>50</v>
      </c>
      <c r="N1603">
        <v>43.885414124</v>
      </c>
    </row>
    <row r="1604" spans="1:14" x14ac:dyDescent="0.25">
      <c r="A1604">
        <v>1196.356687</v>
      </c>
      <c r="B1604" s="1">
        <f>DATE(2013,8,9) + TIME(8,33,37)</f>
        <v>41495.356678240743</v>
      </c>
      <c r="C1604">
        <v>2400</v>
      </c>
      <c r="D1604">
        <v>0</v>
      </c>
      <c r="E1604">
        <v>0</v>
      </c>
      <c r="F1604">
        <v>2400</v>
      </c>
      <c r="G1604">
        <v>1380.7702637</v>
      </c>
      <c r="H1604">
        <v>1367.1682129000001</v>
      </c>
      <c r="I1604">
        <v>1285.4317627</v>
      </c>
      <c r="J1604">
        <v>1264.9819336</v>
      </c>
      <c r="K1604">
        <v>80</v>
      </c>
      <c r="L1604">
        <v>79.949165343999994</v>
      </c>
      <c r="M1604">
        <v>50</v>
      </c>
      <c r="N1604">
        <v>43.797306061</v>
      </c>
    </row>
    <row r="1605" spans="1:14" x14ac:dyDescent="0.25">
      <c r="A1605">
        <v>1198.082645</v>
      </c>
      <c r="B1605" s="1">
        <f>DATE(2013,8,11) + TIME(1,59,0)</f>
        <v>41497.082638888889</v>
      </c>
      <c r="C1605">
        <v>2400</v>
      </c>
      <c r="D1605">
        <v>0</v>
      </c>
      <c r="E1605">
        <v>0</v>
      </c>
      <c r="F1605">
        <v>2400</v>
      </c>
      <c r="G1605">
        <v>1380.7122803</v>
      </c>
      <c r="H1605">
        <v>1367.1185303</v>
      </c>
      <c r="I1605">
        <v>1285.3461914</v>
      </c>
      <c r="J1605">
        <v>1264.8452147999999</v>
      </c>
      <c r="K1605">
        <v>80</v>
      </c>
      <c r="L1605">
        <v>79.949211121000005</v>
      </c>
      <c r="M1605">
        <v>50</v>
      </c>
      <c r="N1605">
        <v>43.708747864000003</v>
      </c>
    </row>
    <row r="1606" spans="1:14" x14ac:dyDescent="0.25">
      <c r="A1606">
        <v>1199.8318420000001</v>
      </c>
      <c r="B1606" s="1">
        <f>DATE(2013,8,12) + TIME(19,57,51)</f>
        <v>41498.83184027778</v>
      </c>
      <c r="C1606">
        <v>2400</v>
      </c>
      <c r="D1606">
        <v>0</v>
      </c>
      <c r="E1606">
        <v>0</v>
      </c>
      <c r="F1606">
        <v>2400</v>
      </c>
      <c r="G1606">
        <v>1380.6544189000001</v>
      </c>
      <c r="H1606">
        <v>1367.0689697</v>
      </c>
      <c r="I1606">
        <v>1285.2591553</v>
      </c>
      <c r="J1606">
        <v>1264.7056885</v>
      </c>
      <c r="K1606">
        <v>80</v>
      </c>
      <c r="L1606">
        <v>79.949256896999998</v>
      </c>
      <c r="M1606">
        <v>50</v>
      </c>
      <c r="N1606">
        <v>43.619724273999999</v>
      </c>
    </row>
    <row r="1607" spans="1:14" x14ac:dyDescent="0.25">
      <c r="A1607">
        <v>1201.6081589999999</v>
      </c>
      <c r="B1607" s="1">
        <f>DATE(2013,8,14) + TIME(14,35,44)</f>
        <v>41500.608148148145</v>
      </c>
      <c r="C1607">
        <v>2400</v>
      </c>
      <c r="D1607">
        <v>0</v>
      </c>
      <c r="E1607">
        <v>0</v>
      </c>
      <c r="F1607">
        <v>2400</v>
      </c>
      <c r="G1607">
        <v>1380.5964355000001</v>
      </c>
      <c r="H1607">
        <v>1367.019043</v>
      </c>
      <c r="I1607">
        <v>1285.1706543</v>
      </c>
      <c r="J1607">
        <v>1264.5631103999999</v>
      </c>
      <c r="K1607">
        <v>80</v>
      </c>
      <c r="L1607">
        <v>79.949295043999996</v>
      </c>
      <c r="M1607">
        <v>50</v>
      </c>
      <c r="N1607">
        <v>43.530162810999997</v>
      </c>
    </row>
    <row r="1608" spans="1:14" x14ac:dyDescent="0.25">
      <c r="A1608">
        <v>1203.4041400000001</v>
      </c>
      <c r="B1608" s="1">
        <f>DATE(2013,8,16) + TIME(9,41,57)</f>
        <v>41502.404131944444</v>
      </c>
      <c r="C1608">
        <v>2400</v>
      </c>
      <c r="D1608">
        <v>0</v>
      </c>
      <c r="E1608">
        <v>0</v>
      </c>
      <c r="F1608">
        <v>2400</v>
      </c>
      <c r="G1608">
        <v>1380.5380858999999</v>
      </c>
      <c r="H1608">
        <v>1366.9688721</v>
      </c>
      <c r="I1608">
        <v>1285.0805664</v>
      </c>
      <c r="J1608">
        <v>1264.4173584</v>
      </c>
      <c r="K1608">
        <v>80</v>
      </c>
      <c r="L1608">
        <v>79.949340820000003</v>
      </c>
      <c r="M1608">
        <v>50</v>
      </c>
      <c r="N1608">
        <v>43.440162659000002</v>
      </c>
    </row>
    <row r="1609" spans="1:14" x14ac:dyDescent="0.25">
      <c r="A1609">
        <v>1205.2251510000001</v>
      </c>
      <c r="B1609" s="1">
        <f>DATE(2013,8,18) + TIME(5,24,13)</f>
        <v>41504.22515046296</v>
      </c>
      <c r="C1609">
        <v>2400</v>
      </c>
      <c r="D1609">
        <v>0</v>
      </c>
      <c r="E1609">
        <v>0</v>
      </c>
      <c r="F1609">
        <v>2400</v>
      </c>
      <c r="G1609">
        <v>1380.4798584</v>
      </c>
      <c r="H1609">
        <v>1366.9187012</v>
      </c>
      <c r="I1609">
        <v>1284.9891356999999</v>
      </c>
      <c r="J1609">
        <v>1264.2689209</v>
      </c>
      <c r="K1609">
        <v>80</v>
      </c>
      <c r="L1609">
        <v>79.949386597</v>
      </c>
      <c r="M1609">
        <v>50</v>
      </c>
      <c r="N1609">
        <v>43.349895476999997</v>
      </c>
    </row>
    <row r="1610" spans="1:14" x14ac:dyDescent="0.25">
      <c r="A1610">
        <v>1207.0767739999999</v>
      </c>
      <c r="B1610" s="1">
        <f>DATE(2013,8,20) + TIME(1,50,33)</f>
        <v>41506.076770833337</v>
      </c>
      <c r="C1610">
        <v>2400</v>
      </c>
      <c r="D1610">
        <v>0</v>
      </c>
      <c r="E1610">
        <v>0</v>
      </c>
      <c r="F1610">
        <v>2400</v>
      </c>
      <c r="G1610">
        <v>1380.4212646000001</v>
      </c>
      <c r="H1610">
        <v>1366.8681641000001</v>
      </c>
      <c r="I1610">
        <v>1284.8962402</v>
      </c>
      <c r="J1610">
        <v>1264.1174315999999</v>
      </c>
      <c r="K1610">
        <v>80</v>
      </c>
      <c r="L1610">
        <v>79.949432372999993</v>
      </c>
      <c r="M1610">
        <v>50</v>
      </c>
      <c r="N1610">
        <v>43.259334564</v>
      </c>
    </row>
    <row r="1611" spans="1:14" x14ac:dyDescent="0.25">
      <c r="A1611">
        <v>1208.9508659999999</v>
      </c>
      <c r="B1611" s="1">
        <f>DATE(2013,8,21) + TIME(22,49,14)</f>
        <v>41507.950856481482</v>
      </c>
      <c r="C1611">
        <v>2400</v>
      </c>
      <c r="D1611">
        <v>0</v>
      </c>
      <c r="E1611">
        <v>0</v>
      </c>
      <c r="F1611">
        <v>2400</v>
      </c>
      <c r="G1611">
        <v>1380.3624268000001</v>
      </c>
      <c r="H1611">
        <v>1366.8172606999999</v>
      </c>
      <c r="I1611">
        <v>1284.8017577999999</v>
      </c>
      <c r="J1611">
        <v>1263.9628906</v>
      </c>
      <c r="K1611">
        <v>80</v>
      </c>
      <c r="L1611">
        <v>79.949485779</v>
      </c>
      <c r="M1611">
        <v>50</v>
      </c>
      <c r="N1611">
        <v>43.168613434000001</v>
      </c>
    </row>
    <row r="1612" spans="1:14" x14ac:dyDescent="0.25">
      <c r="A1612">
        <v>1210.8499870000001</v>
      </c>
      <c r="B1612" s="1">
        <f>DATE(2013,8,23) + TIME(20,23,58)</f>
        <v>41509.849976851852</v>
      </c>
      <c r="C1612">
        <v>2400</v>
      </c>
      <c r="D1612">
        <v>0</v>
      </c>
      <c r="E1612">
        <v>0</v>
      </c>
      <c r="F1612">
        <v>2400</v>
      </c>
      <c r="G1612">
        <v>1380.3034668</v>
      </c>
      <c r="H1612">
        <v>1366.7661132999999</v>
      </c>
      <c r="I1612">
        <v>1284.7061768000001</v>
      </c>
      <c r="J1612">
        <v>1263.8057861</v>
      </c>
      <c r="K1612">
        <v>80</v>
      </c>
      <c r="L1612">
        <v>79.949531554999993</v>
      </c>
      <c r="M1612">
        <v>50</v>
      </c>
      <c r="N1612">
        <v>43.078025818</v>
      </c>
    </row>
    <row r="1613" spans="1:14" x14ac:dyDescent="0.25">
      <c r="A1613">
        <v>1212.780164</v>
      </c>
      <c r="B1613" s="1">
        <f>DATE(2013,8,25) + TIME(18,43,26)</f>
        <v>41511.780162037037</v>
      </c>
      <c r="C1613">
        <v>2400</v>
      </c>
      <c r="D1613">
        <v>0</v>
      </c>
      <c r="E1613">
        <v>0</v>
      </c>
      <c r="F1613">
        <v>2400</v>
      </c>
      <c r="G1613">
        <v>1380.2442627</v>
      </c>
      <c r="H1613">
        <v>1366.7148437999999</v>
      </c>
      <c r="I1613">
        <v>1284.6094971</v>
      </c>
      <c r="J1613">
        <v>1263.6462402</v>
      </c>
      <c r="K1613">
        <v>80</v>
      </c>
      <c r="L1613">
        <v>79.949577332000004</v>
      </c>
      <c r="M1613">
        <v>50</v>
      </c>
      <c r="N1613">
        <v>42.987682343000003</v>
      </c>
    </row>
    <row r="1614" spans="1:14" x14ac:dyDescent="0.25">
      <c r="A1614">
        <v>1214.744477</v>
      </c>
      <c r="B1614" s="1">
        <f>DATE(2013,8,27) + TIME(17,52,2)</f>
        <v>41513.744467592594</v>
      </c>
      <c r="C1614">
        <v>2400</v>
      </c>
      <c r="D1614">
        <v>0</v>
      </c>
      <c r="E1614">
        <v>0</v>
      </c>
      <c r="F1614">
        <v>2400</v>
      </c>
      <c r="G1614">
        <v>1380.1846923999999</v>
      </c>
      <c r="H1614">
        <v>1366.6630858999999</v>
      </c>
      <c r="I1614">
        <v>1284.5115966999999</v>
      </c>
      <c r="J1614">
        <v>1263.4838867000001</v>
      </c>
      <c r="K1614">
        <v>80</v>
      </c>
      <c r="L1614">
        <v>79.949630737000007</v>
      </c>
      <c r="M1614">
        <v>50</v>
      </c>
      <c r="N1614">
        <v>42.897624968999999</v>
      </c>
    </row>
    <row r="1615" spans="1:14" x14ac:dyDescent="0.25">
      <c r="A1615">
        <v>1216.7324570000001</v>
      </c>
      <c r="B1615" s="1">
        <f>DATE(2013,8,29) + TIME(17,34,44)</f>
        <v>41515.732453703706</v>
      </c>
      <c r="C1615">
        <v>2400</v>
      </c>
      <c r="D1615">
        <v>0</v>
      </c>
      <c r="E1615">
        <v>0</v>
      </c>
      <c r="F1615">
        <v>2400</v>
      </c>
      <c r="G1615">
        <v>1380.1247559000001</v>
      </c>
      <c r="H1615">
        <v>1366.6109618999999</v>
      </c>
      <c r="I1615">
        <v>1284.4124756000001</v>
      </c>
      <c r="J1615">
        <v>1263.3189697</v>
      </c>
      <c r="K1615">
        <v>80</v>
      </c>
      <c r="L1615">
        <v>79.949684142999999</v>
      </c>
      <c r="M1615">
        <v>50</v>
      </c>
      <c r="N1615">
        <v>42.808158874999997</v>
      </c>
    </row>
    <row r="1616" spans="1:14" x14ac:dyDescent="0.25">
      <c r="A1616">
        <v>1218.7351269999999</v>
      </c>
      <c r="B1616" s="1">
        <f>DATE(2013,8,31) + TIME(17,38,34)</f>
        <v>41517.735115740739</v>
      </c>
      <c r="C1616">
        <v>2400</v>
      </c>
      <c r="D1616">
        <v>0</v>
      </c>
      <c r="E1616">
        <v>0</v>
      </c>
      <c r="F1616">
        <v>2400</v>
      </c>
      <c r="G1616">
        <v>1380.0646973</v>
      </c>
      <c r="H1616">
        <v>1366.5584716999999</v>
      </c>
      <c r="I1616">
        <v>1284.3127440999999</v>
      </c>
      <c r="J1616">
        <v>1263.1523437999999</v>
      </c>
      <c r="K1616">
        <v>80</v>
      </c>
      <c r="L1616">
        <v>79.949737549000005</v>
      </c>
      <c r="M1616">
        <v>50</v>
      </c>
      <c r="N1616">
        <v>42.719894408999998</v>
      </c>
    </row>
    <row r="1617" spans="1:14" x14ac:dyDescent="0.25">
      <c r="A1617">
        <v>1219</v>
      </c>
      <c r="B1617" s="1">
        <f>DATE(2013,9,1) + TIME(0,0,0)</f>
        <v>41518</v>
      </c>
      <c r="C1617">
        <v>2400</v>
      </c>
      <c r="D1617">
        <v>0</v>
      </c>
      <c r="E1617">
        <v>0</v>
      </c>
      <c r="F1617">
        <v>2400</v>
      </c>
      <c r="G1617">
        <v>1380.0063477000001</v>
      </c>
      <c r="H1617">
        <v>1366.5076904</v>
      </c>
      <c r="I1617">
        <v>1284.2248535000001</v>
      </c>
      <c r="J1617">
        <v>1263.0263672000001</v>
      </c>
      <c r="K1617">
        <v>80</v>
      </c>
      <c r="L1617">
        <v>79.949729919000006</v>
      </c>
      <c r="M1617">
        <v>50</v>
      </c>
      <c r="N1617">
        <v>42.690883636000002</v>
      </c>
    </row>
    <row r="1618" spans="1:14" x14ac:dyDescent="0.25">
      <c r="A1618">
        <v>1221.0250000000001</v>
      </c>
      <c r="B1618" s="1">
        <f>DATE(2013,9,3) + TIME(0,36,0)</f>
        <v>41520.025000000001</v>
      </c>
      <c r="C1618">
        <v>2400</v>
      </c>
      <c r="D1618">
        <v>0</v>
      </c>
      <c r="E1618">
        <v>0</v>
      </c>
      <c r="F1618">
        <v>2400</v>
      </c>
      <c r="G1618">
        <v>1379.9964600000001</v>
      </c>
      <c r="H1618">
        <v>1366.4989014</v>
      </c>
      <c r="I1618">
        <v>1284.1971435999999</v>
      </c>
      <c r="J1618">
        <v>1262.9562988</v>
      </c>
      <c r="K1618">
        <v>80</v>
      </c>
      <c r="L1618">
        <v>79.949790954999997</v>
      </c>
      <c r="M1618">
        <v>50</v>
      </c>
      <c r="N1618">
        <v>42.616897582999997</v>
      </c>
    </row>
    <row r="1619" spans="1:14" x14ac:dyDescent="0.25">
      <c r="A1619">
        <v>1223.073682</v>
      </c>
      <c r="B1619" s="1">
        <f>DATE(2013,9,5) + TIME(1,46,6)</f>
        <v>41522.073680555557</v>
      </c>
      <c r="C1619">
        <v>2400</v>
      </c>
      <c r="D1619">
        <v>0</v>
      </c>
      <c r="E1619">
        <v>0</v>
      </c>
      <c r="F1619">
        <v>2400</v>
      </c>
      <c r="G1619">
        <v>1379.9367675999999</v>
      </c>
      <c r="H1619">
        <v>1366.4466553</v>
      </c>
      <c r="I1619">
        <v>1284.0993652</v>
      </c>
      <c r="J1619">
        <v>1262.7927245999999</v>
      </c>
      <c r="K1619">
        <v>80</v>
      </c>
      <c r="L1619">
        <v>79.94984436</v>
      </c>
      <c r="M1619">
        <v>50</v>
      </c>
      <c r="N1619">
        <v>42.536159515000001</v>
      </c>
    </row>
    <row r="1620" spans="1:14" x14ac:dyDescent="0.25">
      <c r="A1620">
        <v>1225.1428390000001</v>
      </c>
      <c r="B1620" s="1">
        <f>DATE(2013,9,7) + TIME(3,25,41)</f>
        <v>41524.142835648148</v>
      </c>
      <c r="C1620">
        <v>2400</v>
      </c>
      <c r="D1620">
        <v>0</v>
      </c>
      <c r="E1620">
        <v>0</v>
      </c>
      <c r="F1620">
        <v>2400</v>
      </c>
      <c r="G1620">
        <v>1379.8765868999999</v>
      </c>
      <c r="H1620">
        <v>1366.3939209</v>
      </c>
      <c r="I1620">
        <v>1284.0002440999999</v>
      </c>
      <c r="J1620">
        <v>1262.6252440999999</v>
      </c>
      <c r="K1620">
        <v>80</v>
      </c>
      <c r="L1620">
        <v>79.949897766000007</v>
      </c>
      <c r="M1620">
        <v>50</v>
      </c>
      <c r="N1620">
        <v>42.455070495999998</v>
      </c>
    </row>
    <row r="1621" spans="1:14" x14ac:dyDescent="0.25">
      <c r="A1621">
        <v>1227.2388699999999</v>
      </c>
      <c r="B1621" s="1">
        <f>DATE(2013,9,9) + TIME(5,43,58)</f>
        <v>41526.238865740743</v>
      </c>
      <c r="C1621">
        <v>2400</v>
      </c>
      <c r="D1621">
        <v>0</v>
      </c>
      <c r="E1621">
        <v>0</v>
      </c>
      <c r="F1621">
        <v>2400</v>
      </c>
      <c r="G1621">
        <v>1379.8164062000001</v>
      </c>
      <c r="H1621">
        <v>1366.3410644999999</v>
      </c>
      <c r="I1621">
        <v>1283.9011230000001</v>
      </c>
      <c r="J1621">
        <v>1262.4567870999999</v>
      </c>
      <c r="K1621">
        <v>80</v>
      </c>
      <c r="L1621">
        <v>79.949951171999999</v>
      </c>
      <c r="M1621">
        <v>50</v>
      </c>
      <c r="N1621">
        <v>42.375801086000003</v>
      </c>
    </row>
    <row r="1622" spans="1:14" x14ac:dyDescent="0.25">
      <c r="A1622">
        <v>1229.368377</v>
      </c>
      <c r="B1622" s="1">
        <f>DATE(2013,9,11) + TIME(8,50,27)</f>
        <v>41528.368368055555</v>
      </c>
      <c r="C1622">
        <v>2400</v>
      </c>
      <c r="D1622">
        <v>0</v>
      </c>
      <c r="E1622">
        <v>0</v>
      </c>
      <c r="F1622">
        <v>2400</v>
      </c>
      <c r="G1622">
        <v>1379.7559814000001</v>
      </c>
      <c r="H1622">
        <v>1366.2879639</v>
      </c>
      <c r="I1622">
        <v>1283.802124</v>
      </c>
      <c r="J1622">
        <v>1262.2877197</v>
      </c>
      <c r="K1622">
        <v>80</v>
      </c>
      <c r="L1622">
        <v>79.950012207</v>
      </c>
      <c r="M1622">
        <v>50</v>
      </c>
      <c r="N1622">
        <v>42.299144745</v>
      </c>
    </row>
    <row r="1623" spans="1:14" x14ac:dyDescent="0.25">
      <c r="A1623">
        <v>1231.52415</v>
      </c>
      <c r="B1623" s="1">
        <f>DATE(2013,9,13) + TIME(12,34,46)</f>
        <v>41530.524143518516</v>
      </c>
      <c r="C1623">
        <v>2400</v>
      </c>
      <c r="D1623">
        <v>0</v>
      </c>
      <c r="E1623">
        <v>0</v>
      </c>
      <c r="F1623">
        <v>2400</v>
      </c>
      <c r="G1623">
        <v>1379.6950684000001</v>
      </c>
      <c r="H1623">
        <v>1366.234375</v>
      </c>
      <c r="I1623">
        <v>1283.7034911999999</v>
      </c>
      <c r="J1623">
        <v>1262.1186522999999</v>
      </c>
      <c r="K1623">
        <v>80</v>
      </c>
      <c r="L1623">
        <v>79.950065613000007</v>
      </c>
      <c r="M1623">
        <v>50</v>
      </c>
      <c r="N1623">
        <v>42.225673676</v>
      </c>
    </row>
    <row r="1624" spans="1:14" x14ac:dyDescent="0.25">
      <c r="A1624">
        <v>1233.701157</v>
      </c>
      <c r="B1624" s="1">
        <f>DATE(2013,9,15) + TIME(16,49,39)</f>
        <v>41532.701145833336</v>
      </c>
      <c r="C1624">
        <v>2400</v>
      </c>
      <c r="D1624">
        <v>0</v>
      </c>
      <c r="E1624">
        <v>0</v>
      </c>
      <c r="F1624">
        <v>2400</v>
      </c>
      <c r="G1624">
        <v>1379.6339111</v>
      </c>
      <c r="H1624">
        <v>1366.1804199000001</v>
      </c>
      <c r="I1624">
        <v>1283.6057129000001</v>
      </c>
      <c r="J1624">
        <v>1261.9503173999999</v>
      </c>
      <c r="K1624">
        <v>80</v>
      </c>
      <c r="L1624">
        <v>79.950119018999999</v>
      </c>
      <c r="M1624">
        <v>50</v>
      </c>
      <c r="N1624">
        <v>42.156116486000002</v>
      </c>
    </row>
    <row r="1625" spans="1:14" x14ac:dyDescent="0.25">
      <c r="A1625">
        <v>1235.9182470000001</v>
      </c>
      <c r="B1625" s="1">
        <f>DATE(2013,9,17) + TIME(22,2,16)</f>
        <v>41534.918240740742</v>
      </c>
      <c r="C1625">
        <v>2400</v>
      </c>
      <c r="D1625">
        <v>0</v>
      </c>
      <c r="E1625">
        <v>0</v>
      </c>
      <c r="F1625">
        <v>2400</v>
      </c>
      <c r="G1625">
        <v>1379.5727539</v>
      </c>
      <c r="H1625">
        <v>1366.1263428</v>
      </c>
      <c r="I1625">
        <v>1283.5091553</v>
      </c>
      <c r="J1625">
        <v>1261.7834473</v>
      </c>
      <c r="K1625">
        <v>80</v>
      </c>
      <c r="L1625">
        <v>79.950180054</v>
      </c>
      <c r="M1625">
        <v>50</v>
      </c>
      <c r="N1625">
        <v>42.091007232999999</v>
      </c>
    </row>
    <row r="1626" spans="1:14" x14ac:dyDescent="0.25">
      <c r="A1626">
        <v>1238.1684809999999</v>
      </c>
      <c r="B1626" s="1">
        <f>DATE(2013,9,20) + TIME(4,2,36)</f>
        <v>41537.16847222222</v>
      </c>
      <c r="C1626">
        <v>2400</v>
      </c>
      <c r="D1626">
        <v>0</v>
      </c>
      <c r="E1626">
        <v>0</v>
      </c>
      <c r="F1626">
        <v>2400</v>
      </c>
      <c r="G1626">
        <v>1379.5109863</v>
      </c>
      <c r="H1626">
        <v>1366.0716553</v>
      </c>
      <c r="I1626">
        <v>1283.4135742000001</v>
      </c>
      <c r="J1626">
        <v>1261.6177978999999</v>
      </c>
      <c r="K1626">
        <v>80</v>
      </c>
      <c r="L1626">
        <v>79.950241089000002</v>
      </c>
      <c r="M1626">
        <v>50</v>
      </c>
      <c r="N1626">
        <v>42.030826568999998</v>
      </c>
    </row>
    <row r="1627" spans="1:14" x14ac:dyDescent="0.25">
      <c r="A1627">
        <v>1240.43418</v>
      </c>
      <c r="B1627" s="1">
        <f>DATE(2013,9,22) + TIME(10,25,13)</f>
        <v>41539.434178240743</v>
      </c>
      <c r="C1627">
        <v>2400</v>
      </c>
      <c r="D1627">
        <v>0</v>
      </c>
      <c r="E1627">
        <v>0</v>
      </c>
      <c r="F1627">
        <v>2400</v>
      </c>
      <c r="G1627">
        <v>1379.4488524999999</v>
      </c>
      <c r="H1627">
        <v>1366.0166016000001</v>
      </c>
      <c r="I1627">
        <v>1283.3195800999999</v>
      </c>
      <c r="J1627">
        <v>1261.4542236</v>
      </c>
      <c r="K1627">
        <v>80</v>
      </c>
      <c r="L1627">
        <v>79.950294494999994</v>
      </c>
      <c r="M1627">
        <v>50</v>
      </c>
      <c r="N1627">
        <v>41.976459503000001</v>
      </c>
    </row>
    <row r="1628" spans="1:14" x14ac:dyDescent="0.25">
      <c r="A1628">
        <v>1242.721951</v>
      </c>
      <c r="B1628" s="1">
        <f>DATE(2013,9,24) + TIME(17,19,36)</f>
        <v>41541.721944444442</v>
      </c>
      <c r="C1628">
        <v>2400</v>
      </c>
      <c r="D1628">
        <v>0</v>
      </c>
      <c r="E1628">
        <v>0</v>
      </c>
      <c r="F1628">
        <v>2400</v>
      </c>
      <c r="G1628">
        <v>1379.3867187999999</v>
      </c>
      <c r="H1628">
        <v>1365.9614257999999</v>
      </c>
      <c r="I1628">
        <v>1283.2279053</v>
      </c>
      <c r="J1628">
        <v>1261.2945557</v>
      </c>
      <c r="K1628">
        <v>80</v>
      </c>
      <c r="L1628">
        <v>79.950355529999996</v>
      </c>
      <c r="M1628">
        <v>50</v>
      </c>
      <c r="N1628">
        <v>41.928813933999997</v>
      </c>
    </row>
    <row r="1629" spans="1:14" x14ac:dyDescent="0.25">
      <c r="A1629">
        <v>1245.0386900000001</v>
      </c>
      <c r="B1629" s="1">
        <f>DATE(2013,9,27) + TIME(0,55,42)</f>
        <v>41544.038680555554</v>
      </c>
      <c r="C1629">
        <v>2400</v>
      </c>
      <c r="D1629">
        <v>0</v>
      </c>
      <c r="E1629">
        <v>0</v>
      </c>
      <c r="F1629">
        <v>2400</v>
      </c>
      <c r="G1629">
        <v>1379.3245850000001</v>
      </c>
      <c r="H1629">
        <v>1365.9061279</v>
      </c>
      <c r="I1629">
        <v>1283.1389160000001</v>
      </c>
      <c r="J1629">
        <v>1261.1389160000001</v>
      </c>
      <c r="K1629">
        <v>80</v>
      </c>
      <c r="L1629">
        <v>79.950416564999998</v>
      </c>
      <c r="M1629">
        <v>50</v>
      </c>
      <c r="N1629">
        <v>41.888572693</v>
      </c>
    </row>
    <row r="1630" spans="1:14" x14ac:dyDescent="0.25">
      <c r="A1630">
        <v>1247.3837080000001</v>
      </c>
      <c r="B1630" s="1">
        <f>DATE(2013,9,29) + TIME(9,12,32)</f>
        <v>41546.383703703701</v>
      </c>
      <c r="C1630">
        <v>2400</v>
      </c>
      <c r="D1630">
        <v>0</v>
      </c>
      <c r="E1630">
        <v>0</v>
      </c>
      <c r="F1630">
        <v>2400</v>
      </c>
      <c r="G1630">
        <v>1379.262207</v>
      </c>
      <c r="H1630">
        <v>1365.8504639</v>
      </c>
      <c r="I1630">
        <v>1283.0524902</v>
      </c>
      <c r="J1630">
        <v>1260.9876709</v>
      </c>
      <c r="K1630">
        <v>80</v>
      </c>
      <c r="L1630">
        <v>79.950477599999999</v>
      </c>
      <c r="M1630">
        <v>50</v>
      </c>
      <c r="N1630">
        <v>41.856460571</v>
      </c>
    </row>
    <row r="1631" spans="1:14" x14ac:dyDescent="0.25">
      <c r="A1631">
        <v>1249</v>
      </c>
      <c r="B1631" s="1">
        <f>DATE(2013,10,1) + TIME(0,0,0)</f>
        <v>41548</v>
      </c>
      <c r="C1631">
        <v>2400</v>
      </c>
      <c r="D1631">
        <v>0</v>
      </c>
      <c r="E1631">
        <v>0</v>
      </c>
      <c r="F1631">
        <v>2400</v>
      </c>
      <c r="G1631">
        <v>1379.1994629000001</v>
      </c>
      <c r="H1631">
        <v>1365.7944336</v>
      </c>
      <c r="I1631">
        <v>1282.9724120999999</v>
      </c>
      <c r="J1631">
        <v>1260.8482666</v>
      </c>
      <c r="K1631">
        <v>80</v>
      </c>
      <c r="L1631">
        <v>79.950515746999997</v>
      </c>
      <c r="M1631">
        <v>50</v>
      </c>
      <c r="N1631">
        <v>41.835868834999999</v>
      </c>
    </row>
    <row r="1632" spans="1:14" x14ac:dyDescent="0.25">
      <c r="A1632">
        <v>1251.3673650000001</v>
      </c>
      <c r="B1632" s="1">
        <f>DATE(2013,10,3) + TIME(8,49,0)</f>
        <v>41550.367361111108</v>
      </c>
      <c r="C1632">
        <v>2400</v>
      </c>
      <c r="D1632">
        <v>0</v>
      </c>
      <c r="E1632">
        <v>0</v>
      </c>
      <c r="F1632">
        <v>2400</v>
      </c>
      <c r="G1632">
        <v>1379.1564940999999</v>
      </c>
      <c r="H1632">
        <v>1365.7559814000001</v>
      </c>
      <c r="I1632">
        <v>1282.9116211</v>
      </c>
      <c r="J1632">
        <v>1260.7409668</v>
      </c>
      <c r="K1632">
        <v>80</v>
      </c>
      <c r="L1632">
        <v>79.950576781999999</v>
      </c>
      <c r="M1632">
        <v>50</v>
      </c>
      <c r="N1632">
        <v>41.822940826</v>
      </c>
    </row>
    <row r="1633" spans="1:14" x14ac:dyDescent="0.25">
      <c r="A1633">
        <v>1253.772455</v>
      </c>
      <c r="B1633" s="1">
        <f>DATE(2013,10,5) + TIME(18,32,20)</f>
        <v>41552.772453703707</v>
      </c>
      <c r="C1633">
        <v>2400</v>
      </c>
      <c r="D1633">
        <v>0</v>
      </c>
      <c r="E1633">
        <v>0</v>
      </c>
      <c r="F1633">
        <v>2400</v>
      </c>
      <c r="G1633">
        <v>1379.0941161999999</v>
      </c>
      <c r="H1633">
        <v>1365.7001952999999</v>
      </c>
      <c r="I1633">
        <v>1282.8367920000001</v>
      </c>
      <c r="J1633">
        <v>1260.6102295000001</v>
      </c>
      <c r="K1633">
        <v>80</v>
      </c>
      <c r="L1633">
        <v>79.950645446999999</v>
      </c>
      <c r="M1633">
        <v>50</v>
      </c>
      <c r="N1633">
        <v>41.817752837999997</v>
      </c>
    </row>
    <row r="1634" spans="1:14" x14ac:dyDescent="0.25">
      <c r="A1634">
        <v>1256.189525</v>
      </c>
      <c r="B1634" s="1">
        <f>DATE(2013,10,8) + TIME(4,32,54)</f>
        <v>41555.189513888887</v>
      </c>
      <c r="C1634">
        <v>2400</v>
      </c>
      <c r="D1634">
        <v>0</v>
      </c>
      <c r="E1634">
        <v>0</v>
      </c>
      <c r="F1634">
        <v>2400</v>
      </c>
      <c r="G1634">
        <v>1379.03125</v>
      </c>
      <c r="H1634">
        <v>1365.6437988</v>
      </c>
      <c r="I1634">
        <v>1282.7639160000001</v>
      </c>
      <c r="J1634">
        <v>1260.4835204999999</v>
      </c>
      <c r="K1634">
        <v>80</v>
      </c>
      <c r="L1634">
        <v>79.950706482000001</v>
      </c>
      <c r="M1634">
        <v>50</v>
      </c>
      <c r="N1634">
        <v>41.823032378999997</v>
      </c>
    </row>
    <row r="1635" spans="1:14" x14ac:dyDescent="0.25">
      <c r="A1635">
        <v>1258.6317730000001</v>
      </c>
      <c r="B1635" s="1">
        <f>DATE(2013,10,10) + TIME(15,9,45)</f>
        <v>41557.63177083333</v>
      </c>
      <c r="C1635">
        <v>2400</v>
      </c>
      <c r="D1635">
        <v>0</v>
      </c>
      <c r="E1635">
        <v>0</v>
      </c>
      <c r="F1635">
        <v>2400</v>
      </c>
      <c r="G1635">
        <v>1378.9686279</v>
      </c>
      <c r="H1635">
        <v>1365.5875243999999</v>
      </c>
      <c r="I1635">
        <v>1282.6951904</v>
      </c>
      <c r="J1635">
        <v>1260.3641356999999</v>
      </c>
      <c r="K1635">
        <v>80</v>
      </c>
      <c r="L1635">
        <v>79.950767517000003</v>
      </c>
      <c r="M1635">
        <v>50</v>
      </c>
      <c r="N1635">
        <v>41.839988708</v>
      </c>
    </row>
    <row r="1636" spans="1:14" x14ac:dyDescent="0.25">
      <c r="A1636">
        <v>1261.105738</v>
      </c>
      <c r="B1636" s="1">
        <f>DATE(2013,10,13) + TIME(2,32,15)</f>
        <v>41560.105729166666</v>
      </c>
      <c r="C1636">
        <v>2400</v>
      </c>
      <c r="D1636">
        <v>0</v>
      </c>
      <c r="E1636">
        <v>0</v>
      </c>
      <c r="F1636">
        <v>2400</v>
      </c>
      <c r="G1636">
        <v>1378.9057617000001</v>
      </c>
      <c r="H1636">
        <v>1365.5311279</v>
      </c>
      <c r="I1636">
        <v>1282.6304932</v>
      </c>
      <c r="J1636">
        <v>1260.2530518000001</v>
      </c>
      <c r="K1636">
        <v>80</v>
      </c>
      <c r="L1636">
        <v>79.950828552000004</v>
      </c>
      <c r="M1636">
        <v>50</v>
      </c>
      <c r="N1636">
        <v>41.869483948000003</v>
      </c>
    </row>
    <row r="1637" spans="1:14" x14ac:dyDescent="0.25">
      <c r="A1637">
        <v>1263.619044</v>
      </c>
      <c r="B1637" s="1">
        <f>DATE(2013,10,15) + TIME(14,51,25)</f>
        <v>41562.619039351855</v>
      </c>
      <c r="C1637">
        <v>2400</v>
      </c>
      <c r="D1637">
        <v>0</v>
      </c>
      <c r="E1637">
        <v>0</v>
      </c>
      <c r="F1637">
        <v>2400</v>
      </c>
      <c r="G1637">
        <v>1378.8427733999999</v>
      </c>
      <c r="H1637">
        <v>1365.4743652</v>
      </c>
      <c r="I1637">
        <v>1282.5703125</v>
      </c>
      <c r="J1637">
        <v>1260.1506348</v>
      </c>
      <c r="K1637">
        <v>80</v>
      </c>
      <c r="L1637">
        <v>79.950897217000005</v>
      </c>
      <c r="M1637">
        <v>50</v>
      </c>
      <c r="N1637">
        <v>41.912300109999997</v>
      </c>
    </row>
    <row r="1638" spans="1:14" x14ac:dyDescent="0.25">
      <c r="A1638">
        <v>1266.1800450000001</v>
      </c>
      <c r="B1638" s="1">
        <f>DATE(2013,10,18) + TIME(4,19,15)</f>
        <v>41565.180034722223</v>
      </c>
      <c r="C1638">
        <v>2400</v>
      </c>
      <c r="D1638">
        <v>0</v>
      </c>
      <c r="E1638">
        <v>0</v>
      </c>
      <c r="F1638">
        <v>2400</v>
      </c>
      <c r="G1638">
        <v>1378.7792969</v>
      </c>
      <c r="H1638">
        <v>1365.4171143000001</v>
      </c>
      <c r="I1638">
        <v>1282.5144043</v>
      </c>
      <c r="J1638">
        <v>1260.0571289</v>
      </c>
      <c r="K1638">
        <v>80</v>
      </c>
      <c r="L1638">
        <v>79.950958252000007</v>
      </c>
      <c r="M1638">
        <v>50</v>
      </c>
      <c r="N1638">
        <v>41.969272613999998</v>
      </c>
    </row>
    <row r="1639" spans="1:14" x14ac:dyDescent="0.25">
      <c r="A1639">
        <v>1268.774277</v>
      </c>
      <c r="B1639" s="1">
        <f>DATE(2013,10,20) + TIME(18,34,57)</f>
        <v>41567.774270833332</v>
      </c>
      <c r="C1639">
        <v>2400</v>
      </c>
      <c r="D1639">
        <v>0</v>
      </c>
      <c r="E1639">
        <v>0</v>
      </c>
      <c r="F1639">
        <v>2400</v>
      </c>
      <c r="G1639">
        <v>1378.715332</v>
      </c>
      <c r="H1639">
        <v>1365.359375</v>
      </c>
      <c r="I1639">
        <v>1282.4632568</v>
      </c>
      <c r="J1639">
        <v>1259.9731445</v>
      </c>
      <c r="K1639">
        <v>80</v>
      </c>
      <c r="L1639">
        <v>79.951026916999993</v>
      </c>
      <c r="M1639">
        <v>50</v>
      </c>
      <c r="N1639">
        <v>42.041141510000003</v>
      </c>
    </row>
    <row r="1640" spans="1:14" x14ac:dyDescent="0.25">
      <c r="A1640">
        <v>1271.383511</v>
      </c>
      <c r="B1640" s="1">
        <f>DATE(2013,10,23) + TIME(9,12,15)</f>
        <v>41570.383506944447</v>
      </c>
      <c r="C1640">
        <v>2400</v>
      </c>
      <c r="D1640">
        <v>0</v>
      </c>
      <c r="E1640">
        <v>0</v>
      </c>
      <c r="F1640">
        <v>2400</v>
      </c>
      <c r="G1640">
        <v>1378.6511230000001</v>
      </c>
      <c r="H1640">
        <v>1365.3012695</v>
      </c>
      <c r="I1640">
        <v>1282.4169922000001</v>
      </c>
      <c r="J1640">
        <v>1259.8994141000001</v>
      </c>
      <c r="K1640">
        <v>80</v>
      </c>
      <c r="L1640">
        <v>79.951095581000004</v>
      </c>
      <c r="M1640">
        <v>50</v>
      </c>
      <c r="N1640">
        <v>42.128028870000001</v>
      </c>
    </row>
    <row r="1641" spans="1:14" x14ac:dyDescent="0.25">
      <c r="A1641">
        <v>1274.017914</v>
      </c>
      <c r="B1641" s="1">
        <f>DATE(2013,10,26) + TIME(0,25,47)</f>
        <v>41573.017905092594</v>
      </c>
      <c r="C1641">
        <v>2400</v>
      </c>
      <c r="D1641">
        <v>0</v>
      </c>
      <c r="E1641">
        <v>0</v>
      </c>
      <c r="F1641">
        <v>2400</v>
      </c>
      <c r="G1641">
        <v>1378.5871582</v>
      </c>
      <c r="H1641">
        <v>1365.2435303</v>
      </c>
      <c r="I1641">
        <v>1282.3760986</v>
      </c>
      <c r="J1641">
        <v>1259.8367920000001</v>
      </c>
      <c r="K1641">
        <v>80</v>
      </c>
      <c r="L1641">
        <v>79.951164246000005</v>
      </c>
      <c r="M1641">
        <v>50</v>
      </c>
      <c r="N1641">
        <v>42.229648589999996</v>
      </c>
    </row>
    <row r="1642" spans="1:14" x14ac:dyDescent="0.25">
      <c r="A1642">
        <v>1276.6877380000001</v>
      </c>
      <c r="B1642" s="1">
        <f>DATE(2013,10,28) + TIME(16,30,20)</f>
        <v>41575.687731481485</v>
      </c>
      <c r="C1642">
        <v>2400</v>
      </c>
      <c r="D1642">
        <v>0</v>
      </c>
      <c r="E1642">
        <v>0</v>
      </c>
      <c r="F1642">
        <v>2400</v>
      </c>
      <c r="G1642">
        <v>1378.5234375</v>
      </c>
      <c r="H1642">
        <v>1365.1856689000001</v>
      </c>
      <c r="I1642">
        <v>1282.340332</v>
      </c>
      <c r="J1642">
        <v>1259.7851562000001</v>
      </c>
      <c r="K1642">
        <v>80</v>
      </c>
      <c r="L1642">
        <v>79.951232910000002</v>
      </c>
      <c r="M1642">
        <v>50</v>
      </c>
      <c r="N1642">
        <v>42.346057891999997</v>
      </c>
    </row>
    <row r="1643" spans="1:14" x14ac:dyDescent="0.25">
      <c r="A1643">
        <v>1279.403538</v>
      </c>
      <c r="B1643" s="1">
        <f>DATE(2013,10,31) + TIME(9,41,5)</f>
        <v>41578.40353009259</v>
      </c>
      <c r="C1643">
        <v>2400</v>
      </c>
      <c r="D1643">
        <v>0</v>
      </c>
      <c r="E1643">
        <v>0</v>
      </c>
      <c r="F1643">
        <v>2400</v>
      </c>
      <c r="G1643">
        <v>1378.4594727000001</v>
      </c>
      <c r="H1643">
        <v>1365.1276855000001</v>
      </c>
      <c r="I1643">
        <v>1282.3096923999999</v>
      </c>
      <c r="J1643">
        <v>1259.7442627</v>
      </c>
      <c r="K1643">
        <v>80</v>
      </c>
      <c r="L1643">
        <v>79.951301575000002</v>
      </c>
      <c r="M1643">
        <v>50</v>
      </c>
      <c r="N1643">
        <v>42.477367401000002</v>
      </c>
    </row>
    <row r="1644" spans="1:14" x14ac:dyDescent="0.25">
      <c r="A1644">
        <v>1280</v>
      </c>
      <c r="B1644" s="1">
        <f>DATE(2013,11,1) + TIME(0,0,0)</f>
        <v>41579</v>
      </c>
      <c r="C1644">
        <v>2400</v>
      </c>
      <c r="D1644">
        <v>0</v>
      </c>
      <c r="E1644">
        <v>0</v>
      </c>
      <c r="F1644">
        <v>2400</v>
      </c>
      <c r="G1644">
        <v>1378.3962402</v>
      </c>
      <c r="H1644">
        <v>1365.0704346</v>
      </c>
      <c r="I1644">
        <v>1282.3046875</v>
      </c>
      <c r="J1644">
        <v>1259.7210693</v>
      </c>
      <c r="K1644">
        <v>80</v>
      </c>
      <c r="L1644">
        <v>79.951301575000002</v>
      </c>
      <c r="M1644">
        <v>50</v>
      </c>
      <c r="N1644">
        <v>42.557601929</v>
      </c>
    </row>
    <row r="1645" spans="1:14" x14ac:dyDescent="0.25">
      <c r="A1645">
        <v>1280.0000010000001</v>
      </c>
      <c r="B1645" s="1">
        <f>DATE(2013,11,1) + TIME(0,0,0)</f>
        <v>41579</v>
      </c>
      <c r="C1645">
        <v>0</v>
      </c>
      <c r="D1645">
        <v>2400</v>
      </c>
      <c r="E1645">
        <v>2400</v>
      </c>
      <c r="F1645">
        <v>0</v>
      </c>
      <c r="G1645">
        <v>1364.1986084</v>
      </c>
      <c r="H1645">
        <v>1352.2100829999999</v>
      </c>
      <c r="I1645">
        <v>1305.7246094</v>
      </c>
      <c r="J1645">
        <v>1283.2133789</v>
      </c>
      <c r="K1645">
        <v>80</v>
      </c>
      <c r="L1645">
        <v>79.951179503999995</v>
      </c>
      <c r="M1645">
        <v>50</v>
      </c>
      <c r="N1645">
        <v>42.557720183999997</v>
      </c>
    </row>
    <row r="1646" spans="1:14" x14ac:dyDescent="0.25">
      <c r="A1646">
        <v>1280.000004</v>
      </c>
      <c r="B1646" s="1">
        <f>DATE(2013,11,1) + TIME(0,0,0)</f>
        <v>41579</v>
      </c>
      <c r="C1646">
        <v>0</v>
      </c>
      <c r="D1646">
        <v>2400</v>
      </c>
      <c r="E1646">
        <v>2400</v>
      </c>
      <c r="F1646">
        <v>0</v>
      </c>
      <c r="G1646">
        <v>1361.9960937999999</v>
      </c>
      <c r="H1646">
        <v>1350.0069579999999</v>
      </c>
      <c r="I1646">
        <v>1308.1174315999999</v>
      </c>
      <c r="J1646">
        <v>1285.6694336</v>
      </c>
      <c r="K1646">
        <v>80</v>
      </c>
      <c r="L1646">
        <v>79.950866699000002</v>
      </c>
      <c r="M1646">
        <v>50</v>
      </c>
      <c r="N1646">
        <v>42.558048247999999</v>
      </c>
    </row>
    <row r="1647" spans="1:14" x14ac:dyDescent="0.25">
      <c r="A1647">
        <v>1280.0000130000001</v>
      </c>
      <c r="B1647" s="1">
        <f>DATE(2013,11,1) + TIME(0,0,1)</f>
        <v>41579.000011574077</v>
      </c>
      <c r="C1647">
        <v>0</v>
      </c>
      <c r="D1647">
        <v>2400</v>
      </c>
      <c r="E1647">
        <v>2400</v>
      </c>
      <c r="F1647">
        <v>0</v>
      </c>
      <c r="G1647">
        <v>1357.5499268000001</v>
      </c>
      <c r="H1647">
        <v>1345.5601807</v>
      </c>
      <c r="I1647">
        <v>1313.6754149999999</v>
      </c>
      <c r="J1647">
        <v>1291.3374022999999</v>
      </c>
      <c r="K1647">
        <v>80</v>
      </c>
      <c r="L1647">
        <v>79.950233459000003</v>
      </c>
      <c r="M1647">
        <v>50</v>
      </c>
      <c r="N1647">
        <v>42.558822632000002</v>
      </c>
    </row>
    <row r="1648" spans="1:14" x14ac:dyDescent="0.25">
      <c r="A1648">
        <v>1280.0000399999999</v>
      </c>
      <c r="B1648" s="1">
        <f>DATE(2013,11,1) + TIME(0,0,3)</f>
        <v>41579.000034722223</v>
      </c>
      <c r="C1648">
        <v>0</v>
      </c>
      <c r="D1648">
        <v>2400</v>
      </c>
      <c r="E1648">
        <v>2400</v>
      </c>
      <c r="F1648">
        <v>0</v>
      </c>
      <c r="G1648">
        <v>1351.0537108999999</v>
      </c>
      <c r="H1648">
        <v>1339.0662841999999</v>
      </c>
      <c r="I1648">
        <v>1323.4294434000001</v>
      </c>
      <c r="J1648">
        <v>1301.1727295000001</v>
      </c>
      <c r="K1648">
        <v>80</v>
      </c>
      <c r="L1648">
        <v>79.949310303000004</v>
      </c>
      <c r="M1648">
        <v>50</v>
      </c>
      <c r="N1648">
        <v>42.560260773000003</v>
      </c>
    </row>
    <row r="1649" spans="1:14" x14ac:dyDescent="0.25">
      <c r="A1649">
        <v>1280.000121</v>
      </c>
      <c r="B1649" s="1">
        <f>DATE(2013,11,1) + TIME(0,0,10)</f>
        <v>41579.000115740739</v>
      </c>
      <c r="C1649">
        <v>0</v>
      </c>
      <c r="D1649">
        <v>2400</v>
      </c>
      <c r="E1649">
        <v>2400</v>
      </c>
      <c r="F1649">
        <v>0</v>
      </c>
      <c r="G1649">
        <v>1343.8238524999999</v>
      </c>
      <c r="H1649">
        <v>1331.8420410000001</v>
      </c>
      <c r="I1649">
        <v>1335.8745117000001</v>
      </c>
      <c r="J1649">
        <v>1313.6289062000001</v>
      </c>
      <c r="K1649">
        <v>80</v>
      </c>
      <c r="L1649">
        <v>79.948265075999998</v>
      </c>
      <c r="M1649">
        <v>50</v>
      </c>
      <c r="N1649">
        <v>42.562503814999999</v>
      </c>
    </row>
    <row r="1650" spans="1:14" x14ac:dyDescent="0.25">
      <c r="A1650">
        <v>1280.000364</v>
      </c>
      <c r="B1650" s="1">
        <f>DATE(2013,11,1) + TIME(0,0,31)</f>
        <v>41579.000358796293</v>
      </c>
      <c r="C1650">
        <v>0</v>
      </c>
      <c r="D1650">
        <v>2400</v>
      </c>
      <c r="E1650">
        <v>2400</v>
      </c>
      <c r="F1650">
        <v>0</v>
      </c>
      <c r="G1650">
        <v>1336.5543213000001</v>
      </c>
      <c r="H1650">
        <v>1324.5795897999999</v>
      </c>
      <c r="I1650">
        <v>1348.9906006000001</v>
      </c>
      <c r="J1650">
        <v>1326.7456055</v>
      </c>
      <c r="K1650">
        <v>80</v>
      </c>
      <c r="L1650">
        <v>79.947174071999996</v>
      </c>
      <c r="M1650">
        <v>50</v>
      </c>
      <c r="N1650">
        <v>42.566284179999997</v>
      </c>
    </row>
    <row r="1651" spans="1:14" x14ac:dyDescent="0.25">
      <c r="A1651">
        <v>1280.0010930000001</v>
      </c>
      <c r="B1651" s="1">
        <f>DATE(2013,11,1) + TIME(0,1,34)</f>
        <v>41579.001087962963</v>
      </c>
      <c r="C1651">
        <v>0</v>
      </c>
      <c r="D1651">
        <v>2400</v>
      </c>
      <c r="E1651">
        <v>2400</v>
      </c>
      <c r="F1651">
        <v>0</v>
      </c>
      <c r="G1651">
        <v>1329.2349853999999</v>
      </c>
      <c r="H1651">
        <v>1317.2403564000001</v>
      </c>
      <c r="I1651">
        <v>1362.3150635</v>
      </c>
      <c r="J1651">
        <v>1340.0600586</v>
      </c>
      <c r="K1651">
        <v>80</v>
      </c>
      <c r="L1651">
        <v>79.945976256999998</v>
      </c>
      <c r="M1651">
        <v>50</v>
      </c>
      <c r="N1651">
        <v>42.574466704999999</v>
      </c>
    </row>
    <row r="1652" spans="1:14" x14ac:dyDescent="0.25">
      <c r="A1652">
        <v>1280.0032799999999</v>
      </c>
      <c r="B1652" s="1">
        <f>DATE(2013,11,1) + TIME(0,4,43)</f>
        <v>41579.003275462965</v>
      </c>
      <c r="C1652">
        <v>0</v>
      </c>
      <c r="D1652">
        <v>2400</v>
      </c>
      <c r="E1652">
        <v>2400</v>
      </c>
      <c r="F1652">
        <v>0</v>
      </c>
      <c r="G1652">
        <v>1321.6147461</v>
      </c>
      <c r="H1652">
        <v>1309.5111084</v>
      </c>
      <c r="I1652">
        <v>1375.8405762</v>
      </c>
      <c r="J1652">
        <v>1353.5141602000001</v>
      </c>
      <c r="K1652">
        <v>80</v>
      </c>
      <c r="L1652">
        <v>79.944389342999997</v>
      </c>
      <c r="M1652">
        <v>50</v>
      </c>
      <c r="N1652">
        <v>42.595790862999998</v>
      </c>
    </row>
    <row r="1653" spans="1:14" x14ac:dyDescent="0.25">
      <c r="A1653">
        <v>1280.0098410000001</v>
      </c>
      <c r="B1653" s="1">
        <f>DATE(2013,11,1) + TIME(0,14,10)</f>
        <v>41579.009837962964</v>
      </c>
      <c r="C1653">
        <v>0</v>
      </c>
      <c r="D1653">
        <v>2400</v>
      </c>
      <c r="E1653">
        <v>2400</v>
      </c>
      <c r="F1653">
        <v>0</v>
      </c>
      <c r="G1653">
        <v>1313.8542480000001</v>
      </c>
      <c r="H1653">
        <v>1301.6066894999999</v>
      </c>
      <c r="I1653">
        <v>1388.4659423999999</v>
      </c>
      <c r="J1653">
        <v>1366.0129394999999</v>
      </c>
      <c r="K1653">
        <v>80</v>
      </c>
      <c r="L1653">
        <v>79.941787719999994</v>
      </c>
      <c r="M1653">
        <v>50</v>
      </c>
      <c r="N1653">
        <v>42.656291961999997</v>
      </c>
    </row>
    <row r="1654" spans="1:14" x14ac:dyDescent="0.25">
      <c r="A1654">
        <v>1280.029524</v>
      </c>
      <c r="B1654" s="1">
        <f>DATE(2013,11,1) + TIME(0,42,30)</f>
        <v>41579.029513888891</v>
      </c>
      <c r="C1654">
        <v>0</v>
      </c>
      <c r="D1654">
        <v>2400</v>
      </c>
      <c r="E1654">
        <v>2400</v>
      </c>
      <c r="F1654">
        <v>0</v>
      </c>
      <c r="G1654">
        <v>1307.4255370999999</v>
      </c>
      <c r="H1654">
        <v>1295.1019286999999</v>
      </c>
      <c r="I1654">
        <v>1397.5131836</v>
      </c>
      <c r="J1654">
        <v>1374.9945068</v>
      </c>
      <c r="K1654">
        <v>80</v>
      </c>
      <c r="L1654">
        <v>79.936416625999996</v>
      </c>
      <c r="M1654">
        <v>50</v>
      </c>
      <c r="N1654">
        <v>42.831138611</v>
      </c>
    </row>
    <row r="1655" spans="1:14" x14ac:dyDescent="0.25">
      <c r="A1655">
        <v>1280.085664</v>
      </c>
      <c r="B1655" s="1">
        <f>DATE(2013,11,1) + TIME(2,3,21)</f>
        <v>41579.085659722223</v>
      </c>
      <c r="C1655">
        <v>0</v>
      </c>
      <c r="D1655">
        <v>2400</v>
      </c>
      <c r="E1655">
        <v>2400</v>
      </c>
      <c r="F1655">
        <v>0</v>
      </c>
      <c r="G1655">
        <v>1304.1220702999999</v>
      </c>
      <c r="H1655">
        <v>1291.7757568</v>
      </c>
      <c r="I1655">
        <v>1401.0643310999999</v>
      </c>
      <c r="J1655">
        <v>1378.6694336</v>
      </c>
      <c r="K1655">
        <v>80</v>
      </c>
      <c r="L1655">
        <v>79.923812866000006</v>
      </c>
      <c r="M1655">
        <v>50</v>
      </c>
      <c r="N1655">
        <v>43.296188354000002</v>
      </c>
    </row>
    <row r="1656" spans="1:14" x14ac:dyDescent="0.25">
      <c r="A1656">
        <v>1280.144922</v>
      </c>
      <c r="B1656" s="1">
        <f>DATE(2013,11,1) + TIME(3,28,41)</f>
        <v>41579.144918981481</v>
      </c>
      <c r="C1656">
        <v>0</v>
      </c>
      <c r="D1656">
        <v>2400</v>
      </c>
      <c r="E1656">
        <v>2400</v>
      </c>
      <c r="F1656">
        <v>0</v>
      </c>
      <c r="G1656">
        <v>1303.3806152</v>
      </c>
      <c r="H1656">
        <v>1291.0301514</v>
      </c>
      <c r="I1656">
        <v>1401.4157714999999</v>
      </c>
      <c r="J1656">
        <v>1379.1795654</v>
      </c>
      <c r="K1656">
        <v>80</v>
      </c>
      <c r="L1656">
        <v>79.911140442000004</v>
      </c>
      <c r="M1656">
        <v>50</v>
      </c>
      <c r="N1656">
        <v>43.753601074000002</v>
      </c>
    </row>
    <row r="1657" spans="1:14" x14ac:dyDescent="0.25">
      <c r="A1657">
        <v>1280.207326</v>
      </c>
      <c r="B1657" s="1">
        <f>DATE(2013,11,1) + TIME(4,58,32)</f>
        <v>41579.207314814812</v>
      </c>
      <c r="C1657">
        <v>0</v>
      </c>
      <c r="D1657">
        <v>2400</v>
      </c>
      <c r="E1657">
        <v>2400</v>
      </c>
      <c r="F1657">
        <v>0</v>
      </c>
      <c r="G1657">
        <v>1303.1965332</v>
      </c>
      <c r="H1657">
        <v>1290.8447266000001</v>
      </c>
      <c r="I1657">
        <v>1401.2211914</v>
      </c>
      <c r="J1657">
        <v>1379.1468506000001</v>
      </c>
      <c r="K1657">
        <v>80</v>
      </c>
      <c r="L1657">
        <v>79.898155212000006</v>
      </c>
      <c r="M1657">
        <v>50</v>
      </c>
      <c r="N1657">
        <v>44.200920105000002</v>
      </c>
    </row>
    <row r="1658" spans="1:14" x14ac:dyDescent="0.25">
      <c r="A1658">
        <v>1280.2732040000001</v>
      </c>
      <c r="B1658" s="1">
        <f>DATE(2013,11,1) + TIME(6,33,24)</f>
        <v>41579.273194444446</v>
      </c>
      <c r="C1658">
        <v>0</v>
      </c>
      <c r="D1658">
        <v>2400</v>
      </c>
      <c r="E1658">
        <v>2400</v>
      </c>
      <c r="F1658">
        <v>0</v>
      </c>
      <c r="G1658">
        <v>1303.1452637</v>
      </c>
      <c r="H1658">
        <v>1290.7926024999999</v>
      </c>
      <c r="I1658">
        <v>1400.9482422000001</v>
      </c>
      <c r="J1658">
        <v>1379.0314940999999</v>
      </c>
      <c r="K1658">
        <v>80</v>
      </c>
      <c r="L1658">
        <v>79.884765625</v>
      </c>
      <c r="M1658">
        <v>50</v>
      </c>
      <c r="N1658">
        <v>44.637672424000002</v>
      </c>
    </row>
    <row r="1659" spans="1:14" x14ac:dyDescent="0.25">
      <c r="A1659">
        <v>1280.342999</v>
      </c>
      <c r="B1659" s="1">
        <f>DATE(2013,11,1) + TIME(8,13,55)</f>
        <v>41579.342997685184</v>
      </c>
      <c r="C1659">
        <v>0</v>
      </c>
      <c r="D1659">
        <v>2400</v>
      </c>
      <c r="E1659">
        <v>2400</v>
      </c>
      <c r="F1659">
        <v>0</v>
      </c>
      <c r="G1659">
        <v>1303.1282959</v>
      </c>
      <c r="H1659">
        <v>1290.7750243999999</v>
      </c>
      <c r="I1659">
        <v>1400.6749268000001</v>
      </c>
      <c r="J1659">
        <v>1378.9105225000001</v>
      </c>
      <c r="K1659">
        <v>80</v>
      </c>
      <c r="L1659">
        <v>79.870895386000001</v>
      </c>
      <c r="M1659">
        <v>50</v>
      </c>
      <c r="N1659">
        <v>45.063674927000001</v>
      </c>
    </row>
    <row r="1660" spans="1:14" x14ac:dyDescent="0.25">
      <c r="A1660">
        <v>1280.41725</v>
      </c>
      <c r="B1660" s="1">
        <f>DATE(2013,11,1) + TIME(10,0,50)</f>
        <v>41579.417245370372</v>
      </c>
      <c r="C1660">
        <v>0</v>
      </c>
      <c r="D1660">
        <v>2400</v>
      </c>
      <c r="E1660">
        <v>2400</v>
      </c>
      <c r="F1660">
        <v>0</v>
      </c>
      <c r="G1660">
        <v>1303.1209716999999</v>
      </c>
      <c r="H1660">
        <v>1290.7669678</v>
      </c>
      <c r="I1660">
        <v>1400.4110106999999</v>
      </c>
      <c r="J1660">
        <v>1378.7933350000001</v>
      </c>
      <c r="K1660">
        <v>80</v>
      </c>
      <c r="L1660">
        <v>79.856468200999998</v>
      </c>
      <c r="M1660">
        <v>50</v>
      </c>
      <c r="N1660">
        <v>45.478748322000001</v>
      </c>
    </row>
    <row r="1661" spans="1:14" x14ac:dyDescent="0.25">
      <c r="A1661">
        <v>1280.4966159999999</v>
      </c>
      <c r="B1661" s="1">
        <f>DATE(2013,11,1) + TIME(11,55,7)</f>
        <v>41579.496608796297</v>
      </c>
      <c r="C1661">
        <v>0</v>
      </c>
      <c r="D1661">
        <v>2400</v>
      </c>
      <c r="E1661">
        <v>2400</v>
      </c>
      <c r="F1661">
        <v>0</v>
      </c>
      <c r="G1661">
        <v>1303.1164550999999</v>
      </c>
      <c r="H1661">
        <v>1290.7617187999999</v>
      </c>
      <c r="I1661">
        <v>1400.1558838000001</v>
      </c>
      <c r="J1661">
        <v>1378.6795654</v>
      </c>
      <c r="K1661">
        <v>80</v>
      </c>
      <c r="L1661">
        <v>79.841407775999997</v>
      </c>
      <c r="M1661">
        <v>50</v>
      </c>
      <c r="N1661">
        <v>45.882686614999997</v>
      </c>
    </row>
    <row r="1662" spans="1:14" x14ac:dyDescent="0.25">
      <c r="A1662">
        <v>1280.581903</v>
      </c>
      <c r="B1662" s="1">
        <f>DATE(2013,11,1) + TIME(13,57,56)</f>
        <v>41579.58189814815</v>
      </c>
      <c r="C1662">
        <v>0</v>
      </c>
      <c r="D1662">
        <v>2400</v>
      </c>
      <c r="E1662">
        <v>2400</v>
      </c>
      <c r="F1662">
        <v>0</v>
      </c>
      <c r="G1662">
        <v>1303.1125488</v>
      </c>
      <c r="H1662">
        <v>1290.7572021000001</v>
      </c>
      <c r="I1662">
        <v>1399.9083252</v>
      </c>
      <c r="J1662">
        <v>1378.5681152</v>
      </c>
      <c r="K1662">
        <v>80</v>
      </c>
      <c r="L1662">
        <v>79.825599670000003</v>
      </c>
      <c r="M1662">
        <v>50</v>
      </c>
      <c r="N1662">
        <v>46.275207520000002</v>
      </c>
    </row>
    <row r="1663" spans="1:14" x14ac:dyDescent="0.25">
      <c r="A1663">
        <v>1280.6741179999999</v>
      </c>
      <c r="B1663" s="1">
        <f>DATE(2013,11,1) + TIME(16,10,43)</f>
        <v>41579.674108796295</v>
      </c>
      <c r="C1663">
        <v>0</v>
      </c>
      <c r="D1663">
        <v>2400</v>
      </c>
      <c r="E1663">
        <v>2400</v>
      </c>
      <c r="F1663">
        <v>0</v>
      </c>
      <c r="G1663">
        <v>1303.1087646000001</v>
      </c>
      <c r="H1663">
        <v>1290.7525635</v>
      </c>
      <c r="I1663">
        <v>1399.6676024999999</v>
      </c>
      <c r="J1663">
        <v>1378.458374</v>
      </c>
      <c r="K1663">
        <v>80</v>
      </c>
      <c r="L1663">
        <v>79.808929442999997</v>
      </c>
      <c r="M1663">
        <v>50</v>
      </c>
      <c r="N1663">
        <v>46.655956267999997</v>
      </c>
    </row>
    <row r="1664" spans="1:14" x14ac:dyDescent="0.25">
      <c r="A1664">
        <v>1280.774525</v>
      </c>
      <c r="B1664" s="1">
        <f>DATE(2013,11,1) + TIME(18,35,18)</f>
        <v>41579.774513888886</v>
      </c>
      <c r="C1664">
        <v>0</v>
      </c>
      <c r="D1664">
        <v>2400</v>
      </c>
      <c r="E1664">
        <v>2400</v>
      </c>
      <c r="F1664">
        <v>0</v>
      </c>
      <c r="G1664">
        <v>1303.1047363</v>
      </c>
      <c r="H1664">
        <v>1290.7476807</v>
      </c>
      <c r="I1664">
        <v>1399.4332274999999</v>
      </c>
      <c r="J1664">
        <v>1378.3497314000001</v>
      </c>
      <c r="K1664">
        <v>80</v>
      </c>
      <c r="L1664">
        <v>79.791221618999998</v>
      </c>
      <c r="M1664">
        <v>50</v>
      </c>
      <c r="N1664">
        <v>47.024456024000003</v>
      </c>
    </row>
    <row r="1665" spans="1:14" x14ac:dyDescent="0.25">
      <c r="A1665">
        <v>1280.8847499999999</v>
      </c>
      <c r="B1665" s="1">
        <f>DATE(2013,11,1) + TIME(21,14,2)</f>
        <v>41579.884745370371</v>
      </c>
      <c r="C1665">
        <v>0</v>
      </c>
      <c r="D1665">
        <v>2400</v>
      </c>
      <c r="E1665">
        <v>2400</v>
      </c>
      <c r="F1665">
        <v>0</v>
      </c>
      <c r="G1665">
        <v>1303.1003418</v>
      </c>
      <c r="H1665">
        <v>1290.7424315999999</v>
      </c>
      <c r="I1665">
        <v>1399.2048339999999</v>
      </c>
      <c r="J1665">
        <v>1378.2419434000001</v>
      </c>
      <c r="K1665">
        <v>80</v>
      </c>
      <c r="L1665">
        <v>79.772293090999995</v>
      </c>
      <c r="M1665">
        <v>50</v>
      </c>
      <c r="N1665">
        <v>47.380107879999997</v>
      </c>
    </row>
    <row r="1666" spans="1:14" x14ac:dyDescent="0.25">
      <c r="A1666">
        <v>1281.0069639999999</v>
      </c>
      <c r="B1666" s="1">
        <f>DATE(2013,11,2) + TIME(0,10,1)</f>
        <v>41580.006956018522</v>
      </c>
      <c r="C1666">
        <v>0</v>
      </c>
      <c r="D1666">
        <v>2400</v>
      </c>
      <c r="E1666">
        <v>2400</v>
      </c>
      <c r="F1666">
        <v>0</v>
      </c>
      <c r="G1666">
        <v>1303.0954589999999</v>
      </c>
      <c r="H1666">
        <v>1290.7366943</v>
      </c>
      <c r="I1666">
        <v>1398.9818115</v>
      </c>
      <c r="J1666">
        <v>1378.1346435999999</v>
      </c>
      <c r="K1666">
        <v>80</v>
      </c>
      <c r="L1666">
        <v>79.751869201999995</v>
      </c>
      <c r="M1666">
        <v>50</v>
      </c>
      <c r="N1666">
        <v>47.722244263</v>
      </c>
    </row>
    <row r="1667" spans="1:14" x14ac:dyDescent="0.25">
      <c r="A1667">
        <v>1281.1440849999999</v>
      </c>
      <c r="B1667" s="1">
        <f>DATE(2013,11,2) + TIME(3,27,28)</f>
        <v>41580.144074074073</v>
      </c>
      <c r="C1667">
        <v>0</v>
      </c>
      <c r="D1667">
        <v>2400</v>
      </c>
      <c r="E1667">
        <v>2400</v>
      </c>
      <c r="F1667">
        <v>0</v>
      </c>
      <c r="G1667">
        <v>1303.0902100000001</v>
      </c>
      <c r="H1667">
        <v>1290.7303466999999</v>
      </c>
      <c r="I1667">
        <v>1398.7639160000001</v>
      </c>
      <c r="J1667">
        <v>1378.0272216999999</v>
      </c>
      <c r="K1667">
        <v>80</v>
      </c>
      <c r="L1667">
        <v>79.729629517000006</v>
      </c>
      <c r="M1667">
        <v>50</v>
      </c>
      <c r="N1667">
        <v>48.049953461000001</v>
      </c>
    </row>
    <row r="1668" spans="1:14" x14ac:dyDescent="0.25">
      <c r="A1668">
        <v>1281.300174</v>
      </c>
      <c r="B1668" s="1">
        <f>DATE(2013,11,2) + TIME(7,12,14)</f>
        <v>41580.300162037034</v>
      </c>
      <c r="C1668">
        <v>0</v>
      </c>
      <c r="D1668">
        <v>2400</v>
      </c>
      <c r="E1668">
        <v>2400</v>
      </c>
      <c r="F1668">
        <v>0</v>
      </c>
      <c r="G1668">
        <v>1303.0842285000001</v>
      </c>
      <c r="H1668">
        <v>1290.7232666</v>
      </c>
      <c r="I1668">
        <v>1398.5507812000001</v>
      </c>
      <c r="J1668">
        <v>1377.9191894999999</v>
      </c>
      <c r="K1668">
        <v>80</v>
      </c>
      <c r="L1668">
        <v>79.705093383999994</v>
      </c>
      <c r="M1668">
        <v>50</v>
      </c>
      <c r="N1668">
        <v>48.362056731999999</v>
      </c>
    </row>
    <row r="1669" spans="1:14" x14ac:dyDescent="0.25">
      <c r="A1669">
        <v>1281.481096</v>
      </c>
      <c r="B1669" s="1">
        <f>DATE(2013,11,2) + TIME(11,32,46)</f>
        <v>41580.481087962966</v>
      </c>
      <c r="C1669">
        <v>0</v>
      </c>
      <c r="D1669">
        <v>2400</v>
      </c>
      <c r="E1669">
        <v>2400</v>
      </c>
      <c r="F1669">
        <v>0</v>
      </c>
      <c r="G1669">
        <v>1303.0775146000001</v>
      </c>
      <c r="H1669">
        <v>1290.715332</v>
      </c>
      <c r="I1669">
        <v>1398.3417969</v>
      </c>
      <c r="J1669">
        <v>1377.8099365</v>
      </c>
      <c r="K1669">
        <v>80</v>
      </c>
      <c r="L1669">
        <v>79.677619934000006</v>
      </c>
      <c r="M1669">
        <v>50</v>
      </c>
      <c r="N1669">
        <v>48.657028197999999</v>
      </c>
    </row>
    <row r="1670" spans="1:14" x14ac:dyDescent="0.25">
      <c r="A1670">
        <v>1281.6957179999999</v>
      </c>
      <c r="B1670" s="1">
        <f>DATE(2013,11,2) + TIME(16,41,50)</f>
        <v>41580.695717592593</v>
      </c>
      <c r="C1670">
        <v>0</v>
      </c>
      <c r="D1670">
        <v>2400</v>
      </c>
      <c r="E1670">
        <v>2400</v>
      </c>
      <c r="F1670">
        <v>0</v>
      </c>
      <c r="G1670">
        <v>1303.0698242000001</v>
      </c>
      <c r="H1670">
        <v>1290.7061768000001</v>
      </c>
      <c r="I1670">
        <v>1398.1363524999999</v>
      </c>
      <c r="J1670">
        <v>1377.6986084</v>
      </c>
      <c r="K1670">
        <v>80</v>
      </c>
      <c r="L1670">
        <v>79.646286011000001</v>
      </c>
      <c r="M1670">
        <v>50</v>
      </c>
      <c r="N1670">
        <v>48.932842254999997</v>
      </c>
    </row>
    <row r="1671" spans="1:14" x14ac:dyDescent="0.25">
      <c r="A1671">
        <v>1281.9218470000001</v>
      </c>
      <c r="B1671" s="1">
        <f>DATE(2013,11,2) + TIME(22,7,27)</f>
        <v>41580.921840277777</v>
      </c>
      <c r="C1671">
        <v>0</v>
      </c>
      <c r="D1671">
        <v>2400</v>
      </c>
      <c r="E1671">
        <v>2400</v>
      </c>
      <c r="F1671">
        <v>0</v>
      </c>
      <c r="G1671">
        <v>1303.0605469</v>
      </c>
      <c r="H1671">
        <v>1290.6955565999999</v>
      </c>
      <c r="I1671">
        <v>1397.9528809000001</v>
      </c>
      <c r="J1671">
        <v>1377.5927733999999</v>
      </c>
      <c r="K1671">
        <v>80</v>
      </c>
      <c r="L1671">
        <v>79.613662719999994</v>
      </c>
      <c r="M1671">
        <v>50</v>
      </c>
      <c r="N1671">
        <v>49.159343718999999</v>
      </c>
    </row>
    <row r="1672" spans="1:14" x14ac:dyDescent="0.25">
      <c r="A1672">
        <v>1282.1520109999999</v>
      </c>
      <c r="B1672" s="1">
        <f>DATE(2013,11,3) + TIME(3,38,53)</f>
        <v>41581.152002314811</v>
      </c>
      <c r="C1672">
        <v>0</v>
      </c>
      <c r="D1672">
        <v>2400</v>
      </c>
      <c r="E1672">
        <v>2400</v>
      </c>
      <c r="F1672">
        <v>0</v>
      </c>
      <c r="G1672">
        <v>1303.0507812000001</v>
      </c>
      <c r="H1672">
        <v>1290.6844481999999</v>
      </c>
      <c r="I1672">
        <v>1397.7938231999999</v>
      </c>
      <c r="J1672">
        <v>1377.4962158000001</v>
      </c>
      <c r="K1672">
        <v>80</v>
      </c>
      <c r="L1672">
        <v>79.580589294000006</v>
      </c>
      <c r="M1672">
        <v>50</v>
      </c>
      <c r="N1672">
        <v>49.338352202999999</v>
      </c>
    </row>
    <row r="1673" spans="1:14" x14ac:dyDescent="0.25">
      <c r="A1673">
        <v>1282.389985</v>
      </c>
      <c r="B1673" s="1">
        <f>DATE(2013,11,3) + TIME(9,21,34)</f>
        <v>41581.389976851853</v>
      </c>
      <c r="C1673">
        <v>0</v>
      </c>
      <c r="D1673">
        <v>2400</v>
      </c>
      <c r="E1673">
        <v>2400</v>
      </c>
      <c r="F1673">
        <v>0</v>
      </c>
      <c r="G1673">
        <v>1303.0408935999999</v>
      </c>
      <c r="H1673">
        <v>1290.6732178</v>
      </c>
      <c r="I1673">
        <v>1397.6544189000001</v>
      </c>
      <c r="J1673">
        <v>1377.4082031</v>
      </c>
      <c r="K1673">
        <v>80</v>
      </c>
      <c r="L1673">
        <v>79.546699524000005</v>
      </c>
      <c r="M1673">
        <v>50</v>
      </c>
      <c r="N1673">
        <v>49.481006622000002</v>
      </c>
    </row>
    <row r="1674" spans="1:14" x14ac:dyDescent="0.25">
      <c r="A1674">
        <v>1282.638537</v>
      </c>
      <c r="B1674" s="1">
        <f>DATE(2013,11,3) + TIME(15,19,29)</f>
        <v>41581.63853009259</v>
      </c>
      <c r="C1674">
        <v>0</v>
      </c>
      <c r="D1674">
        <v>2400</v>
      </c>
      <c r="E1674">
        <v>2400</v>
      </c>
      <c r="F1674">
        <v>0</v>
      </c>
      <c r="G1674">
        <v>1303.0307617000001</v>
      </c>
      <c r="H1674">
        <v>1290.661499</v>
      </c>
      <c r="I1674">
        <v>1397.5302733999999</v>
      </c>
      <c r="J1674">
        <v>1377.3265381000001</v>
      </c>
      <c r="K1674">
        <v>80</v>
      </c>
      <c r="L1674">
        <v>79.511695861999996</v>
      </c>
      <c r="M1674">
        <v>50</v>
      </c>
      <c r="N1674">
        <v>49.594722748000002</v>
      </c>
    </row>
    <row r="1675" spans="1:14" x14ac:dyDescent="0.25">
      <c r="A1675">
        <v>1282.900791</v>
      </c>
      <c r="B1675" s="1">
        <f>DATE(2013,11,3) + TIME(21,37,8)</f>
        <v>41581.900787037041</v>
      </c>
      <c r="C1675">
        <v>0</v>
      </c>
      <c r="D1675">
        <v>2400</v>
      </c>
      <c r="E1675">
        <v>2400</v>
      </c>
      <c r="F1675">
        <v>0</v>
      </c>
      <c r="G1675">
        <v>1303.0201416</v>
      </c>
      <c r="H1675">
        <v>1290.6494141000001</v>
      </c>
      <c r="I1675">
        <v>1397.4182129000001</v>
      </c>
      <c r="J1675">
        <v>1377.2497559000001</v>
      </c>
      <c r="K1675">
        <v>80</v>
      </c>
      <c r="L1675">
        <v>79.475257873999993</v>
      </c>
      <c r="M1675">
        <v>50</v>
      </c>
      <c r="N1675">
        <v>49.685161591000004</v>
      </c>
    </row>
    <row r="1676" spans="1:14" x14ac:dyDescent="0.25">
      <c r="A1676">
        <v>1283.1803219999999</v>
      </c>
      <c r="B1676" s="1">
        <f>DATE(2013,11,4) + TIME(4,19,39)</f>
        <v>41582.180312500001</v>
      </c>
      <c r="C1676">
        <v>0</v>
      </c>
      <c r="D1676">
        <v>2400</v>
      </c>
      <c r="E1676">
        <v>2400</v>
      </c>
      <c r="F1676">
        <v>0</v>
      </c>
      <c r="G1676">
        <v>1303.0091553</v>
      </c>
      <c r="H1676">
        <v>1290.6367187999999</v>
      </c>
      <c r="I1676">
        <v>1397.3154297000001</v>
      </c>
      <c r="J1676">
        <v>1377.1766356999999</v>
      </c>
      <c r="K1676">
        <v>80</v>
      </c>
      <c r="L1676">
        <v>79.437019348000007</v>
      </c>
      <c r="M1676">
        <v>50</v>
      </c>
      <c r="N1676">
        <v>49.756706238</v>
      </c>
    </row>
    <row r="1677" spans="1:14" x14ac:dyDescent="0.25">
      <c r="A1677">
        <v>1283.4815080000001</v>
      </c>
      <c r="B1677" s="1">
        <f>DATE(2013,11,4) + TIME(11,33,22)</f>
        <v>41582.481504629628</v>
      </c>
      <c r="C1677">
        <v>0</v>
      </c>
      <c r="D1677">
        <v>2400</v>
      </c>
      <c r="E1677">
        <v>2400</v>
      </c>
      <c r="F1677">
        <v>0</v>
      </c>
      <c r="G1677">
        <v>1302.9974365</v>
      </c>
      <c r="H1677">
        <v>1290.6231689000001</v>
      </c>
      <c r="I1677">
        <v>1397.2198486</v>
      </c>
      <c r="J1677">
        <v>1377.1060791</v>
      </c>
      <c r="K1677">
        <v>80</v>
      </c>
      <c r="L1677">
        <v>79.396522521999998</v>
      </c>
      <c r="M1677">
        <v>50</v>
      </c>
      <c r="N1677">
        <v>49.812850951999998</v>
      </c>
    </row>
    <row r="1678" spans="1:14" x14ac:dyDescent="0.25">
      <c r="A1678">
        <v>1283.8068880000001</v>
      </c>
      <c r="B1678" s="1">
        <f>DATE(2013,11,4) + TIME(19,21,55)</f>
        <v>41582.806886574072</v>
      </c>
      <c r="C1678">
        <v>0</v>
      </c>
      <c r="D1678">
        <v>2400</v>
      </c>
      <c r="E1678">
        <v>2400</v>
      </c>
      <c r="F1678">
        <v>0</v>
      </c>
      <c r="G1678">
        <v>1302.9848632999999</v>
      </c>
      <c r="H1678">
        <v>1290.6087646000001</v>
      </c>
      <c r="I1678">
        <v>1397.1297606999999</v>
      </c>
      <c r="J1678">
        <v>1377.0373535000001</v>
      </c>
      <c r="K1678">
        <v>80</v>
      </c>
      <c r="L1678">
        <v>79.353500366000006</v>
      </c>
      <c r="M1678">
        <v>50</v>
      </c>
      <c r="N1678">
        <v>49.856136321999998</v>
      </c>
    </row>
    <row r="1679" spans="1:14" x14ac:dyDescent="0.25">
      <c r="A1679">
        <v>1284.1581249999999</v>
      </c>
      <c r="B1679" s="1">
        <f>DATE(2013,11,5) + TIME(3,47,41)</f>
        <v>41583.158113425925</v>
      </c>
      <c r="C1679">
        <v>0</v>
      </c>
      <c r="D1679">
        <v>2400</v>
      </c>
      <c r="E1679">
        <v>2400</v>
      </c>
      <c r="F1679">
        <v>0</v>
      </c>
      <c r="G1679">
        <v>1302.9713135</v>
      </c>
      <c r="H1679">
        <v>1290.5931396000001</v>
      </c>
      <c r="I1679">
        <v>1397.0440673999999</v>
      </c>
      <c r="J1679">
        <v>1376.9699707</v>
      </c>
      <c r="K1679">
        <v>80</v>
      </c>
      <c r="L1679">
        <v>79.307785034000005</v>
      </c>
      <c r="M1679">
        <v>50</v>
      </c>
      <c r="N1679">
        <v>49.888797760000003</v>
      </c>
    </row>
    <row r="1680" spans="1:14" x14ac:dyDescent="0.25">
      <c r="A1680">
        <v>1284.5417620000001</v>
      </c>
      <c r="B1680" s="1">
        <f>DATE(2013,11,5) + TIME(13,0,8)</f>
        <v>41583.541759259257</v>
      </c>
      <c r="C1680">
        <v>0</v>
      </c>
      <c r="D1680">
        <v>2400</v>
      </c>
      <c r="E1680">
        <v>2400</v>
      </c>
      <c r="F1680">
        <v>0</v>
      </c>
      <c r="G1680">
        <v>1302.9566649999999</v>
      </c>
      <c r="H1680">
        <v>1290.5764160000001</v>
      </c>
      <c r="I1680">
        <v>1396.9617920000001</v>
      </c>
      <c r="J1680">
        <v>1376.9035644999999</v>
      </c>
      <c r="K1680">
        <v>80</v>
      </c>
      <c r="L1680">
        <v>79.258750915999997</v>
      </c>
      <c r="M1680">
        <v>50</v>
      </c>
      <c r="N1680">
        <v>49.91312027</v>
      </c>
    </row>
    <row r="1681" spans="1:14" x14ac:dyDescent="0.25">
      <c r="A1681">
        <v>1284.9658449999999</v>
      </c>
      <c r="B1681" s="1">
        <f>DATE(2013,11,5) + TIME(23,10,49)</f>
        <v>41583.965844907405</v>
      </c>
      <c r="C1681">
        <v>0</v>
      </c>
      <c r="D1681">
        <v>2400</v>
      </c>
      <c r="E1681">
        <v>2400</v>
      </c>
      <c r="F1681">
        <v>0</v>
      </c>
      <c r="G1681">
        <v>1302.940918</v>
      </c>
      <c r="H1681">
        <v>1290.5581055</v>
      </c>
      <c r="I1681">
        <v>1396.8813477000001</v>
      </c>
      <c r="J1681">
        <v>1376.8372803</v>
      </c>
      <c r="K1681">
        <v>80</v>
      </c>
      <c r="L1681">
        <v>79.205657959000007</v>
      </c>
      <c r="M1681">
        <v>50</v>
      </c>
      <c r="N1681">
        <v>49.930919647000003</v>
      </c>
    </row>
    <row r="1682" spans="1:14" x14ac:dyDescent="0.25">
      <c r="A1682">
        <v>1285.4413420000001</v>
      </c>
      <c r="B1682" s="1">
        <f>DATE(2013,11,6) + TIME(10,35,31)</f>
        <v>41584.441331018519</v>
      </c>
      <c r="C1682">
        <v>0</v>
      </c>
      <c r="D1682">
        <v>2400</v>
      </c>
      <c r="E1682">
        <v>2400</v>
      </c>
      <c r="F1682">
        <v>0</v>
      </c>
      <c r="G1682">
        <v>1302.9234618999999</v>
      </c>
      <c r="H1682">
        <v>1290.5380858999999</v>
      </c>
      <c r="I1682">
        <v>1396.8012695</v>
      </c>
      <c r="J1682">
        <v>1376.7701416</v>
      </c>
      <c r="K1682">
        <v>80</v>
      </c>
      <c r="L1682">
        <v>79.147537231000001</v>
      </c>
      <c r="M1682">
        <v>50</v>
      </c>
      <c r="N1682">
        <v>49.943675995</v>
      </c>
    </row>
    <row r="1683" spans="1:14" x14ac:dyDescent="0.25">
      <c r="A1683">
        <v>1285.9308599999999</v>
      </c>
      <c r="B1683" s="1">
        <f>DATE(2013,11,6) + TIME(22,20,26)</f>
        <v>41584.930856481478</v>
      </c>
      <c r="C1683">
        <v>0</v>
      </c>
      <c r="D1683">
        <v>2400</v>
      </c>
      <c r="E1683">
        <v>2400</v>
      </c>
      <c r="F1683">
        <v>0</v>
      </c>
      <c r="G1683">
        <v>1302.9036865</v>
      </c>
      <c r="H1683">
        <v>1290.515625</v>
      </c>
      <c r="I1683">
        <v>1396.7205810999999</v>
      </c>
      <c r="J1683">
        <v>1376.7016602000001</v>
      </c>
      <c r="K1683">
        <v>80</v>
      </c>
      <c r="L1683">
        <v>79.087005614999995</v>
      </c>
      <c r="M1683">
        <v>50</v>
      </c>
      <c r="N1683">
        <v>49.952033997000001</v>
      </c>
    </row>
    <row r="1684" spans="1:14" x14ac:dyDescent="0.25">
      <c r="A1684">
        <v>1286.4268500000001</v>
      </c>
      <c r="B1684" s="1">
        <f>DATE(2013,11,7) + TIME(10,14,39)</f>
        <v>41585.426840277774</v>
      </c>
      <c r="C1684">
        <v>0</v>
      </c>
      <c r="D1684">
        <v>2400</v>
      </c>
      <c r="E1684">
        <v>2400</v>
      </c>
      <c r="F1684">
        <v>0</v>
      </c>
      <c r="G1684">
        <v>1302.8834228999999</v>
      </c>
      <c r="H1684">
        <v>1290.4926757999999</v>
      </c>
      <c r="I1684">
        <v>1396.6447754000001</v>
      </c>
      <c r="J1684">
        <v>1376.6368408000001</v>
      </c>
      <c r="K1684">
        <v>80</v>
      </c>
      <c r="L1684">
        <v>79.025146484000004</v>
      </c>
      <c r="M1684">
        <v>50</v>
      </c>
      <c r="N1684">
        <v>49.957439422999997</v>
      </c>
    </row>
    <row r="1685" spans="1:14" x14ac:dyDescent="0.25">
      <c r="A1685">
        <v>1286.936001</v>
      </c>
      <c r="B1685" s="1">
        <f>DATE(2013,11,7) + TIME(22,27,50)</f>
        <v>41585.935995370368</v>
      </c>
      <c r="C1685">
        <v>0</v>
      </c>
      <c r="D1685">
        <v>2400</v>
      </c>
      <c r="E1685">
        <v>2400</v>
      </c>
      <c r="F1685">
        <v>0</v>
      </c>
      <c r="G1685">
        <v>1302.8629149999999</v>
      </c>
      <c r="H1685">
        <v>1290.4692382999999</v>
      </c>
      <c r="I1685">
        <v>1396.5742187999999</v>
      </c>
      <c r="J1685">
        <v>1376.5764160000001</v>
      </c>
      <c r="K1685">
        <v>80</v>
      </c>
      <c r="L1685">
        <v>78.961875915999997</v>
      </c>
      <c r="M1685">
        <v>50</v>
      </c>
      <c r="N1685">
        <v>49.960987091</v>
      </c>
    </row>
    <row r="1686" spans="1:14" x14ac:dyDescent="0.25">
      <c r="A1686">
        <v>1287.464626</v>
      </c>
      <c r="B1686" s="1">
        <f>DATE(2013,11,8) + TIME(11,9,3)</f>
        <v>41586.464618055557</v>
      </c>
      <c r="C1686">
        <v>0</v>
      </c>
      <c r="D1686">
        <v>2400</v>
      </c>
      <c r="E1686">
        <v>2400</v>
      </c>
      <c r="F1686">
        <v>0</v>
      </c>
      <c r="G1686">
        <v>1302.8420410000001</v>
      </c>
      <c r="H1686">
        <v>1290.4453125</v>
      </c>
      <c r="I1686">
        <v>1396.5072021000001</v>
      </c>
      <c r="J1686">
        <v>1376.5189209</v>
      </c>
      <c r="K1686">
        <v>80</v>
      </c>
      <c r="L1686">
        <v>78.896911621000001</v>
      </c>
      <c r="M1686">
        <v>50</v>
      </c>
      <c r="N1686">
        <v>49.963336945000002</v>
      </c>
    </row>
    <row r="1687" spans="1:14" x14ac:dyDescent="0.25">
      <c r="A1687">
        <v>1288.0193159999999</v>
      </c>
      <c r="B1687" s="1">
        <f>DATE(2013,11,9) + TIME(0,27,48)</f>
        <v>41587.019305555557</v>
      </c>
      <c r="C1687">
        <v>0</v>
      </c>
      <c r="D1687">
        <v>2400</v>
      </c>
      <c r="E1687">
        <v>2400</v>
      </c>
      <c r="F1687">
        <v>0</v>
      </c>
      <c r="G1687">
        <v>1302.8203125</v>
      </c>
      <c r="H1687">
        <v>1290.4204102000001</v>
      </c>
      <c r="I1687">
        <v>1396.4423827999999</v>
      </c>
      <c r="J1687">
        <v>1376.4633789</v>
      </c>
      <c r="K1687">
        <v>80</v>
      </c>
      <c r="L1687">
        <v>78.829788207999997</v>
      </c>
      <c r="M1687">
        <v>50</v>
      </c>
      <c r="N1687">
        <v>49.964908600000001</v>
      </c>
    </row>
    <row r="1688" spans="1:14" x14ac:dyDescent="0.25">
      <c r="A1688">
        <v>1288.607456</v>
      </c>
      <c r="B1688" s="1">
        <f>DATE(2013,11,9) + TIME(14,34,44)</f>
        <v>41587.607453703706</v>
      </c>
      <c r="C1688">
        <v>0</v>
      </c>
      <c r="D1688">
        <v>2400</v>
      </c>
      <c r="E1688">
        <v>2400</v>
      </c>
      <c r="F1688">
        <v>0</v>
      </c>
      <c r="G1688">
        <v>1302.7976074000001</v>
      </c>
      <c r="H1688">
        <v>1290.3942870999999</v>
      </c>
      <c r="I1688">
        <v>1396.3790283000001</v>
      </c>
      <c r="J1688">
        <v>1376.4090576000001</v>
      </c>
      <c r="K1688">
        <v>80</v>
      </c>
      <c r="L1688">
        <v>78.759918213000006</v>
      </c>
      <c r="M1688">
        <v>50</v>
      </c>
      <c r="N1688">
        <v>49.965969086000001</v>
      </c>
    </row>
    <row r="1689" spans="1:14" x14ac:dyDescent="0.25">
      <c r="A1689">
        <v>1289.2380639999999</v>
      </c>
      <c r="B1689" s="1">
        <f>DATE(2013,11,10) + TIME(5,42,48)</f>
        <v>41588.238055555557</v>
      </c>
      <c r="C1689">
        <v>0</v>
      </c>
      <c r="D1689">
        <v>2400</v>
      </c>
      <c r="E1689">
        <v>2400</v>
      </c>
      <c r="F1689">
        <v>0</v>
      </c>
      <c r="G1689">
        <v>1302.7735596</v>
      </c>
      <c r="H1689">
        <v>1290.3665771000001</v>
      </c>
      <c r="I1689">
        <v>1396.3161620999999</v>
      </c>
      <c r="J1689">
        <v>1376.3553466999999</v>
      </c>
      <c r="K1689">
        <v>80</v>
      </c>
      <c r="L1689">
        <v>78.686546325999998</v>
      </c>
      <c r="M1689">
        <v>50</v>
      </c>
      <c r="N1689">
        <v>49.966693878000001</v>
      </c>
    </row>
    <row r="1690" spans="1:14" x14ac:dyDescent="0.25">
      <c r="A1690">
        <v>1289.9225429999999</v>
      </c>
      <c r="B1690" s="1">
        <f>DATE(2013,11,10) + TIME(22,8,27)</f>
        <v>41588.922534722224</v>
      </c>
      <c r="C1690">
        <v>0</v>
      </c>
      <c r="D1690">
        <v>2400</v>
      </c>
      <c r="E1690">
        <v>2400</v>
      </c>
      <c r="F1690">
        <v>0</v>
      </c>
      <c r="G1690">
        <v>1302.7476807</v>
      </c>
      <c r="H1690">
        <v>1290.3367920000001</v>
      </c>
      <c r="I1690">
        <v>1396.2531738</v>
      </c>
      <c r="J1690">
        <v>1376.3016356999999</v>
      </c>
      <c r="K1690">
        <v>80</v>
      </c>
      <c r="L1690">
        <v>78.608734131000006</v>
      </c>
      <c r="M1690">
        <v>50</v>
      </c>
      <c r="N1690">
        <v>49.967193604000002</v>
      </c>
    </row>
    <row r="1691" spans="1:14" x14ac:dyDescent="0.25">
      <c r="A1691">
        <v>1290.662695</v>
      </c>
      <c r="B1691" s="1">
        <f>DATE(2013,11,11) + TIME(15,54,16)</f>
        <v>41589.662685185183</v>
      </c>
      <c r="C1691">
        <v>0</v>
      </c>
      <c r="D1691">
        <v>2400</v>
      </c>
      <c r="E1691">
        <v>2400</v>
      </c>
      <c r="F1691">
        <v>0</v>
      </c>
      <c r="G1691">
        <v>1302.7196045000001</v>
      </c>
      <c r="H1691">
        <v>1290.3045654</v>
      </c>
      <c r="I1691">
        <v>1396.1892089999999</v>
      </c>
      <c r="J1691">
        <v>1376.2471923999999</v>
      </c>
      <c r="K1691">
        <v>80</v>
      </c>
      <c r="L1691">
        <v>78.526031493999994</v>
      </c>
      <c r="M1691">
        <v>50</v>
      </c>
      <c r="N1691">
        <v>49.967544556</v>
      </c>
    </row>
    <row r="1692" spans="1:14" x14ac:dyDescent="0.25">
      <c r="A1692">
        <v>1291.4263659999999</v>
      </c>
      <c r="B1692" s="1">
        <f>DATE(2013,11,12) + TIME(10,13,58)</f>
        <v>41590.426365740743</v>
      </c>
      <c r="C1692">
        <v>0</v>
      </c>
      <c r="D1692">
        <v>2400</v>
      </c>
      <c r="E1692">
        <v>2400</v>
      </c>
      <c r="F1692">
        <v>0</v>
      </c>
      <c r="G1692">
        <v>1302.6892089999999</v>
      </c>
      <c r="H1692">
        <v>1290.2697754000001</v>
      </c>
      <c r="I1692">
        <v>1396.1245117000001</v>
      </c>
      <c r="J1692">
        <v>1376.1922606999999</v>
      </c>
      <c r="K1692">
        <v>80</v>
      </c>
      <c r="L1692">
        <v>78.440116881999998</v>
      </c>
      <c r="M1692">
        <v>50</v>
      </c>
      <c r="N1692">
        <v>49.967777251999998</v>
      </c>
    </row>
    <row r="1693" spans="1:14" x14ac:dyDescent="0.25">
      <c r="A1693">
        <v>1292.218445</v>
      </c>
      <c r="B1693" s="1">
        <f>DATE(2013,11,13) + TIME(5,14,33)</f>
        <v>41591.2184375</v>
      </c>
      <c r="C1693">
        <v>0</v>
      </c>
      <c r="D1693">
        <v>2400</v>
      </c>
      <c r="E1693">
        <v>2400</v>
      </c>
      <c r="F1693">
        <v>0</v>
      </c>
      <c r="G1693">
        <v>1302.6577147999999</v>
      </c>
      <c r="H1693">
        <v>1290.2335204999999</v>
      </c>
      <c r="I1693">
        <v>1396.0620117000001</v>
      </c>
      <c r="J1693">
        <v>1376.1395264</v>
      </c>
      <c r="K1693">
        <v>80</v>
      </c>
      <c r="L1693">
        <v>78.351478576999995</v>
      </c>
      <c r="M1693">
        <v>50</v>
      </c>
      <c r="N1693">
        <v>49.967941283999998</v>
      </c>
    </row>
    <row r="1694" spans="1:14" x14ac:dyDescent="0.25">
      <c r="A1694">
        <v>1293.0336520000001</v>
      </c>
      <c r="B1694" s="1">
        <f>DATE(2013,11,14) + TIME(0,48,27)</f>
        <v>41592.033645833333</v>
      </c>
      <c r="C1694">
        <v>0</v>
      </c>
      <c r="D1694">
        <v>2400</v>
      </c>
      <c r="E1694">
        <v>2400</v>
      </c>
      <c r="F1694">
        <v>0</v>
      </c>
      <c r="G1694">
        <v>1302.6248779</v>
      </c>
      <c r="H1694">
        <v>1290.1959228999999</v>
      </c>
      <c r="I1694">
        <v>1396.0013428</v>
      </c>
      <c r="J1694">
        <v>1376.0882568</v>
      </c>
      <c r="K1694">
        <v>80</v>
      </c>
      <c r="L1694">
        <v>78.260734557999996</v>
      </c>
      <c r="M1694">
        <v>50</v>
      </c>
      <c r="N1694">
        <v>49.968059539999999</v>
      </c>
    </row>
    <row r="1695" spans="1:14" x14ac:dyDescent="0.25">
      <c r="A1695">
        <v>1293.8712499999999</v>
      </c>
      <c r="B1695" s="1">
        <f>DATE(2013,11,14) + TIME(20,54,36)</f>
        <v>41592.871249999997</v>
      </c>
      <c r="C1695">
        <v>0</v>
      </c>
      <c r="D1695">
        <v>2400</v>
      </c>
      <c r="E1695">
        <v>2400</v>
      </c>
      <c r="F1695">
        <v>0</v>
      </c>
      <c r="G1695">
        <v>1302.5910644999999</v>
      </c>
      <c r="H1695">
        <v>1290.1569824000001</v>
      </c>
      <c r="I1695">
        <v>1395.9425048999999</v>
      </c>
      <c r="J1695">
        <v>1376.0388184000001</v>
      </c>
      <c r="K1695">
        <v>80</v>
      </c>
      <c r="L1695">
        <v>78.168273925999998</v>
      </c>
      <c r="M1695">
        <v>50</v>
      </c>
      <c r="N1695">
        <v>49.968143462999997</v>
      </c>
    </row>
    <row r="1696" spans="1:14" x14ac:dyDescent="0.25">
      <c r="A1696">
        <v>1294.7417150000001</v>
      </c>
      <c r="B1696" s="1">
        <f>DATE(2013,11,15) + TIME(17,48,4)</f>
        <v>41593.741712962961</v>
      </c>
      <c r="C1696">
        <v>0</v>
      </c>
      <c r="D1696">
        <v>2400</v>
      </c>
      <c r="E1696">
        <v>2400</v>
      </c>
      <c r="F1696">
        <v>0</v>
      </c>
      <c r="G1696">
        <v>1302.5562743999999</v>
      </c>
      <c r="H1696">
        <v>1290.1166992000001</v>
      </c>
      <c r="I1696">
        <v>1395.8856201000001</v>
      </c>
      <c r="J1696">
        <v>1375.9910889</v>
      </c>
      <c r="K1696">
        <v>80</v>
      </c>
      <c r="L1696">
        <v>78.073768615999995</v>
      </c>
      <c r="M1696">
        <v>50</v>
      </c>
      <c r="N1696">
        <v>49.968208312999998</v>
      </c>
    </row>
    <row r="1697" spans="1:14" x14ac:dyDescent="0.25">
      <c r="A1697">
        <v>1295.656295</v>
      </c>
      <c r="B1697" s="1">
        <f>DATE(2013,11,16) + TIME(15,45,3)</f>
        <v>41594.656284722223</v>
      </c>
      <c r="C1697">
        <v>0</v>
      </c>
      <c r="D1697">
        <v>2400</v>
      </c>
      <c r="E1697">
        <v>2400</v>
      </c>
      <c r="F1697">
        <v>0</v>
      </c>
      <c r="G1697">
        <v>1302.5200195</v>
      </c>
      <c r="H1697">
        <v>1290.074707</v>
      </c>
      <c r="I1697">
        <v>1395.8299560999999</v>
      </c>
      <c r="J1697">
        <v>1375.9444579999999</v>
      </c>
      <c r="K1697">
        <v>80</v>
      </c>
      <c r="L1697">
        <v>77.976516724000007</v>
      </c>
      <c r="M1697">
        <v>50</v>
      </c>
      <c r="N1697">
        <v>49.968257903999998</v>
      </c>
    </row>
    <row r="1698" spans="1:14" x14ac:dyDescent="0.25">
      <c r="A1698">
        <v>1296.6279520000001</v>
      </c>
      <c r="B1698" s="1">
        <f>DATE(2013,11,17) + TIME(15,4,15)</f>
        <v>41595.627951388888</v>
      </c>
      <c r="C1698">
        <v>0</v>
      </c>
      <c r="D1698">
        <v>2400</v>
      </c>
      <c r="E1698">
        <v>2400</v>
      </c>
      <c r="F1698">
        <v>0</v>
      </c>
      <c r="G1698">
        <v>1302.4816894999999</v>
      </c>
      <c r="H1698">
        <v>1290.0302733999999</v>
      </c>
      <c r="I1698">
        <v>1395.7745361</v>
      </c>
      <c r="J1698">
        <v>1375.8981934000001</v>
      </c>
      <c r="K1698">
        <v>80</v>
      </c>
      <c r="L1698">
        <v>77.875572204999997</v>
      </c>
      <c r="M1698">
        <v>50</v>
      </c>
      <c r="N1698">
        <v>49.968303679999998</v>
      </c>
    </row>
    <row r="1699" spans="1:14" x14ac:dyDescent="0.25">
      <c r="A1699">
        <v>1297.673088</v>
      </c>
      <c r="B1699" s="1">
        <f>DATE(2013,11,18) + TIME(16,9,14)</f>
        <v>41596.673078703701</v>
      </c>
      <c r="C1699">
        <v>0</v>
      </c>
      <c r="D1699">
        <v>2400</v>
      </c>
      <c r="E1699">
        <v>2400</v>
      </c>
      <c r="F1699">
        <v>0</v>
      </c>
      <c r="G1699">
        <v>1302.4407959</v>
      </c>
      <c r="H1699">
        <v>1289.9826660000001</v>
      </c>
      <c r="I1699">
        <v>1395.7189940999999</v>
      </c>
      <c r="J1699">
        <v>1375.8518065999999</v>
      </c>
      <c r="K1699">
        <v>80</v>
      </c>
      <c r="L1699">
        <v>77.769729613999999</v>
      </c>
      <c r="M1699">
        <v>50</v>
      </c>
      <c r="N1699">
        <v>49.968341827000003</v>
      </c>
    </row>
    <row r="1700" spans="1:14" x14ac:dyDescent="0.25">
      <c r="A1700">
        <v>1298.77539</v>
      </c>
      <c r="B1700" s="1">
        <f>DATE(2013,11,19) + TIME(18,36,33)</f>
        <v>41597.775381944448</v>
      </c>
      <c r="C1700">
        <v>0</v>
      </c>
      <c r="D1700">
        <v>2400</v>
      </c>
      <c r="E1700">
        <v>2400</v>
      </c>
      <c r="F1700">
        <v>0</v>
      </c>
      <c r="G1700">
        <v>1302.3964844</v>
      </c>
      <c r="H1700">
        <v>1289.9312743999999</v>
      </c>
      <c r="I1700">
        <v>1395.6623535000001</v>
      </c>
      <c r="J1700">
        <v>1375.8048096</v>
      </c>
      <c r="K1700">
        <v>80</v>
      </c>
      <c r="L1700">
        <v>77.659095764</v>
      </c>
      <c r="M1700">
        <v>50</v>
      </c>
      <c r="N1700">
        <v>49.968376159999998</v>
      </c>
    </row>
    <row r="1701" spans="1:14" x14ac:dyDescent="0.25">
      <c r="A1701">
        <v>1299.91661</v>
      </c>
      <c r="B1701" s="1">
        <f>DATE(2013,11,20) + TIME(21,59,55)</f>
        <v>41598.916608796295</v>
      </c>
      <c r="C1701">
        <v>0</v>
      </c>
      <c r="D1701">
        <v>2400</v>
      </c>
      <c r="E1701">
        <v>2400</v>
      </c>
      <c r="F1701">
        <v>0</v>
      </c>
      <c r="G1701">
        <v>1302.3492432</v>
      </c>
      <c r="H1701">
        <v>1289.8764647999999</v>
      </c>
      <c r="I1701">
        <v>1395.605957</v>
      </c>
      <c r="J1701">
        <v>1375.7579346</v>
      </c>
      <c r="K1701">
        <v>80</v>
      </c>
      <c r="L1701">
        <v>77.544769286999994</v>
      </c>
      <c r="M1701">
        <v>50</v>
      </c>
      <c r="N1701">
        <v>49.968406676999997</v>
      </c>
    </row>
    <row r="1702" spans="1:14" x14ac:dyDescent="0.25">
      <c r="A1702">
        <v>1301.0744520000001</v>
      </c>
      <c r="B1702" s="1">
        <f>DATE(2013,11,22) + TIME(1,47,12)</f>
        <v>41600.074444444443</v>
      </c>
      <c r="C1702">
        <v>0</v>
      </c>
      <c r="D1702">
        <v>2400</v>
      </c>
      <c r="E1702">
        <v>2400</v>
      </c>
      <c r="F1702">
        <v>0</v>
      </c>
      <c r="G1702">
        <v>1302.3000488</v>
      </c>
      <c r="H1702">
        <v>1289.8190918</v>
      </c>
      <c r="I1702">
        <v>1395.5506591999999</v>
      </c>
      <c r="J1702">
        <v>1375.7121582</v>
      </c>
      <c r="K1702">
        <v>80</v>
      </c>
      <c r="L1702">
        <v>77.428543090999995</v>
      </c>
      <c r="M1702">
        <v>50</v>
      </c>
      <c r="N1702">
        <v>49.968437195</v>
      </c>
    </row>
    <row r="1703" spans="1:14" x14ac:dyDescent="0.25">
      <c r="A1703">
        <v>1302.26361</v>
      </c>
      <c r="B1703" s="1">
        <f>DATE(2013,11,23) + TIME(6,19,35)</f>
        <v>41601.263599537036</v>
      </c>
      <c r="C1703">
        <v>0</v>
      </c>
      <c r="D1703">
        <v>2400</v>
      </c>
      <c r="E1703">
        <v>2400</v>
      </c>
      <c r="F1703">
        <v>0</v>
      </c>
      <c r="G1703">
        <v>1302.2496338000001</v>
      </c>
      <c r="H1703">
        <v>1289.7600098</v>
      </c>
      <c r="I1703">
        <v>1395.4975586</v>
      </c>
      <c r="J1703">
        <v>1375.6682129000001</v>
      </c>
      <c r="K1703">
        <v>80</v>
      </c>
      <c r="L1703">
        <v>77.310951232999997</v>
      </c>
      <c r="M1703">
        <v>50</v>
      </c>
      <c r="N1703">
        <v>49.968463898000003</v>
      </c>
    </row>
    <row r="1704" spans="1:14" x14ac:dyDescent="0.25">
      <c r="A1704">
        <v>1303.499131</v>
      </c>
      <c r="B1704" s="1">
        <f>DATE(2013,11,24) + TIME(11,58,44)</f>
        <v>41602.499120370368</v>
      </c>
      <c r="C1704">
        <v>0</v>
      </c>
      <c r="D1704">
        <v>2400</v>
      </c>
      <c r="E1704">
        <v>2400</v>
      </c>
      <c r="F1704">
        <v>0</v>
      </c>
      <c r="G1704">
        <v>1302.1973877</v>
      </c>
      <c r="H1704">
        <v>1289.6986084</v>
      </c>
      <c r="I1704">
        <v>1395.4458007999999</v>
      </c>
      <c r="J1704">
        <v>1375.6254882999999</v>
      </c>
      <c r="K1704">
        <v>80</v>
      </c>
      <c r="L1704">
        <v>77.191436768000003</v>
      </c>
      <c r="M1704">
        <v>50</v>
      </c>
      <c r="N1704">
        <v>49.968494415000002</v>
      </c>
    </row>
    <row r="1705" spans="1:14" x14ac:dyDescent="0.25">
      <c r="A1705">
        <v>1304.7976189999999</v>
      </c>
      <c r="B1705" s="1">
        <f>DATE(2013,11,25) + TIME(19,8,34)</f>
        <v>41603.797615740739</v>
      </c>
      <c r="C1705">
        <v>0</v>
      </c>
      <c r="D1705">
        <v>2400</v>
      </c>
      <c r="E1705">
        <v>2400</v>
      </c>
      <c r="F1705">
        <v>0</v>
      </c>
      <c r="G1705">
        <v>1302.1425781</v>
      </c>
      <c r="H1705">
        <v>1289.6339111</v>
      </c>
      <c r="I1705">
        <v>1395.3947754000001</v>
      </c>
      <c r="J1705">
        <v>1375.583374</v>
      </c>
      <c r="K1705">
        <v>80</v>
      </c>
      <c r="L1705">
        <v>77.068969726999995</v>
      </c>
      <c r="M1705">
        <v>50</v>
      </c>
      <c r="N1705">
        <v>49.968524932999998</v>
      </c>
    </row>
    <row r="1706" spans="1:14" x14ac:dyDescent="0.25">
      <c r="A1706">
        <v>1306.1785629999999</v>
      </c>
      <c r="B1706" s="1">
        <f>DATE(2013,11,27) + TIME(4,17,7)</f>
        <v>41605.178553240738</v>
      </c>
      <c r="C1706">
        <v>0</v>
      </c>
      <c r="D1706">
        <v>2400</v>
      </c>
      <c r="E1706">
        <v>2400</v>
      </c>
      <c r="F1706">
        <v>0</v>
      </c>
      <c r="G1706">
        <v>1302.0842285000001</v>
      </c>
      <c r="H1706">
        <v>1289.5648193</v>
      </c>
      <c r="I1706">
        <v>1395.3436279</v>
      </c>
      <c r="J1706">
        <v>1375.5412598</v>
      </c>
      <c r="K1706">
        <v>80</v>
      </c>
      <c r="L1706">
        <v>76.942214965999995</v>
      </c>
      <c r="M1706">
        <v>50</v>
      </c>
      <c r="N1706">
        <v>49.968559265000003</v>
      </c>
    </row>
    <row r="1707" spans="1:14" x14ac:dyDescent="0.25">
      <c r="A1707">
        <v>1307.6310989999999</v>
      </c>
      <c r="B1707" s="1">
        <f>DATE(2013,11,28) + TIME(15,8,46)</f>
        <v>41606.63108796296</v>
      </c>
      <c r="C1707">
        <v>0</v>
      </c>
      <c r="D1707">
        <v>2400</v>
      </c>
      <c r="E1707">
        <v>2400</v>
      </c>
      <c r="F1707">
        <v>0</v>
      </c>
      <c r="G1707">
        <v>1302.0214844</v>
      </c>
      <c r="H1707">
        <v>1289.4904785000001</v>
      </c>
      <c r="I1707">
        <v>1395.2918701000001</v>
      </c>
      <c r="J1707">
        <v>1375.4986572</v>
      </c>
      <c r="K1707">
        <v>80</v>
      </c>
      <c r="L1707">
        <v>76.810729980000005</v>
      </c>
      <c r="M1707">
        <v>50</v>
      </c>
      <c r="N1707">
        <v>49.968593597000002</v>
      </c>
    </row>
    <row r="1708" spans="1:14" x14ac:dyDescent="0.25">
      <c r="A1708">
        <v>1309.140212</v>
      </c>
      <c r="B1708" s="1">
        <f>DATE(2013,11,30) + TIME(3,21,54)</f>
        <v>41608.140208333331</v>
      </c>
      <c r="C1708">
        <v>0</v>
      </c>
      <c r="D1708">
        <v>2400</v>
      </c>
      <c r="E1708">
        <v>2400</v>
      </c>
      <c r="F1708">
        <v>0</v>
      </c>
      <c r="G1708">
        <v>1301.9543457</v>
      </c>
      <c r="H1708">
        <v>1289.4107666</v>
      </c>
      <c r="I1708">
        <v>1395.2401123</v>
      </c>
      <c r="J1708">
        <v>1375.4560547000001</v>
      </c>
      <c r="K1708">
        <v>80</v>
      </c>
      <c r="L1708">
        <v>76.675209045000003</v>
      </c>
      <c r="M1708">
        <v>50</v>
      </c>
      <c r="N1708">
        <v>49.968627929999997</v>
      </c>
    </row>
    <row r="1709" spans="1:14" x14ac:dyDescent="0.25">
      <c r="A1709">
        <v>1310</v>
      </c>
      <c r="B1709" s="1">
        <f>DATE(2013,12,1) + TIME(0,0,0)</f>
        <v>41609</v>
      </c>
      <c r="C1709">
        <v>0</v>
      </c>
      <c r="D1709">
        <v>2400</v>
      </c>
      <c r="E1709">
        <v>2400</v>
      </c>
      <c r="F1709">
        <v>0</v>
      </c>
      <c r="G1709">
        <v>1301.8825684000001</v>
      </c>
      <c r="H1709">
        <v>1289.3286132999999</v>
      </c>
      <c r="I1709">
        <v>1395.1884766000001</v>
      </c>
      <c r="J1709">
        <v>1375.4136963000001</v>
      </c>
      <c r="K1709">
        <v>80</v>
      </c>
      <c r="L1709">
        <v>76.567649841000005</v>
      </c>
      <c r="M1709">
        <v>50</v>
      </c>
      <c r="N1709">
        <v>49.968647003000001</v>
      </c>
    </row>
    <row r="1710" spans="1:14" x14ac:dyDescent="0.25">
      <c r="A1710">
        <v>1311.528198</v>
      </c>
      <c r="B1710" s="1">
        <f>DATE(2013,12,2) + TIME(12,40,36)</f>
        <v>41610.528194444443</v>
      </c>
      <c r="C1710">
        <v>0</v>
      </c>
      <c r="D1710">
        <v>2400</v>
      </c>
      <c r="E1710">
        <v>2400</v>
      </c>
      <c r="F1710">
        <v>0</v>
      </c>
      <c r="G1710">
        <v>1301.8421631000001</v>
      </c>
      <c r="H1710">
        <v>1289.2749022999999</v>
      </c>
      <c r="I1710">
        <v>1395.1608887</v>
      </c>
      <c r="J1710">
        <v>1375.3909911999999</v>
      </c>
      <c r="K1710">
        <v>80</v>
      </c>
      <c r="L1710">
        <v>76.449371338000006</v>
      </c>
      <c r="M1710">
        <v>50</v>
      </c>
      <c r="N1710">
        <v>49.968685149999999</v>
      </c>
    </row>
    <row r="1711" spans="1:14" x14ac:dyDescent="0.25">
      <c r="A1711">
        <v>1313.1268230000001</v>
      </c>
      <c r="B1711" s="1">
        <f>DATE(2013,12,4) + TIME(3,2,37)</f>
        <v>41612.126817129632</v>
      </c>
      <c r="C1711">
        <v>0</v>
      </c>
      <c r="D1711">
        <v>2400</v>
      </c>
      <c r="E1711">
        <v>2400</v>
      </c>
      <c r="F1711">
        <v>0</v>
      </c>
      <c r="G1711">
        <v>1301.7689209</v>
      </c>
      <c r="H1711">
        <v>1289.1877440999999</v>
      </c>
      <c r="I1711">
        <v>1395.1126709</v>
      </c>
      <c r="J1711">
        <v>1375.3515625</v>
      </c>
      <c r="K1711">
        <v>80</v>
      </c>
      <c r="L1711">
        <v>76.317649841000005</v>
      </c>
      <c r="M1711">
        <v>50</v>
      </c>
      <c r="N1711">
        <v>49.968727112000003</v>
      </c>
    </row>
    <row r="1712" spans="1:14" x14ac:dyDescent="0.25">
      <c r="A1712">
        <v>1314.794009</v>
      </c>
      <c r="B1712" s="1">
        <f>DATE(2013,12,5) + TIME(19,3,22)</f>
        <v>41613.794004629628</v>
      </c>
      <c r="C1712">
        <v>0</v>
      </c>
      <c r="D1712">
        <v>2400</v>
      </c>
      <c r="E1712">
        <v>2400</v>
      </c>
      <c r="F1712">
        <v>0</v>
      </c>
      <c r="G1712">
        <v>1301.6907959</v>
      </c>
      <c r="H1712">
        <v>1289.0936279</v>
      </c>
      <c r="I1712">
        <v>1395.0644531</v>
      </c>
      <c r="J1712">
        <v>1375.3120117000001</v>
      </c>
      <c r="K1712">
        <v>80</v>
      </c>
      <c r="L1712">
        <v>76.178627014</v>
      </c>
      <c r="M1712">
        <v>50</v>
      </c>
      <c r="N1712">
        <v>49.968765259000001</v>
      </c>
    </row>
    <row r="1713" spans="1:14" x14ac:dyDescent="0.25">
      <c r="A1713">
        <v>1316.546427</v>
      </c>
      <c r="B1713" s="1">
        <f>DATE(2013,12,7) + TIME(13,6,51)</f>
        <v>41615.546423611115</v>
      </c>
      <c r="C1713">
        <v>0</v>
      </c>
      <c r="D1713">
        <v>2400</v>
      </c>
      <c r="E1713">
        <v>2400</v>
      </c>
      <c r="F1713">
        <v>0</v>
      </c>
      <c r="G1713">
        <v>1301.6077881000001</v>
      </c>
      <c r="H1713">
        <v>1288.9927978999999</v>
      </c>
      <c r="I1713">
        <v>1395.0164795000001</v>
      </c>
      <c r="J1713">
        <v>1375.2725829999999</v>
      </c>
      <c r="K1713">
        <v>80</v>
      </c>
      <c r="L1713">
        <v>76.034317017000006</v>
      </c>
      <c r="M1713">
        <v>50</v>
      </c>
      <c r="N1713">
        <v>49.968811035000002</v>
      </c>
    </row>
    <row r="1714" spans="1:14" x14ac:dyDescent="0.25">
      <c r="A1714">
        <v>1318.408306</v>
      </c>
      <c r="B1714" s="1">
        <f>DATE(2013,12,9) + TIME(9,47,57)</f>
        <v>41617.40829861111</v>
      </c>
      <c r="C1714">
        <v>0</v>
      </c>
      <c r="D1714">
        <v>2400</v>
      </c>
      <c r="E1714">
        <v>2400</v>
      </c>
      <c r="F1714">
        <v>0</v>
      </c>
      <c r="G1714">
        <v>1301.5187988</v>
      </c>
      <c r="H1714">
        <v>1288.8841553</v>
      </c>
      <c r="I1714">
        <v>1394.9681396000001</v>
      </c>
      <c r="J1714">
        <v>1375.2330322</v>
      </c>
      <c r="K1714">
        <v>80</v>
      </c>
      <c r="L1714">
        <v>75.884506225999999</v>
      </c>
      <c r="M1714">
        <v>50</v>
      </c>
      <c r="N1714">
        <v>49.968856811999999</v>
      </c>
    </row>
    <row r="1715" spans="1:14" x14ac:dyDescent="0.25">
      <c r="A1715">
        <v>1320.291806</v>
      </c>
      <c r="B1715" s="1">
        <f>DATE(2013,12,11) + TIME(7,0,12)</f>
        <v>41619.291805555556</v>
      </c>
      <c r="C1715">
        <v>0</v>
      </c>
      <c r="D1715">
        <v>2400</v>
      </c>
      <c r="E1715">
        <v>2400</v>
      </c>
      <c r="F1715">
        <v>0</v>
      </c>
      <c r="G1715">
        <v>1301.4222411999999</v>
      </c>
      <c r="H1715">
        <v>1288.7661132999999</v>
      </c>
      <c r="I1715">
        <v>1394.9190673999999</v>
      </c>
      <c r="J1715">
        <v>1375.192749</v>
      </c>
      <c r="K1715">
        <v>80</v>
      </c>
      <c r="L1715">
        <v>75.730796814000001</v>
      </c>
      <c r="M1715">
        <v>50</v>
      </c>
      <c r="N1715">
        <v>49.968902587999999</v>
      </c>
    </row>
    <row r="1716" spans="1:14" x14ac:dyDescent="0.25">
      <c r="A1716">
        <v>1322.196056</v>
      </c>
      <c r="B1716" s="1">
        <f>DATE(2013,12,13) + TIME(4,42,19)</f>
        <v>41621.196053240739</v>
      </c>
      <c r="C1716">
        <v>0</v>
      </c>
      <c r="D1716">
        <v>2400</v>
      </c>
      <c r="E1716">
        <v>2400</v>
      </c>
      <c r="F1716">
        <v>0</v>
      </c>
      <c r="G1716">
        <v>1301.3222656</v>
      </c>
      <c r="H1716">
        <v>1288.6429443</v>
      </c>
      <c r="I1716">
        <v>1394.8714600000001</v>
      </c>
      <c r="J1716">
        <v>1375.1536865</v>
      </c>
      <c r="K1716">
        <v>80</v>
      </c>
      <c r="L1716">
        <v>75.576530457000004</v>
      </c>
      <c r="M1716">
        <v>50</v>
      </c>
      <c r="N1716">
        <v>49.968948363999999</v>
      </c>
    </row>
    <row r="1717" spans="1:14" x14ac:dyDescent="0.25">
      <c r="A1717">
        <v>1324.1442830000001</v>
      </c>
      <c r="B1717" s="1">
        <f>DATE(2013,12,15) + TIME(3,27,46)</f>
        <v>41623.144282407404</v>
      </c>
      <c r="C1717">
        <v>0</v>
      </c>
      <c r="D1717">
        <v>2400</v>
      </c>
      <c r="E1717">
        <v>2400</v>
      </c>
      <c r="F1717">
        <v>0</v>
      </c>
      <c r="G1717">
        <v>1301.2188721</v>
      </c>
      <c r="H1717">
        <v>1288.5147704999999</v>
      </c>
      <c r="I1717">
        <v>1394.8254394999999</v>
      </c>
      <c r="J1717">
        <v>1375.1158447</v>
      </c>
      <c r="K1717">
        <v>80</v>
      </c>
      <c r="L1717">
        <v>75.422187804999993</v>
      </c>
      <c r="M1717">
        <v>50</v>
      </c>
      <c r="N1717">
        <v>49.968997954999999</v>
      </c>
    </row>
    <row r="1718" spans="1:14" x14ac:dyDescent="0.25">
      <c r="A1718">
        <v>1326.150126</v>
      </c>
      <c r="B1718" s="1">
        <f>DATE(2013,12,17) + TIME(3,36,10)</f>
        <v>41625.15011574074</v>
      </c>
      <c r="C1718">
        <v>0</v>
      </c>
      <c r="D1718">
        <v>2400</v>
      </c>
      <c r="E1718">
        <v>2400</v>
      </c>
      <c r="F1718">
        <v>0</v>
      </c>
      <c r="G1718">
        <v>1301.1105957</v>
      </c>
      <c r="H1718">
        <v>1288.3798827999999</v>
      </c>
      <c r="I1718">
        <v>1394.7801514</v>
      </c>
      <c r="J1718">
        <v>1375.0787353999999</v>
      </c>
      <c r="K1718">
        <v>80</v>
      </c>
      <c r="L1718">
        <v>75.266891478999995</v>
      </c>
      <c r="M1718">
        <v>50</v>
      </c>
      <c r="N1718">
        <v>49.969047545999999</v>
      </c>
    </row>
    <row r="1719" spans="1:14" x14ac:dyDescent="0.25">
      <c r="A1719">
        <v>1328.1905850000001</v>
      </c>
      <c r="B1719" s="1">
        <f>DATE(2013,12,19) + TIME(4,34,26)</f>
        <v>41627.190578703703</v>
      </c>
      <c r="C1719">
        <v>0</v>
      </c>
      <c r="D1719">
        <v>2400</v>
      </c>
      <c r="E1719">
        <v>2400</v>
      </c>
      <c r="F1719">
        <v>0</v>
      </c>
      <c r="G1719">
        <v>1300.9967041</v>
      </c>
      <c r="H1719">
        <v>1288.2373047000001</v>
      </c>
      <c r="I1719">
        <v>1394.7354736</v>
      </c>
      <c r="J1719">
        <v>1375.0419922000001</v>
      </c>
      <c r="K1719">
        <v>80</v>
      </c>
      <c r="L1719">
        <v>75.110534668</v>
      </c>
      <c r="M1719">
        <v>50</v>
      </c>
      <c r="N1719">
        <v>49.969097136999999</v>
      </c>
    </row>
    <row r="1720" spans="1:14" x14ac:dyDescent="0.25">
      <c r="A1720">
        <v>1330.270084</v>
      </c>
      <c r="B1720" s="1">
        <f>DATE(2013,12,21) + TIME(6,28,55)</f>
        <v>41629.27008101852</v>
      </c>
      <c r="C1720">
        <v>0</v>
      </c>
      <c r="D1720">
        <v>2400</v>
      </c>
      <c r="E1720">
        <v>2400</v>
      </c>
      <c r="F1720">
        <v>0</v>
      </c>
      <c r="G1720">
        <v>1300.8778076000001</v>
      </c>
      <c r="H1720">
        <v>1288.0877685999999</v>
      </c>
      <c r="I1720">
        <v>1394.6916504000001</v>
      </c>
      <c r="J1720">
        <v>1375.0059814000001</v>
      </c>
      <c r="K1720">
        <v>80</v>
      </c>
      <c r="L1720">
        <v>74.953727721999996</v>
      </c>
      <c r="M1720">
        <v>50</v>
      </c>
      <c r="N1720">
        <v>49.969150542999998</v>
      </c>
    </row>
    <row r="1721" spans="1:14" x14ac:dyDescent="0.25">
      <c r="A1721">
        <v>1332.392738</v>
      </c>
      <c r="B1721" s="1">
        <f>DATE(2013,12,23) + TIME(9,25,32)</f>
        <v>41631.392731481479</v>
      </c>
      <c r="C1721">
        <v>0</v>
      </c>
      <c r="D1721">
        <v>2400</v>
      </c>
      <c r="E1721">
        <v>2400</v>
      </c>
      <c r="F1721">
        <v>0</v>
      </c>
      <c r="G1721">
        <v>1300.7537841999999</v>
      </c>
      <c r="H1721">
        <v>1287.9309082</v>
      </c>
      <c r="I1721">
        <v>1394.6486815999999</v>
      </c>
      <c r="J1721">
        <v>1374.9707031</v>
      </c>
      <c r="K1721">
        <v>80</v>
      </c>
      <c r="L1721">
        <v>74.796264648000005</v>
      </c>
      <c r="M1721">
        <v>50</v>
      </c>
      <c r="N1721">
        <v>49.969203948999997</v>
      </c>
    </row>
    <row r="1722" spans="1:14" x14ac:dyDescent="0.25">
      <c r="A1722">
        <v>1334.537431</v>
      </c>
      <c r="B1722" s="1">
        <f>DATE(2013,12,25) + TIME(12,53,54)</f>
        <v>41633.537430555552</v>
      </c>
      <c r="C1722">
        <v>0</v>
      </c>
      <c r="D1722">
        <v>2400</v>
      </c>
      <c r="E1722">
        <v>2400</v>
      </c>
      <c r="F1722">
        <v>0</v>
      </c>
      <c r="G1722">
        <v>1300.6241454999999</v>
      </c>
      <c r="H1722">
        <v>1287.7661132999999</v>
      </c>
      <c r="I1722">
        <v>1394.6064452999999</v>
      </c>
      <c r="J1722">
        <v>1374.9359131000001</v>
      </c>
      <c r="K1722">
        <v>80</v>
      </c>
      <c r="L1722">
        <v>74.638481139999996</v>
      </c>
      <c r="M1722">
        <v>50</v>
      </c>
      <c r="N1722">
        <v>49.969257355000003</v>
      </c>
    </row>
    <row r="1723" spans="1:14" x14ac:dyDescent="0.25">
      <c r="A1723">
        <v>1336.7086870000001</v>
      </c>
      <c r="B1723" s="1">
        <f>DATE(2013,12,27) + TIME(17,0,30)</f>
        <v>41635.708680555559</v>
      </c>
      <c r="C1723">
        <v>0</v>
      </c>
      <c r="D1723">
        <v>2400</v>
      </c>
      <c r="E1723">
        <v>2400</v>
      </c>
      <c r="F1723">
        <v>0</v>
      </c>
      <c r="G1723">
        <v>1300.4897461</v>
      </c>
      <c r="H1723">
        <v>1287.5943603999999</v>
      </c>
      <c r="I1723">
        <v>1394.5651855000001</v>
      </c>
      <c r="J1723">
        <v>1374.9019774999999</v>
      </c>
      <c r="K1723">
        <v>80</v>
      </c>
      <c r="L1723">
        <v>74.480957031000003</v>
      </c>
      <c r="M1723">
        <v>50</v>
      </c>
      <c r="N1723">
        <v>49.969310759999999</v>
      </c>
    </row>
    <row r="1724" spans="1:14" x14ac:dyDescent="0.25">
      <c r="A1724">
        <v>1338.9121990000001</v>
      </c>
      <c r="B1724" s="1">
        <f>DATE(2013,12,29) + TIME(21,53,34)</f>
        <v>41637.912199074075</v>
      </c>
      <c r="C1724">
        <v>0</v>
      </c>
      <c r="D1724">
        <v>2400</v>
      </c>
      <c r="E1724">
        <v>2400</v>
      </c>
      <c r="F1724">
        <v>0</v>
      </c>
      <c r="G1724">
        <v>1300.3504639</v>
      </c>
      <c r="H1724">
        <v>1287.4155272999999</v>
      </c>
      <c r="I1724">
        <v>1394.5249022999999</v>
      </c>
      <c r="J1724">
        <v>1374.8686522999999</v>
      </c>
      <c r="K1724">
        <v>80</v>
      </c>
      <c r="L1724">
        <v>74.323516846000004</v>
      </c>
      <c r="M1724">
        <v>50</v>
      </c>
      <c r="N1724">
        <v>49.969364165999998</v>
      </c>
    </row>
    <row r="1725" spans="1:14" x14ac:dyDescent="0.25">
      <c r="A1725">
        <v>1341</v>
      </c>
      <c r="B1725" s="1">
        <f>DATE(2014,1,1) + TIME(0,0,0)</f>
        <v>41640</v>
      </c>
      <c r="C1725">
        <v>0</v>
      </c>
      <c r="D1725">
        <v>2400</v>
      </c>
      <c r="E1725">
        <v>2400</v>
      </c>
      <c r="F1725">
        <v>0</v>
      </c>
      <c r="G1725">
        <v>1300.2056885</v>
      </c>
      <c r="H1725">
        <v>1287.2293701000001</v>
      </c>
      <c r="I1725">
        <v>1394.4852295000001</v>
      </c>
      <c r="J1725">
        <v>1374.8359375</v>
      </c>
      <c r="K1725">
        <v>80</v>
      </c>
      <c r="L1725">
        <v>74.168914795000006</v>
      </c>
      <c r="M1725">
        <v>50</v>
      </c>
      <c r="N1725">
        <v>49.969417571999998</v>
      </c>
    </row>
    <row r="1726" spans="1:14" x14ac:dyDescent="0.25">
      <c r="A1726">
        <v>1343.2405739999999</v>
      </c>
      <c r="B1726" s="1">
        <f>DATE(2014,1,3) + TIME(5,46,25)</f>
        <v>41642.240567129629</v>
      </c>
      <c r="C1726">
        <v>0</v>
      </c>
      <c r="D1726">
        <v>2400</v>
      </c>
      <c r="E1726">
        <v>2400</v>
      </c>
      <c r="F1726">
        <v>0</v>
      </c>
      <c r="G1726">
        <v>1300.0644531</v>
      </c>
      <c r="H1726">
        <v>1287.0452881000001</v>
      </c>
      <c r="I1726">
        <v>1394.4490966999999</v>
      </c>
      <c r="J1726">
        <v>1374.8060303</v>
      </c>
      <c r="K1726">
        <v>80</v>
      </c>
      <c r="L1726">
        <v>74.016677856000001</v>
      </c>
      <c r="M1726">
        <v>50</v>
      </c>
      <c r="N1726">
        <v>49.969470977999997</v>
      </c>
    </row>
    <row r="1727" spans="1:14" x14ac:dyDescent="0.25">
      <c r="A1727">
        <v>1345.529035</v>
      </c>
      <c r="B1727" s="1">
        <f>DATE(2014,1,5) + TIME(12,41,48)</f>
        <v>41644.529027777775</v>
      </c>
      <c r="C1727">
        <v>0</v>
      </c>
      <c r="D1727">
        <v>2400</v>
      </c>
      <c r="E1727">
        <v>2400</v>
      </c>
      <c r="F1727">
        <v>0</v>
      </c>
      <c r="G1727">
        <v>1299.9105225000001</v>
      </c>
      <c r="H1727">
        <v>1286.8453368999999</v>
      </c>
      <c r="I1727">
        <v>1394.4112548999999</v>
      </c>
      <c r="J1727">
        <v>1374.7747803</v>
      </c>
      <c r="K1727">
        <v>80</v>
      </c>
      <c r="L1727">
        <v>73.860725403000004</v>
      </c>
      <c r="M1727">
        <v>50</v>
      </c>
      <c r="N1727">
        <v>49.969528197999999</v>
      </c>
    </row>
    <row r="1728" spans="1:14" x14ac:dyDescent="0.25">
      <c r="A1728">
        <v>1347.8500039999999</v>
      </c>
      <c r="B1728" s="1">
        <f>DATE(2014,1,7) + TIME(20,24,0)</f>
        <v>41646.85</v>
      </c>
      <c r="C1728">
        <v>0</v>
      </c>
      <c r="D1728">
        <v>2400</v>
      </c>
      <c r="E1728">
        <v>2400</v>
      </c>
      <c r="F1728">
        <v>0</v>
      </c>
      <c r="G1728">
        <v>1299.7495117000001</v>
      </c>
      <c r="H1728">
        <v>1286.6348877</v>
      </c>
      <c r="I1728">
        <v>1394.3739014</v>
      </c>
      <c r="J1728">
        <v>1374.7437743999999</v>
      </c>
      <c r="K1728">
        <v>80</v>
      </c>
      <c r="L1728">
        <v>73.702720642000003</v>
      </c>
      <c r="M1728">
        <v>50</v>
      </c>
      <c r="N1728">
        <v>49.969585418999998</v>
      </c>
    </row>
    <row r="1729" spans="1:14" x14ac:dyDescent="0.25">
      <c r="A1729">
        <v>1350.208717</v>
      </c>
      <c r="B1729" s="1">
        <f>DATE(2014,1,10) + TIME(5,0,33)</f>
        <v>41649.208715277775</v>
      </c>
      <c r="C1729">
        <v>0</v>
      </c>
      <c r="D1729">
        <v>2400</v>
      </c>
      <c r="E1729">
        <v>2400</v>
      </c>
      <c r="F1729">
        <v>0</v>
      </c>
      <c r="G1729">
        <v>1299.5821533000001</v>
      </c>
      <c r="H1729">
        <v>1286.4152832</v>
      </c>
      <c r="I1729">
        <v>1394.3370361</v>
      </c>
      <c r="J1729">
        <v>1374.7132568</v>
      </c>
      <c r="K1729">
        <v>80</v>
      </c>
      <c r="L1729">
        <v>73.543395996000001</v>
      </c>
      <c r="M1729">
        <v>50</v>
      </c>
      <c r="N1729">
        <v>49.969642639</v>
      </c>
    </row>
    <row r="1730" spans="1:14" x14ac:dyDescent="0.25">
      <c r="A1730">
        <v>1352.610124</v>
      </c>
      <c r="B1730" s="1">
        <f>DATE(2014,1,12) + TIME(14,38,34)</f>
        <v>41651.610115740739</v>
      </c>
      <c r="C1730">
        <v>0</v>
      </c>
      <c r="D1730">
        <v>2400</v>
      </c>
      <c r="E1730">
        <v>2400</v>
      </c>
      <c r="F1730">
        <v>0</v>
      </c>
      <c r="G1730">
        <v>1299.4080810999999</v>
      </c>
      <c r="H1730">
        <v>1286.1860352000001</v>
      </c>
      <c r="I1730">
        <v>1394.3007812000001</v>
      </c>
      <c r="J1730">
        <v>1374.6831055</v>
      </c>
      <c r="K1730">
        <v>80</v>
      </c>
      <c r="L1730">
        <v>73.382583617999998</v>
      </c>
      <c r="M1730">
        <v>50</v>
      </c>
      <c r="N1730">
        <v>49.969699859999999</v>
      </c>
    </row>
    <row r="1731" spans="1:14" x14ac:dyDescent="0.25">
      <c r="A1731">
        <v>1355.0585819999999</v>
      </c>
      <c r="B1731" s="1">
        <f>DATE(2014,1,15) + TIME(1,24,21)</f>
        <v>41654.058576388888</v>
      </c>
      <c r="C1731">
        <v>0</v>
      </c>
      <c r="D1731">
        <v>2400</v>
      </c>
      <c r="E1731">
        <v>2400</v>
      </c>
      <c r="F1731">
        <v>0</v>
      </c>
      <c r="G1731">
        <v>1299.2269286999999</v>
      </c>
      <c r="H1731">
        <v>1285.9461670000001</v>
      </c>
      <c r="I1731">
        <v>1394.2647704999999</v>
      </c>
      <c r="J1731">
        <v>1374.6531981999999</v>
      </c>
      <c r="K1731">
        <v>80</v>
      </c>
      <c r="L1731">
        <v>73.219871521000002</v>
      </c>
      <c r="M1731">
        <v>50</v>
      </c>
      <c r="N1731">
        <v>49.969760895</v>
      </c>
    </row>
    <row r="1732" spans="1:14" x14ac:dyDescent="0.25">
      <c r="A1732">
        <v>1357.5411329999999</v>
      </c>
      <c r="B1732" s="1">
        <f>DATE(2014,1,17) + TIME(12,59,13)</f>
        <v>41656.541122685187</v>
      </c>
      <c r="C1732">
        <v>0</v>
      </c>
      <c r="D1732">
        <v>2400</v>
      </c>
      <c r="E1732">
        <v>2400</v>
      </c>
      <c r="F1732">
        <v>0</v>
      </c>
      <c r="G1732">
        <v>1299.0380858999999</v>
      </c>
      <c r="H1732">
        <v>1285.6953125</v>
      </c>
      <c r="I1732">
        <v>1394.229126</v>
      </c>
      <c r="J1732">
        <v>1374.6234131000001</v>
      </c>
      <c r="K1732">
        <v>80</v>
      </c>
      <c r="L1732">
        <v>73.055046082000004</v>
      </c>
      <c r="M1732">
        <v>50</v>
      </c>
      <c r="N1732">
        <v>49.969821930000002</v>
      </c>
    </row>
    <row r="1733" spans="1:14" x14ac:dyDescent="0.25">
      <c r="A1733">
        <v>1360.0515929999999</v>
      </c>
      <c r="B1733" s="1">
        <f>DATE(2014,1,20) + TIME(1,14,17)</f>
        <v>41659.051585648151</v>
      </c>
      <c r="C1733">
        <v>0</v>
      </c>
      <c r="D1733">
        <v>2400</v>
      </c>
      <c r="E1733">
        <v>2400</v>
      </c>
      <c r="F1733">
        <v>0</v>
      </c>
      <c r="G1733">
        <v>1298.8422852000001</v>
      </c>
      <c r="H1733">
        <v>1285.4342041</v>
      </c>
      <c r="I1733">
        <v>1394.1939697</v>
      </c>
      <c r="J1733">
        <v>1374.5941161999999</v>
      </c>
      <c r="K1733">
        <v>80</v>
      </c>
      <c r="L1733">
        <v>72.888412475999999</v>
      </c>
      <c r="M1733">
        <v>50</v>
      </c>
      <c r="N1733">
        <v>49.969879149999997</v>
      </c>
    </row>
    <row r="1734" spans="1:14" x14ac:dyDescent="0.25">
      <c r="A1734">
        <v>1362.5956120000001</v>
      </c>
      <c r="B1734" s="1">
        <f>DATE(2014,1,22) + TIME(14,17,40)</f>
        <v>41661.595601851855</v>
      </c>
      <c r="C1734">
        <v>0</v>
      </c>
      <c r="D1734">
        <v>2400</v>
      </c>
      <c r="E1734">
        <v>2400</v>
      </c>
      <c r="F1734">
        <v>0</v>
      </c>
      <c r="G1734">
        <v>1298.6398925999999</v>
      </c>
      <c r="H1734">
        <v>1285.1632079999999</v>
      </c>
      <c r="I1734">
        <v>1394.1593018000001</v>
      </c>
      <c r="J1734">
        <v>1374.5651855000001</v>
      </c>
      <c r="K1734">
        <v>80</v>
      </c>
      <c r="L1734">
        <v>72.719947814999998</v>
      </c>
      <c r="M1734">
        <v>50</v>
      </c>
      <c r="N1734">
        <v>49.969940186000002</v>
      </c>
    </row>
    <row r="1735" spans="1:14" x14ac:dyDescent="0.25">
      <c r="A1735">
        <v>1365.178596</v>
      </c>
      <c r="B1735" s="1">
        <f>DATE(2014,1,25) + TIME(4,17,10)</f>
        <v>41664.178587962961</v>
      </c>
      <c r="C1735">
        <v>0</v>
      </c>
      <c r="D1735">
        <v>2400</v>
      </c>
      <c r="E1735">
        <v>2400</v>
      </c>
      <c r="F1735">
        <v>0</v>
      </c>
      <c r="G1735">
        <v>1298.4304199000001</v>
      </c>
      <c r="H1735">
        <v>1284.8817139</v>
      </c>
      <c r="I1735">
        <v>1394.125</v>
      </c>
      <c r="J1735">
        <v>1374.536499</v>
      </c>
      <c r="K1735">
        <v>80</v>
      </c>
      <c r="L1735">
        <v>72.549133300999998</v>
      </c>
      <c r="M1735">
        <v>50</v>
      </c>
      <c r="N1735">
        <v>49.970001220999997</v>
      </c>
    </row>
    <row r="1736" spans="1:14" x14ac:dyDescent="0.25">
      <c r="A1736">
        <v>1367.8058550000001</v>
      </c>
      <c r="B1736" s="1">
        <f>DATE(2014,1,27) + TIME(19,20,25)</f>
        <v>41666.805844907409</v>
      </c>
      <c r="C1736">
        <v>0</v>
      </c>
      <c r="D1736">
        <v>2400</v>
      </c>
      <c r="E1736">
        <v>2400</v>
      </c>
      <c r="F1736">
        <v>0</v>
      </c>
      <c r="G1736">
        <v>1298.213501</v>
      </c>
      <c r="H1736">
        <v>1284.5889893000001</v>
      </c>
      <c r="I1736">
        <v>1394.0910644999999</v>
      </c>
      <c r="J1736">
        <v>1374.5080565999999</v>
      </c>
      <c r="K1736">
        <v>80</v>
      </c>
      <c r="L1736">
        <v>72.375335692999997</v>
      </c>
      <c r="M1736">
        <v>50</v>
      </c>
      <c r="N1736">
        <v>49.970066070999998</v>
      </c>
    </row>
    <row r="1737" spans="1:14" x14ac:dyDescent="0.25">
      <c r="A1737">
        <v>1370.475901</v>
      </c>
      <c r="B1737" s="1">
        <f>DATE(2014,1,30) + TIME(11,25,17)</f>
        <v>41669.475891203707</v>
      </c>
      <c r="C1737">
        <v>0</v>
      </c>
      <c r="D1737">
        <v>2400</v>
      </c>
      <c r="E1737">
        <v>2400</v>
      </c>
      <c r="F1737">
        <v>0</v>
      </c>
      <c r="G1737">
        <v>1297.9884033000001</v>
      </c>
      <c r="H1737">
        <v>1284.2843018000001</v>
      </c>
      <c r="I1737">
        <v>1394.0573730000001</v>
      </c>
      <c r="J1737">
        <v>1374.4798584</v>
      </c>
      <c r="K1737">
        <v>80</v>
      </c>
      <c r="L1737">
        <v>72.197959900000001</v>
      </c>
      <c r="M1737">
        <v>50</v>
      </c>
      <c r="N1737">
        <v>49.970127106</v>
      </c>
    </row>
    <row r="1738" spans="1:14" x14ac:dyDescent="0.25">
      <c r="A1738">
        <v>1372</v>
      </c>
      <c r="B1738" s="1">
        <f>DATE(2014,2,1) + TIME(0,0,0)</f>
        <v>41671</v>
      </c>
      <c r="C1738">
        <v>0</v>
      </c>
      <c r="D1738">
        <v>2400</v>
      </c>
      <c r="E1738">
        <v>2400</v>
      </c>
      <c r="F1738">
        <v>0</v>
      </c>
      <c r="G1738">
        <v>1297.7593993999999</v>
      </c>
      <c r="H1738">
        <v>1283.9796143000001</v>
      </c>
      <c r="I1738">
        <v>1394.0234375</v>
      </c>
      <c r="J1738">
        <v>1374.4511719</v>
      </c>
      <c r="K1738">
        <v>80</v>
      </c>
      <c r="L1738">
        <v>72.044700622999997</v>
      </c>
      <c r="M1738">
        <v>50</v>
      </c>
      <c r="N1738">
        <v>49.970161437999998</v>
      </c>
    </row>
    <row r="1739" spans="1:14" x14ac:dyDescent="0.25">
      <c r="A1739">
        <v>1374.7172310000001</v>
      </c>
      <c r="B1739" s="1">
        <f>DATE(2014,2,3) + TIME(17,12,48)</f>
        <v>41673.717222222222</v>
      </c>
      <c r="C1739">
        <v>0</v>
      </c>
      <c r="D1739">
        <v>2400</v>
      </c>
      <c r="E1739">
        <v>2400</v>
      </c>
      <c r="F1739">
        <v>0</v>
      </c>
      <c r="G1739">
        <v>1297.6107178</v>
      </c>
      <c r="H1739">
        <v>1283.7661132999999</v>
      </c>
      <c r="I1739">
        <v>1394.005249</v>
      </c>
      <c r="J1739">
        <v>1374.4359131000001</v>
      </c>
      <c r="K1739">
        <v>80</v>
      </c>
      <c r="L1739">
        <v>71.900283813000001</v>
      </c>
      <c r="M1739">
        <v>50</v>
      </c>
      <c r="N1739">
        <v>49.970226287999999</v>
      </c>
    </row>
    <row r="1740" spans="1:14" x14ac:dyDescent="0.25">
      <c r="A1740">
        <v>1377.504379</v>
      </c>
      <c r="B1740" s="1">
        <f>DATE(2014,2,6) + TIME(12,6,18)</f>
        <v>41676.504374999997</v>
      </c>
      <c r="C1740">
        <v>0</v>
      </c>
      <c r="D1740">
        <v>2400</v>
      </c>
      <c r="E1740">
        <v>2400</v>
      </c>
      <c r="F1740">
        <v>0</v>
      </c>
      <c r="G1740">
        <v>1297.3729248</v>
      </c>
      <c r="H1740">
        <v>1283.4447021000001</v>
      </c>
      <c r="I1740">
        <v>1393.9722899999999</v>
      </c>
      <c r="J1740">
        <v>1374.4082031</v>
      </c>
      <c r="K1740">
        <v>80</v>
      </c>
      <c r="L1740">
        <v>71.721710204999994</v>
      </c>
      <c r="M1740">
        <v>50</v>
      </c>
      <c r="N1740">
        <v>49.970291138</v>
      </c>
    </row>
    <row r="1741" spans="1:14" x14ac:dyDescent="0.25">
      <c r="A1741">
        <v>1380.321895</v>
      </c>
      <c r="B1741" s="1">
        <f>DATE(2014,2,9) + TIME(7,43,31)</f>
        <v>41679.321886574071</v>
      </c>
      <c r="C1741">
        <v>0</v>
      </c>
      <c r="D1741">
        <v>2400</v>
      </c>
      <c r="E1741">
        <v>2400</v>
      </c>
      <c r="F1741">
        <v>0</v>
      </c>
      <c r="G1741">
        <v>1297.1195068</v>
      </c>
      <c r="H1741">
        <v>1283.0983887</v>
      </c>
      <c r="I1741">
        <v>1393.9392089999999</v>
      </c>
      <c r="J1741">
        <v>1374.380249</v>
      </c>
      <c r="K1741">
        <v>80</v>
      </c>
      <c r="L1741">
        <v>71.530166625999996</v>
      </c>
      <c r="M1741">
        <v>50</v>
      </c>
      <c r="N1741">
        <v>49.970355988000001</v>
      </c>
    </row>
    <row r="1742" spans="1:14" x14ac:dyDescent="0.25">
      <c r="A1742">
        <v>1383.1717120000001</v>
      </c>
      <c r="B1742" s="1">
        <f>DATE(2014,2,12) + TIME(4,7,15)</f>
        <v>41682.171701388892</v>
      </c>
      <c r="C1742">
        <v>0</v>
      </c>
      <c r="D1742">
        <v>2400</v>
      </c>
      <c r="E1742">
        <v>2400</v>
      </c>
      <c r="F1742">
        <v>0</v>
      </c>
      <c r="G1742">
        <v>1296.8571777</v>
      </c>
      <c r="H1742">
        <v>1282.7380370999999</v>
      </c>
      <c r="I1742">
        <v>1393.9064940999999</v>
      </c>
      <c r="J1742">
        <v>1374.3525391000001</v>
      </c>
      <c r="K1742">
        <v>80</v>
      </c>
      <c r="L1742">
        <v>71.331817627000007</v>
      </c>
      <c r="M1742">
        <v>50</v>
      </c>
      <c r="N1742">
        <v>49.970420836999999</v>
      </c>
    </row>
    <row r="1743" spans="1:14" x14ac:dyDescent="0.25">
      <c r="A1743">
        <v>1386.060354</v>
      </c>
      <c r="B1743" s="1">
        <f>DATE(2014,2,15) + TIME(1,26,54)</f>
        <v>41685.060347222221</v>
      </c>
      <c r="C1743">
        <v>0</v>
      </c>
      <c r="D1743">
        <v>2400</v>
      </c>
      <c r="E1743">
        <v>2400</v>
      </c>
      <c r="F1743">
        <v>0</v>
      </c>
      <c r="G1743">
        <v>1296.5871582</v>
      </c>
      <c r="H1743">
        <v>1282.3654785000001</v>
      </c>
      <c r="I1743">
        <v>1393.8740233999999</v>
      </c>
      <c r="J1743">
        <v>1374.3250731999999</v>
      </c>
      <c r="K1743">
        <v>80</v>
      </c>
      <c r="L1743">
        <v>71.127494811999995</v>
      </c>
      <c r="M1743">
        <v>50</v>
      </c>
      <c r="N1743">
        <v>49.970485687</v>
      </c>
    </row>
    <row r="1744" spans="1:14" x14ac:dyDescent="0.25">
      <c r="A1744">
        <v>1388.994183</v>
      </c>
      <c r="B1744" s="1">
        <f>DATE(2014,2,17) + TIME(23,51,37)</f>
        <v>41687.99417824074</v>
      </c>
      <c r="C1744">
        <v>0</v>
      </c>
      <c r="D1744">
        <v>2400</v>
      </c>
      <c r="E1744">
        <v>2400</v>
      </c>
      <c r="F1744">
        <v>0</v>
      </c>
      <c r="G1744">
        <v>1296.3089600000001</v>
      </c>
      <c r="H1744">
        <v>1281.9804687999999</v>
      </c>
      <c r="I1744">
        <v>1393.8416748</v>
      </c>
      <c r="J1744">
        <v>1374.2976074000001</v>
      </c>
      <c r="K1744">
        <v>80</v>
      </c>
      <c r="L1744">
        <v>70.916618346999996</v>
      </c>
      <c r="M1744">
        <v>50</v>
      </c>
      <c r="N1744">
        <v>49.970550537000001</v>
      </c>
    </row>
    <row r="1745" spans="1:14" x14ac:dyDescent="0.25">
      <c r="A1745">
        <v>1391.968615</v>
      </c>
      <c r="B1745" s="1">
        <f>DATE(2014,2,20) + TIME(23,14,48)</f>
        <v>41690.968611111108</v>
      </c>
      <c r="C1745">
        <v>0</v>
      </c>
      <c r="D1745">
        <v>2400</v>
      </c>
      <c r="E1745">
        <v>2400</v>
      </c>
      <c r="F1745">
        <v>0</v>
      </c>
      <c r="G1745">
        <v>1296.0222168</v>
      </c>
      <c r="H1745">
        <v>1281.5823975000001</v>
      </c>
      <c r="I1745">
        <v>1393.8093262</v>
      </c>
      <c r="J1745">
        <v>1374.2701416</v>
      </c>
      <c r="K1745">
        <v>80</v>
      </c>
      <c r="L1745">
        <v>70.698394774999997</v>
      </c>
      <c r="M1745">
        <v>50</v>
      </c>
      <c r="N1745">
        <v>49.970615387000002</v>
      </c>
    </row>
    <row r="1746" spans="1:14" x14ac:dyDescent="0.25">
      <c r="A1746">
        <v>1394.9720219999999</v>
      </c>
      <c r="B1746" s="1">
        <f>DATE(2014,2,23) + TIME(23,19,42)</f>
        <v>41693.972013888888</v>
      </c>
      <c r="C1746">
        <v>0</v>
      </c>
      <c r="D1746">
        <v>2400</v>
      </c>
      <c r="E1746">
        <v>2400</v>
      </c>
      <c r="F1746">
        <v>0</v>
      </c>
      <c r="G1746">
        <v>1295.7272949000001</v>
      </c>
      <c r="H1746">
        <v>1281.1716309000001</v>
      </c>
      <c r="I1746">
        <v>1393.7772216999999</v>
      </c>
      <c r="J1746">
        <v>1374.2426757999999</v>
      </c>
      <c r="K1746">
        <v>80</v>
      </c>
      <c r="L1746">
        <v>70.472549438000001</v>
      </c>
      <c r="M1746">
        <v>50</v>
      </c>
      <c r="N1746">
        <v>49.970684052000003</v>
      </c>
    </row>
    <row r="1747" spans="1:14" x14ac:dyDescent="0.25">
      <c r="A1747">
        <v>1398.01152</v>
      </c>
      <c r="B1747" s="1">
        <f>DATE(2014,2,27) + TIME(0,16,35)</f>
        <v>41697.011516203704</v>
      </c>
      <c r="C1747">
        <v>0</v>
      </c>
      <c r="D1747">
        <v>2400</v>
      </c>
      <c r="E1747">
        <v>2400</v>
      </c>
      <c r="F1747">
        <v>0</v>
      </c>
      <c r="G1747">
        <v>1295.4251709</v>
      </c>
      <c r="H1747">
        <v>1280.7493896000001</v>
      </c>
      <c r="I1747">
        <v>1393.7451172000001</v>
      </c>
      <c r="J1747">
        <v>1374.215332</v>
      </c>
      <c r="K1747">
        <v>80</v>
      </c>
      <c r="L1747">
        <v>70.238967896000005</v>
      </c>
      <c r="M1747">
        <v>50</v>
      </c>
      <c r="N1747">
        <v>49.970748901</v>
      </c>
    </row>
    <row r="1748" spans="1:14" x14ac:dyDescent="0.25">
      <c r="A1748">
        <v>1400</v>
      </c>
      <c r="B1748" s="1">
        <f>DATE(2014,3,1) + TIME(0,0,0)</f>
        <v>41699</v>
      </c>
      <c r="C1748">
        <v>0</v>
      </c>
      <c r="D1748">
        <v>2400</v>
      </c>
      <c r="E1748">
        <v>2400</v>
      </c>
      <c r="F1748">
        <v>0</v>
      </c>
      <c r="G1748">
        <v>1295.1198730000001</v>
      </c>
      <c r="H1748">
        <v>1280.3277588000001</v>
      </c>
      <c r="I1748">
        <v>1393.7127685999999</v>
      </c>
      <c r="J1748">
        <v>1374.1876221</v>
      </c>
      <c r="K1748">
        <v>80</v>
      </c>
      <c r="L1748">
        <v>70.021553040000001</v>
      </c>
      <c r="M1748">
        <v>50</v>
      </c>
      <c r="N1748">
        <v>49.970790862999998</v>
      </c>
    </row>
    <row r="1749" spans="1:14" x14ac:dyDescent="0.25">
      <c r="A1749">
        <v>1403.0825159999999</v>
      </c>
      <c r="B1749" s="1">
        <f>DATE(2014,3,4) + TIME(1,58,49)</f>
        <v>41702.082511574074</v>
      </c>
      <c r="C1749">
        <v>0</v>
      </c>
      <c r="D1749">
        <v>2400</v>
      </c>
      <c r="E1749">
        <v>2400</v>
      </c>
      <c r="F1749">
        <v>0</v>
      </c>
      <c r="G1749">
        <v>1294.8996582</v>
      </c>
      <c r="H1749">
        <v>1280.0063477000001</v>
      </c>
      <c r="I1749">
        <v>1393.6925048999999</v>
      </c>
      <c r="J1749">
        <v>1374.1704102000001</v>
      </c>
      <c r="K1749">
        <v>80</v>
      </c>
      <c r="L1749">
        <v>69.821937560999999</v>
      </c>
      <c r="M1749">
        <v>50</v>
      </c>
      <c r="N1749">
        <v>49.970859527999998</v>
      </c>
    </row>
    <row r="1750" spans="1:14" x14ac:dyDescent="0.25">
      <c r="A1750">
        <v>1406.2518030000001</v>
      </c>
      <c r="B1750" s="1">
        <f>DATE(2014,3,7) + TIME(6,2,35)</f>
        <v>41705.251793981479</v>
      </c>
      <c r="C1750">
        <v>0</v>
      </c>
      <c r="D1750">
        <v>2400</v>
      </c>
      <c r="E1750">
        <v>2400</v>
      </c>
      <c r="F1750">
        <v>0</v>
      </c>
      <c r="G1750">
        <v>1294.5881348</v>
      </c>
      <c r="H1750">
        <v>1279.5714111</v>
      </c>
      <c r="I1750">
        <v>1393.6607666</v>
      </c>
      <c r="J1750">
        <v>1374.1430664</v>
      </c>
      <c r="K1750">
        <v>80</v>
      </c>
      <c r="L1750">
        <v>69.574462890999996</v>
      </c>
      <c r="M1750">
        <v>50</v>
      </c>
      <c r="N1750">
        <v>49.970924377000003</v>
      </c>
    </row>
    <row r="1751" spans="1:14" x14ac:dyDescent="0.25">
      <c r="A1751">
        <v>1409.4714409999999</v>
      </c>
      <c r="B1751" s="1">
        <f>DATE(2014,3,10) + TIME(11,18,52)</f>
        <v>41708.471435185187</v>
      </c>
      <c r="C1751">
        <v>0</v>
      </c>
      <c r="D1751">
        <v>2400</v>
      </c>
      <c r="E1751">
        <v>2400</v>
      </c>
      <c r="F1751">
        <v>0</v>
      </c>
      <c r="G1751">
        <v>1294.2578125</v>
      </c>
      <c r="H1751">
        <v>1279.1057129000001</v>
      </c>
      <c r="I1751">
        <v>1393.6285399999999</v>
      </c>
      <c r="J1751">
        <v>1374.1153564000001</v>
      </c>
      <c r="K1751">
        <v>80</v>
      </c>
      <c r="L1751">
        <v>69.305686950999998</v>
      </c>
      <c r="M1751">
        <v>50</v>
      </c>
      <c r="N1751">
        <v>49.970993042000003</v>
      </c>
    </row>
    <row r="1752" spans="1:14" x14ac:dyDescent="0.25">
      <c r="A1752">
        <v>1412.7403589999999</v>
      </c>
      <c r="B1752" s="1">
        <f>DATE(2014,3,13) + TIME(17,46,6)</f>
        <v>41711.740347222221</v>
      </c>
      <c r="C1752">
        <v>0</v>
      </c>
      <c r="D1752">
        <v>2400</v>
      </c>
      <c r="E1752">
        <v>2400</v>
      </c>
      <c r="F1752">
        <v>0</v>
      </c>
      <c r="G1752">
        <v>1293.9173584</v>
      </c>
      <c r="H1752">
        <v>1278.6229248</v>
      </c>
      <c r="I1752">
        <v>1393.5960693</v>
      </c>
      <c r="J1752">
        <v>1374.0874022999999</v>
      </c>
      <c r="K1752">
        <v>80</v>
      </c>
      <c r="L1752">
        <v>69.022583007999998</v>
      </c>
      <c r="M1752">
        <v>50</v>
      </c>
      <c r="N1752">
        <v>49.971061706999997</v>
      </c>
    </row>
    <row r="1753" spans="1:14" x14ac:dyDescent="0.25">
      <c r="A1753">
        <v>1416.066045</v>
      </c>
      <c r="B1753" s="1">
        <f>DATE(2014,3,17) + TIME(1,35,6)</f>
        <v>41715.066041666665</v>
      </c>
      <c r="C1753">
        <v>0</v>
      </c>
      <c r="D1753">
        <v>2400</v>
      </c>
      <c r="E1753">
        <v>2400</v>
      </c>
      <c r="F1753">
        <v>0</v>
      </c>
      <c r="G1753">
        <v>1293.5679932</v>
      </c>
      <c r="H1753">
        <v>1278.1259766000001</v>
      </c>
      <c r="I1753">
        <v>1393.5634766000001</v>
      </c>
      <c r="J1753">
        <v>1374.0592041</v>
      </c>
      <c r="K1753">
        <v>80</v>
      </c>
      <c r="L1753">
        <v>68.725891113000003</v>
      </c>
      <c r="M1753">
        <v>50</v>
      </c>
      <c r="N1753">
        <v>49.971130371000001</v>
      </c>
    </row>
    <row r="1754" spans="1:14" x14ac:dyDescent="0.25">
      <c r="A1754">
        <v>1419.4561160000001</v>
      </c>
      <c r="B1754" s="1">
        <f>DATE(2014,3,20) + TIME(10,56,48)</f>
        <v>41718.456111111111</v>
      </c>
      <c r="C1754">
        <v>0</v>
      </c>
      <c r="D1754">
        <v>2400</v>
      </c>
      <c r="E1754">
        <v>2400</v>
      </c>
      <c r="F1754">
        <v>0</v>
      </c>
      <c r="G1754">
        <v>1293.2098389</v>
      </c>
      <c r="H1754">
        <v>1277.614624</v>
      </c>
      <c r="I1754">
        <v>1393.5306396000001</v>
      </c>
      <c r="J1754">
        <v>1374.0307617000001</v>
      </c>
      <c r="K1754">
        <v>80</v>
      </c>
      <c r="L1754">
        <v>68.414627074999999</v>
      </c>
      <c r="M1754">
        <v>50</v>
      </c>
      <c r="N1754">
        <v>49.971199036000002</v>
      </c>
    </row>
    <row r="1755" spans="1:14" x14ac:dyDescent="0.25">
      <c r="A1755">
        <v>1422.908248</v>
      </c>
      <c r="B1755" s="1">
        <f>DATE(2014,3,23) + TIME(21,47,52)</f>
        <v>41721.90824074074</v>
      </c>
      <c r="C1755">
        <v>0</v>
      </c>
      <c r="D1755">
        <v>2400</v>
      </c>
      <c r="E1755">
        <v>2400</v>
      </c>
      <c r="F1755">
        <v>0</v>
      </c>
      <c r="G1755">
        <v>1292.8422852000001</v>
      </c>
      <c r="H1755">
        <v>1277.0882568</v>
      </c>
      <c r="I1755">
        <v>1393.4974365</v>
      </c>
      <c r="J1755">
        <v>1374.0018310999999</v>
      </c>
      <c r="K1755">
        <v>80</v>
      </c>
      <c r="L1755">
        <v>68.087593079000001</v>
      </c>
      <c r="M1755">
        <v>50</v>
      </c>
      <c r="N1755">
        <v>49.971271514999998</v>
      </c>
    </row>
    <row r="1756" spans="1:14" x14ac:dyDescent="0.25">
      <c r="A1756">
        <v>1426.4115549999999</v>
      </c>
      <c r="B1756" s="1">
        <f>DATE(2014,3,27) + TIME(9,52,38)</f>
        <v>41725.411550925928</v>
      </c>
      <c r="C1756">
        <v>0</v>
      </c>
      <c r="D1756">
        <v>2400</v>
      </c>
      <c r="E1756">
        <v>2400</v>
      </c>
      <c r="F1756">
        <v>0</v>
      </c>
      <c r="G1756">
        <v>1292.4658202999999</v>
      </c>
      <c r="H1756">
        <v>1276.5472411999999</v>
      </c>
      <c r="I1756">
        <v>1393.4637451000001</v>
      </c>
      <c r="J1756">
        <v>1373.9725341999999</v>
      </c>
      <c r="K1756">
        <v>80</v>
      </c>
      <c r="L1756">
        <v>67.744277953999998</v>
      </c>
      <c r="M1756">
        <v>50</v>
      </c>
      <c r="N1756">
        <v>49.971340179000002</v>
      </c>
    </row>
    <row r="1757" spans="1:14" x14ac:dyDescent="0.25">
      <c r="A1757">
        <v>1429.9747990000001</v>
      </c>
      <c r="B1757" s="1">
        <f>DATE(2014,3,30) + TIME(23,23,42)</f>
        <v>41728.974791666667</v>
      </c>
      <c r="C1757">
        <v>0</v>
      </c>
      <c r="D1757">
        <v>2400</v>
      </c>
      <c r="E1757">
        <v>2400</v>
      </c>
      <c r="F1757">
        <v>0</v>
      </c>
      <c r="G1757">
        <v>1292.0816649999999</v>
      </c>
      <c r="H1757">
        <v>1275.9932861</v>
      </c>
      <c r="I1757">
        <v>1393.4298096</v>
      </c>
      <c r="J1757">
        <v>1373.9429932</v>
      </c>
      <c r="K1757">
        <v>80</v>
      </c>
      <c r="L1757">
        <v>67.384628296000002</v>
      </c>
      <c r="M1757">
        <v>50</v>
      </c>
      <c r="N1757">
        <v>49.971412659000002</v>
      </c>
    </row>
    <row r="1758" spans="1:14" x14ac:dyDescent="0.25">
      <c r="A1758">
        <v>1431</v>
      </c>
      <c r="B1758" s="1">
        <f>DATE(2014,4,1) + TIME(0,0,0)</f>
        <v>41730</v>
      </c>
      <c r="C1758">
        <v>0</v>
      </c>
      <c r="D1758">
        <v>2400</v>
      </c>
      <c r="E1758">
        <v>2400</v>
      </c>
      <c r="F1758">
        <v>0</v>
      </c>
      <c r="G1758">
        <v>1291.7060547000001</v>
      </c>
      <c r="H1758">
        <v>1275.4807129000001</v>
      </c>
      <c r="I1758">
        <v>1393.3945312000001</v>
      </c>
      <c r="J1758">
        <v>1373.9121094</v>
      </c>
      <c r="K1758">
        <v>80</v>
      </c>
      <c r="L1758">
        <v>67.122436523000005</v>
      </c>
      <c r="M1758">
        <v>50</v>
      </c>
      <c r="N1758">
        <v>49.971427917</v>
      </c>
    </row>
    <row r="1759" spans="1:14" x14ac:dyDescent="0.25">
      <c r="A1759">
        <v>1434.6321809999999</v>
      </c>
      <c r="B1759" s="1">
        <f>DATE(2014,4,4) + TIME(15,10,20)</f>
        <v>41733.632175925923</v>
      </c>
      <c r="C1759">
        <v>0</v>
      </c>
      <c r="D1759">
        <v>2400</v>
      </c>
      <c r="E1759">
        <v>2400</v>
      </c>
      <c r="F1759">
        <v>0</v>
      </c>
      <c r="G1759">
        <v>1291.5551757999999</v>
      </c>
      <c r="H1759">
        <v>1275.2189940999999</v>
      </c>
      <c r="I1759">
        <v>1393.3854980000001</v>
      </c>
      <c r="J1759">
        <v>1373.9041748</v>
      </c>
      <c r="K1759">
        <v>80</v>
      </c>
      <c r="L1759">
        <v>66.868972778</v>
      </c>
      <c r="M1759">
        <v>50</v>
      </c>
      <c r="N1759">
        <v>49.971504211000003</v>
      </c>
    </row>
    <row r="1760" spans="1:14" x14ac:dyDescent="0.25">
      <c r="A1760">
        <v>1438.3676889999999</v>
      </c>
      <c r="B1760" s="1">
        <f>DATE(2014,4,8) + TIME(8,49,28)</f>
        <v>41737.367685185185</v>
      </c>
      <c r="C1760">
        <v>0</v>
      </c>
      <c r="D1760">
        <v>2400</v>
      </c>
      <c r="E1760">
        <v>2400</v>
      </c>
      <c r="F1760">
        <v>0</v>
      </c>
      <c r="G1760">
        <v>1291.1719971</v>
      </c>
      <c r="H1760">
        <v>1274.6713867000001</v>
      </c>
      <c r="I1760">
        <v>1393.3505858999999</v>
      </c>
      <c r="J1760">
        <v>1373.8735352000001</v>
      </c>
      <c r="K1760">
        <v>80</v>
      </c>
      <c r="L1760">
        <v>66.491210937999995</v>
      </c>
      <c r="M1760">
        <v>50</v>
      </c>
      <c r="N1760">
        <v>49.971576691000003</v>
      </c>
    </row>
    <row r="1761" spans="1:14" x14ac:dyDescent="0.25">
      <c r="A1761">
        <v>1442.1952550000001</v>
      </c>
      <c r="B1761" s="1">
        <f>DATE(2014,4,12) + TIME(4,41,9)</f>
        <v>41741.195243055554</v>
      </c>
      <c r="C1761">
        <v>0</v>
      </c>
      <c r="D1761">
        <v>2400</v>
      </c>
      <c r="E1761">
        <v>2400</v>
      </c>
      <c r="F1761">
        <v>0</v>
      </c>
      <c r="G1761">
        <v>1290.7630615</v>
      </c>
      <c r="H1761">
        <v>1274.0765381000001</v>
      </c>
      <c r="I1761">
        <v>1393.3146973</v>
      </c>
      <c r="J1761">
        <v>1373.8419189000001</v>
      </c>
      <c r="K1761">
        <v>80</v>
      </c>
      <c r="L1761">
        <v>66.072250366000006</v>
      </c>
      <c r="M1761">
        <v>50</v>
      </c>
      <c r="N1761">
        <v>49.971652984999999</v>
      </c>
    </row>
    <row r="1762" spans="1:14" x14ac:dyDescent="0.25">
      <c r="A1762">
        <v>1446.100819</v>
      </c>
      <c r="B1762" s="1">
        <f>DATE(2014,4,16) + TIME(2,25,10)</f>
        <v>41745.100810185184</v>
      </c>
      <c r="C1762">
        <v>0</v>
      </c>
      <c r="D1762">
        <v>2400</v>
      </c>
      <c r="E1762">
        <v>2400</v>
      </c>
      <c r="F1762">
        <v>0</v>
      </c>
      <c r="G1762">
        <v>1290.3415527</v>
      </c>
      <c r="H1762">
        <v>1273.4595947</v>
      </c>
      <c r="I1762">
        <v>1393.2780762</v>
      </c>
      <c r="J1762">
        <v>1373.8095702999999</v>
      </c>
      <c r="K1762">
        <v>80</v>
      </c>
      <c r="L1762">
        <v>65.627922057999996</v>
      </c>
      <c r="M1762">
        <v>50</v>
      </c>
      <c r="N1762">
        <v>49.971725464000002</v>
      </c>
    </row>
    <row r="1763" spans="1:14" x14ac:dyDescent="0.25">
      <c r="A1763">
        <v>1450.091136</v>
      </c>
      <c r="B1763" s="1">
        <f>DATE(2014,4,20) + TIME(2,11,14)</f>
        <v>41749.091134259259</v>
      </c>
      <c r="C1763">
        <v>0</v>
      </c>
      <c r="D1763">
        <v>2400</v>
      </c>
      <c r="E1763">
        <v>2400</v>
      </c>
      <c r="F1763">
        <v>0</v>
      </c>
      <c r="G1763">
        <v>1289.911499</v>
      </c>
      <c r="H1763">
        <v>1272.8273925999999</v>
      </c>
      <c r="I1763">
        <v>1393.2406006000001</v>
      </c>
      <c r="J1763">
        <v>1373.7764893000001</v>
      </c>
      <c r="K1763">
        <v>80</v>
      </c>
      <c r="L1763">
        <v>65.161064147999994</v>
      </c>
      <c r="M1763">
        <v>50</v>
      </c>
      <c r="N1763">
        <v>49.971801757999998</v>
      </c>
    </row>
    <row r="1764" spans="1:14" x14ac:dyDescent="0.25">
      <c r="A1764">
        <v>1454.1793259999999</v>
      </c>
      <c r="B1764" s="1">
        <f>DATE(2014,4,24) + TIME(4,18,13)</f>
        <v>41753.17931712963</v>
      </c>
      <c r="C1764">
        <v>0</v>
      </c>
      <c r="D1764">
        <v>2400</v>
      </c>
      <c r="E1764">
        <v>2400</v>
      </c>
      <c r="F1764">
        <v>0</v>
      </c>
      <c r="G1764">
        <v>1289.4733887</v>
      </c>
      <c r="H1764">
        <v>1272.1810303</v>
      </c>
      <c r="I1764">
        <v>1393.2023925999999</v>
      </c>
      <c r="J1764">
        <v>1373.7424315999999</v>
      </c>
      <c r="K1764">
        <v>80</v>
      </c>
      <c r="L1764">
        <v>64.671936035000002</v>
      </c>
      <c r="M1764">
        <v>50</v>
      </c>
      <c r="N1764">
        <v>49.971878052000001</v>
      </c>
    </row>
    <row r="1765" spans="1:14" x14ac:dyDescent="0.25">
      <c r="A1765">
        <v>1458.3797629999999</v>
      </c>
      <c r="B1765" s="1">
        <f>DATE(2014,4,28) + TIME(9,6,51)</f>
        <v>41757.379756944443</v>
      </c>
      <c r="C1765">
        <v>0</v>
      </c>
      <c r="D1765">
        <v>2400</v>
      </c>
      <c r="E1765">
        <v>2400</v>
      </c>
      <c r="F1765">
        <v>0</v>
      </c>
      <c r="G1765">
        <v>1289.0269774999999</v>
      </c>
      <c r="H1765">
        <v>1271.5195312000001</v>
      </c>
      <c r="I1765">
        <v>1393.1632079999999</v>
      </c>
      <c r="J1765">
        <v>1373.7075195</v>
      </c>
      <c r="K1765">
        <v>80</v>
      </c>
      <c r="L1765">
        <v>64.159004210999996</v>
      </c>
      <c r="M1765">
        <v>50</v>
      </c>
      <c r="N1765">
        <v>49.971954345999997</v>
      </c>
    </row>
    <row r="1766" spans="1:14" x14ac:dyDescent="0.25">
      <c r="A1766">
        <v>1461</v>
      </c>
      <c r="B1766" s="1">
        <f>DATE(2014,5,1) + TIME(0,0,0)</f>
        <v>41760</v>
      </c>
      <c r="C1766">
        <v>0</v>
      </c>
      <c r="D1766">
        <v>2400</v>
      </c>
      <c r="E1766">
        <v>2400</v>
      </c>
      <c r="F1766">
        <v>0</v>
      </c>
      <c r="G1766">
        <v>1288.5761719</v>
      </c>
      <c r="H1766">
        <v>1270.8624268000001</v>
      </c>
      <c r="I1766">
        <v>1393.1224365</v>
      </c>
      <c r="J1766">
        <v>1373.6711425999999</v>
      </c>
      <c r="K1766">
        <v>80</v>
      </c>
      <c r="L1766">
        <v>63.666954040999997</v>
      </c>
      <c r="M1766">
        <v>50</v>
      </c>
      <c r="N1766">
        <v>49.972000121999997</v>
      </c>
    </row>
    <row r="1767" spans="1:14" x14ac:dyDescent="0.25">
      <c r="A1767">
        <v>1461.0000010000001</v>
      </c>
      <c r="B1767" s="1">
        <f>DATE(2014,5,1) + TIME(0,0,0)</f>
        <v>41760</v>
      </c>
      <c r="C1767">
        <v>2400</v>
      </c>
      <c r="D1767">
        <v>0</v>
      </c>
      <c r="E1767">
        <v>0</v>
      </c>
      <c r="F1767">
        <v>2400</v>
      </c>
      <c r="G1767">
        <v>1307.7913818</v>
      </c>
      <c r="H1767">
        <v>1289.5817870999999</v>
      </c>
      <c r="I1767">
        <v>1372.7966309000001</v>
      </c>
      <c r="J1767">
        <v>1353.9067382999999</v>
      </c>
      <c r="K1767">
        <v>80</v>
      </c>
      <c r="L1767">
        <v>63.667110442999999</v>
      </c>
      <c r="M1767">
        <v>50</v>
      </c>
      <c r="N1767">
        <v>49.971889496000003</v>
      </c>
    </row>
    <row r="1768" spans="1:14" x14ac:dyDescent="0.25">
      <c r="A1768">
        <v>1461.000004</v>
      </c>
      <c r="B1768" s="1">
        <f>DATE(2014,5,1) + TIME(0,0,0)</f>
        <v>41760</v>
      </c>
      <c r="C1768">
        <v>2400</v>
      </c>
      <c r="D1768">
        <v>0</v>
      </c>
      <c r="E1768">
        <v>0</v>
      </c>
      <c r="F1768">
        <v>2400</v>
      </c>
      <c r="G1768">
        <v>1310.1533202999999</v>
      </c>
      <c r="H1768">
        <v>1292.1837158000001</v>
      </c>
      <c r="I1768">
        <v>1370.4642334</v>
      </c>
      <c r="J1768">
        <v>1351.5736084</v>
      </c>
      <c r="K1768">
        <v>80</v>
      </c>
      <c r="L1768">
        <v>63.667526244999998</v>
      </c>
      <c r="M1768">
        <v>50</v>
      </c>
      <c r="N1768">
        <v>49.971595764</v>
      </c>
    </row>
    <row r="1769" spans="1:14" x14ac:dyDescent="0.25">
      <c r="A1769">
        <v>1461.0000130000001</v>
      </c>
      <c r="B1769" s="1">
        <f>DATE(2014,5,1) + TIME(0,0,1)</f>
        <v>41760.000011574077</v>
      </c>
      <c r="C1769">
        <v>2400</v>
      </c>
      <c r="D1769">
        <v>0</v>
      </c>
      <c r="E1769">
        <v>0</v>
      </c>
      <c r="F1769">
        <v>2400</v>
      </c>
      <c r="G1769">
        <v>1315.3387451000001</v>
      </c>
      <c r="H1769">
        <v>1297.6912841999999</v>
      </c>
      <c r="I1769">
        <v>1365.2320557</v>
      </c>
      <c r="J1769">
        <v>1346.340332</v>
      </c>
      <c r="K1769">
        <v>80</v>
      </c>
      <c r="L1769">
        <v>63.668464661000002</v>
      </c>
      <c r="M1769">
        <v>50</v>
      </c>
      <c r="N1769">
        <v>49.970935822000001</v>
      </c>
    </row>
    <row r="1770" spans="1:14" x14ac:dyDescent="0.25">
      <c r="A1770">
        <v>1461.0000399999999</v>
      </c>
      <c r="B1770" s="1">
        <f>DATE(2014,5,1) + TIME(0,0,3)</f>
        <v>41760.000034722223</v>
      </c>
      <c r="C1770">
        <v>2400</v>
      </c>
      <c r="D1770">
        <v>0</v>
      </c>
      <c r="E1770">
        <v>0</v>
      </c>
      <c r="F1770">
        <v>2400</v>
      </c>
      <c r="G1770">
        <v>1323.7838135</v>
      </c>
      <c r="H1770">
        <v>1306.2705077999999</v>
      </c>
      <c r="I1770">
        <v>1356.4880370999999</v>
      </c>
      <c r="J1770">
        <v>1337.597168</v>
      </c>
      <c r="K1770">
        <v>80</v>
      </c>
      <c r="L1770">
        <v>63.670207976999997</v>
      </c>
      <c r="M1770">
        <v>50</v>
      </c>
      <c r="N1770">
        <v>49.969833373999997</v>
      </c>
    </row>
    <row r="1771" spans="1:14" x14ac:dyDescent="0.25">
      <c r="A1771">
        <v>1461.000121</v>
      </c>
      <c r="B1771" s="1">
        <f>DATE(2014,5,1) + TIME(0,0,10)</f>
        <v>41760.000115740739</v>
      </c>
      <c r="C1771">
        <v>2400</v>
      </c>
      <c r="D1771">
        <v>0</v>
      </c>
      <c r="E1771">
        <v>0</v>
      </c>
      <c r="F1771">
        <v>2400</v>
      </c>
      <c r="G1771">
        <v>1333.9597168</v>
      </c>
      <c r="H1771">
        <v>1316.3444824000001</v>
      </c>
      <c r="I1771">
        <v>1345.8133545000001</v>
      </c>
      <c r="J1771">
        <v>1326.9278564000001</v>
      </c>
      <c r="K1771">
        <v>80</v>
      </c>
      <c r="L1771">
        <v>63.673366547000001</v>
      </c>
      <c r="M1771">
        <v>50</v>
      </c>
      <c r="N1771">
        <v>49.968479156000001</v>
      </c>
    </row>
    <row r="1772" spans="1:14" x14ac:dyDescent="0.25">
      <c r="A1772">
        <v>1461.000364</v>
      </c>
      <c r="B1772" s="1">
        <f>DATE(2014,5,1) + TIME(0,0,31)</f>
        <v>41760.000358796293</v>
      </c>
      <c r="C1772">
        <v>2400</v>
      </c>
      <c r="D1772">
        <v>0</v>
      </c>
      <c r="E1772">
        <v>0</v>
      </c>
      <c r="F1772">
        <v>2400</v>
      </c>
      <c r="G1772">
        <v>1344.5144043</v>
      </c>
      <c r="H1772">
        <v>1326.7541504000001</v>
      </c>
      <c r="I1772">
        <v>1334.8231201000001</v>
      </c>
      <c r="J1772">
        <v>1315.9477539</v>
      </c>
      <c r="K1772">
        <v>80</v>
      </c>
      <c r="L1772">
        <v>63.680236815999997</v>
      </c>
      <c r="M1772">
        <v>50</v>
      </c>
      <c r="N1772">
        <v>49.967067718999999</v>
      </c>
    </row>
    <row r="1773" spans="1:14" x14ac:dyDescent="0.25">
      <c r="A1773">
        <v>1461.0010930000001</v>
      </c>
      <c r="B1773" s="1">
        <f>DATE(2014,5,1) + TIME(0,1,34)</f>
        <v>41760.001087962963</v>
      </c>
      <c r="C1773">
        <v>2400</v>
      </c>
      <c r="D1773">
        <v>0</v>
      </c>
      <c r="E1773">
        <v>0</v>
      </c>
      <c r="F1773">
        <v>2400</v>
      </c>
      <c r="G1773">
        <v>1355.3548584</v>
      </c>
      <c r="H1773">
        <v>1337.4313964999999</v>
      </c>
      <c r="I1773">
        <v>1323.8361815999999</v>
      </c>
      <c r="J1773">
        <v>1304.9719238</v>
      </c>
      <c r="K1773">
        <v>80</v>
      </c>
      <c r="L1773">
        <v>63.698234558000003</v>
      </c>
      <c r="M1773">
        <v>50</v>
      </c>
      <c r="N1773">
        <v>49.965591431</v>
      </c>
    </row>
    <row r="1774" spans="1:14" x14ac:dyDescent="0.25">
      <c r="A1774">
        <v>1461.0032799999999</v>
      </c>
      <c r="B1774" s="1">
        <f>DATE(2014,5,1) + TIME(0,4,43)</f>
        <v>41760.003275462965</v>
      </c>
      <c r="C1774">
        <v>2400</v>
      </c>
      <c r="D1774">
        <v>0</v>
      </c>
      <c r="E1774">
        <v>0</v>
      </c>
      <c r="F1774">
        <v>2400</v>
      </c>
      <c r="G1774">
        <v>1366.7747803</v>
      </c>
      <c r="H1774">
        <v>1348.652832</v>
      </c>
      <c r="I1774">
        <v>1312.7589111</v>
      </c>
      <c r="J1774">
        <v>1293.8770752</v>
      </c>
      <c r="K1774">
        <v>80</v>
      </c>
      <c r="L1774">
        <v>63.749877929999997</v>
      </c>
      <c r="M1774">
        <v>50</v>
      </c>
      <c r="N1774">
        <v>49.963920592999997</v>
      </c>
    </row>
    <row r="1775" spans="1:14" x14ac:dyDescent="0.25">
      <c r="A1775">
        <v>1461.0098410000001</v>
      </c>
      <c r="B1775" s="1">
        <f>DATE(2014,5,1) + TIME(0,14,10)</f>
        <v>41760.009837962964</v>
      </c>
      <c r="C1775">
        <v>2400</v>
      </c>
      <c r="D1775">
        <v>0</v>
      </c>
      <c r="E1775">
        <v>0</v>
      </c>
      <c r="F1775">
        <v>2400</v>
      </c>
      <c r="G1775">
        <v>1378.1976318</v>
      </c>
      <c r="H1775">
        <v>1359.9088135</v>
      </c>
      <c r="I1775">
        <v>1301.9202881000001</v>
      </c>
      <c r="J1775">
        <v>1282.973999</v>
      </c>
      <c r="K1775">
        <v>80</v>
      </c>
      <c r="L1775">
        <v>63.902095795000001</v>
      </c>
      <c r="M1775">
        <v>50</v>
      </c>
      <c r="N1775">
        <v>49.961723327999998</v>
      </c>
    </row>
    <row r="1776" spans="1:14" x14ac:dyDescent="0.25">
      <c r="A1776">
        <v>1461.029524</v>
      </c>
      <c r="B1776" s="1">
        <f>DATE(2014,5,1) + TIME(0,42,30)</f>
        <v>41760.029513888891</v>
      </c>
      <c r="C1776">
        <v>2400</v>
      </c>
      <c r="D1776">
        <v>0</v>
      </c>
      <c r="E1776">
        <v>0</v>
      </c>
      <c r="F1776">
        <v>2400</v>
      </c>
      <c r="G1776">
        <v>1387.2736815999999</v>
      </c>
      <c r="H1776">
        <v>1368.9818115</v>
      </c>
      <c r="I1776">
        <v>1293.3602295000001</v>
      </c>
      <c r="J1776">
        <v>1274.3557129000001</v>
      </c>
      <c r="K1776">
        <v>80</v>
      </c>
      <c r="L1776">
        <v>64.345825195000003</v>
      </c>
      <c r="M1776">
        <v>50</v>
      </c>
      <c r="N1776">
        <v>49.958183288999997</v>
      </c>
    </row>
    <row r="1777" spans="1:14" x14ac:dyDescent="0.25">
      <c r="A1777">
        <v>1461.056975</v>
      </c>
      <c r="B1777" s="1">
        <f>DATE(2014,5,1) + TIME(1,22,2)</f>
        <v>41760.056967592594</v>
      </c>
      <c r="C1777">
        <v>2400</v>
      </c>
      <c r="D1777">
        <v>0</v>
      </c>
      <c r="E1777">
        <v>0</v>
      </c>
      <c r="F1777">
        <v>2400</v>
      </c>
      <c r="G1777">
        <v>1390.9401855000001</v>
      </c>
      <c r="H1777">
        <v>1372.7662353999999</v>
      </c>
      <c r="I1777">
        <v>1290.1177978999999</v>
      </c>
      <c r="J1777">
        <v>1271.0933838000001</v>
      </c>
      <c r="K1777">
        <v>80</v>
      </c>
      <c r="L1777">
        <v>64.941200256000002</v>
      </c>
      <c r="M1777">
        <v>50</v>
      </c>
      <c r="N1777">
        <v>49.954376220999997</v>
      </c>
    </row>
    <row r="1778" spans="1:14" x14ac:dyDescent="0.25">
      <c r="A1778">
        <v>1461.085112</v>
      </c>
      <c r="B1778" s="1">
        <f>DATE(2014,5,1) + TIME(2,2,33)</f>
        <v>41760.085104166668</v>
      </c>
      <c r="C1778">
        <v>2400</v>
      </c>
      <c r="D1778">
        <v>0</v>
      </c>
      <c r="E1778">
        <v>0</v>
      </c>
      <c r="F1778">
        <v>2400</v>
      </c>
      <c r="G1778">
        <v>1392.1610106999999</v>
      </c>
      <c r="H1778">
        <v>1374.1206055</v>
      </c>
      <c r="I1778">
        <v>1289.1773682</v>
      </c>
      <c r="J1778">
        <v>1270.1468506000001</v>
      </c>
      <c r="K1778">
        <v>80</v>
      </c>
      <c r="L1778">
        <v>65.528068542</v>
      </c>
      <c r="M1778">
        <v>50</v>
      </c>
      <c r="N1778">
        <v>49.950798034999998</v>
      </c>
    </row>
    <row r="1779" spans="1:14" x14ac:dyDescent="0.25">
      <c r="A1779">
        <v>1461.1138800000001</v>
      </c>
      <c r="B1779" s="1">
        <f>DATE(2014,5,1) + TIME(2,43,59)</f>
        <v>41760.113877314812</v>
      </c>
      <c r="C1779">
        <v>2400</v>
      </c>
      <c r="D1779">
        <v>0</v>
      </c>
      <c r="E1779">
        <v>0</v>
      </c>
      <c r="F1779">
        <v>2400</v>
      </c>
      <c r="G1779">
        <v>1392.5290527</v>
      </c>
      <c r="H1779">
        <v>1374.6242675999999</v>
      </c>
      <c r="I1779">
        <v>1288.9365233999999</v>
      </c>
      <c r="J1779">
        <v>1269.9038086</v>
      </c>
      <c r="K1779">
        <v>80</v>
      </c>
      <c r="L1779">
        <v>66.104476929</v>
      </c>
      <c r="M1779">
        <v>50</v>
      </c>
      <c r="N1779">
        <v>49.947261810000001</v>
      </c>
    </row>
    <row r="1780" spans="1:14" x14ac:dyDescent="0.25">
      <c r="A1780">
        <v>1461.143284</v>
      </c>
      <c r="B1780" s="1">
        <f>DATE(2014,5,1) + TIME(3,26,19)</f>
        <v>41760.143275462964</v>
      </c>
      <c r="C1780">
        <v>2400</v>
      </c>
      <c r="D1780">
        <v>0</v>
      </c>
      <c r="E1780">
        <v>0</v>
      </c>
      <c r="F1780">
        <v>2400</v>
      </c>
      <c r="G1780">
        <v>1392.5699463000001</v>
      </c>
      <c r="H1780">
        <v>1374.7979736</v>
      </c>
      <c r="I1780">
        <v>1288.9016113</v>
      </c>
      <c r="J1780">
        <v>1269.8681641000001</v>
      </c>
      <c r="K1780">
        <v>80</v>
      </c>
      <c r="L1780">
        <v>66.669891356999997</v>
      </c>
      <c r="M1780">
        <v>50</v>
      </c>
      <c r="N1780">
        <v>49.943710326999998</v>
      </c>
    </row>
    <row r="1781" spans="1:14" x14ac:dyDescent="0.25">
      <c r="A1781">
        <v>1461.1733489999999</v>
      </c>
      <c r="B1781" s="1">
        <f>DATE(2014,5,1) + TIME(4,9,37)</f>
        <v>41760.173344907409</v>
      </c>
      <c r="C1781">
        <v>2400</v>
      </c>
      <c r="D1781">
        <v>0</v>
      </c>
      <c r="E1781">
        <v>0</v>
      </c>
      <c r="F1781">
        <v>2400</v>
      </c>
      <c r="G1781">
        <v>1392.4776611</v>
      </c>
      <c r="H1781">
        <v>1374.8348389</v>
      </c>
      <c r="I1781">
        <v>1288.9178466999999</v>
      </c>
      <c r="J1781">
        <v>1269.8837891000001</v>
      </c>
      <c r="K1781">
        <v>80</v>
      </c>
      <c r="L1781">
        <v>67.224220275999997</v>
      </c>
      <c r="M1781">
        <v>50</v>
      </c>
      <c r="N1781">
        <v>49.940120696999998</v>
      </c>
    </row>
    <row r="1782" spans="1:14" x14ac:dyDescent="0.25">
      <c r="A1782">
        <v>1461.204113</v>
      </c>
      <c r="B1782" s="1">
        <f>DATE(2014,5,1) + TIME(4,53,55)</f>
        <v>41760.204108796293</v>
      </c>
      <c r="C1782">
        <v>2400</v>
      </c>
      <c r="D1782">
        <v>0</v>
      </c>
      <c r="E1782">
        <v>0</v>
      </c>
      <c r="F1782">
        <v>2400</v>
      </c>
      <c r="G1782">
        <v>1392.3297118999999</v>
      </c>
      <c r="H1782">
        <v>1374.8116454999999</v>
      </c>
      <c r="I1782">
        <v>1288.9393310999999</v>
      </c>
      <c r="J1782">
        <v>1269.9050293</v>
      </c>
      <c r="K1782">
        <v>80</v>
      </c>
      <c r="L1782">
        <v>67.767532349000007</v>
      </c>
      <c r="M1782">
        <v>50</v>
      </c>
      <c r="N1782">
        <v>49.936489105</v>
      </c>
    </row>
    <row r="1783" spans="1:14" x14ac:dyDescent="0.25">
      <c r="A1783">
        <v>1461.2356139999999</v>
      </c>
      <c r="B1783" s="1">
        <f>DATE(2014,5,1) + TIME(5,39,17)</f>
        <v>41760.235613425924</v>
      </c>
      <c r="C1783">
        <v>2400</v>
      </c>
      <c r="D1783">
        <v>0</v>
      </c>
      <c r="E1783">
        <v>0</v>
      </c>
      <c r="F1783">
        <v>2400</v>
      </c>
      <c r="G1783">
        <v>1392.1590576000001</v>
      </c>
      <c r="H1783">
        <v>1374.7615966999999</v>
      </c>
      <c r="I1783">
        <v>1288.9556885</v>
      </c>
      <c r="J1783">
        <v>1269.9210204999999</v>
      </c>
      <c r="K1783">
        <v>80</v>
      </c>
      <c r="L1783">
        <v>68.299880981000001</v>
      </c>
      <c r="M1783">
        <v>50</v>
      </c>
      <c r="N1783">
        <v>49.932807922000002</v>
      </c>
    </row>
    <row r="1784" spans="1:14" x14ac:dyDescent="0.25">
      <c r="A1784">
        <v>1461.267895</v>
      </c>
      <c r="B1784" s="1">
        <f>DATE(2014,5,1) + TIME(6,25,46)</f>
        <v>41760.267893518518</v>
      </c>
      <c r="C1784">
        <v>2400</v>
      </c>
      <c r="D1784">
        <v>0</v>
      </c>
      <c r="E1784">
        <v>0</v>
      </c>
      <c r="F1784">
        <v>2400</v>
      </c>
      <c r="G1784">
        <v>1391.9803466999999</v>
      </c>
      <c r="H1784">
        <v>1374.6993408000001</v>
      </c>
      <c r="I1784">
        <v>1288.9660644999999</v>
      </c>
      <c r="J1784">
        <v>1269.9311522999999</v>
      </c>
      <c r="K1784">
        <v>80</v>
      </c>
      <c r="L1784">
        <v>68.821311950999998</v>
      </c>
      <c r="M1784">
        <v>50</v>
      </c>
      <c r="N1784">
        <v>49.929073334000002</v>
      </c>
    </row>
    <row r="1785" spans="1:14" x14ac:dyDescent="0.25">
      <c r="A1785">
        <v>1461.301003</v>
      </c>
      <c r="B1785" s="1">
        <f>DATE(2014,5,1) + TIME(7,13,26)</f>
        <v>41760.300995370373</v>
      </c>
      <c r="C1785">
        <v>2400</v>
      </c>
      <c r="D1785">
        <v>0</v>
      </c>
      <c r="E1785">
        <v>0</v>
      </c>
      <c r="F1785">
        <v>2400</v>
      </c>
      <c r="G1785">
        <v>1391.800293</v>
      </c>
      <c r="H1785">
        <v>1374.6317139</v>
      </c>
      <c r="I1785">
        <v>1288.972168</v>
      </c>
      <c r="J1785">
        <v>1269.9368896000001</v>
      </c>
      <c r="K1785">
        <v>80</v>
      </c>
      <c r="L1785">
        <v>69.331863403</v>
      </c>
      <c r="M1785">
        <v>50</v>
      </c>
      <c r="N1785">
        <v>49.925281525000003</v>
      </c>
    </row>
    <row r="1786" spans="1:14" x14ac:dyDescent="0.25">
      <c r="A1786">
        <v>1461.3349880000001</v>
      </c>
      <c r="B1786" s="1">
        <f>DATE(2014,5,1) + TIME(8,2,22)</f>
        <v>41760.334976851853</v>
      </c>
      <c r="C1786">
        <v>2400</v>
      </c>
      <c r="D1786">
        <v>0</v>
      </c>
      <c r="E1786">
        <v>0</v>
      </c>
      <c r="F1786">
        <v>2400</v>
      </c>
      <c r="G1786">
        <v>1391.6223144999999</v>
      </c>
      <c r="H1786">
        <v>1374.5622559000001</v>
      </c>
      <c r="I1786">
        <v>1288.9757079999999</v>
      </c>
      <c r="J1786">
        <v>1269.9399414</v>
      </c>
      <c r="K1786">
        <v>80</v>
      </c>
      <c r="L1786">
        <v>69.831573485999996</v>
      </c>
      <c r="M1786">
        <v>50</v>
      </c>
      <c r="N1786">
        <v>49.921428679999998</v>
      </c>
    </row>
    <row r="1787" spans="1:14" x14ac:dyDescent="0.25">
      <c r="A1787">
        <v>1461.369905</v>
      </c>
      <c r="B1787" s="1">
        <f>DATE(2014,5,1) + TIME(8,52,39)</f>
        <v>41760.369895833333</v>
      </c>
      <c r="C1787">
        <v>2400</v>
      </c>
      <c r="D1787">
        <v>0</v>
      </c>
      <c r="E1787">
        <v>0</v>
      </c>
      <c r="F1787">
        <v>2400</v>
      </c>
      <c r="G1787">
        <v>1391.4477539</v>
      </c>
      <c r="H1787">
        <v>1374.4925536999999</v>
      </c>
      <c r="I1787">
        <v>1288.9774170000001</v>
      </c>
      <c r="J1787">
        <v>1269.9414062000001</v>
      </c>
      <c r="K1787">
        <v>80</v>
      </c>
      <c r="L1787">
        <v>70.320228576999995</v>
      </c>
      <c r="M1787">
        <v>50</v>
      </c>
      <c r="N1787">
        <v>49.917510986000003</v>
      </c>
    </row>
    <row r="1788" spans="1:14" x14ac:dyDescent="0.25">
      <c r="A1788">
        <v>1461.4058130000001</v>
      </c>
      <c r="B1788" s="1">
        <f>DATE(2014,5,1) + TIME(9,44,22)</f>
        <v>41760.405810185184</v>
      </c>
      <c r="C1788">
        <v>2400</v>
      </c>
      <c r="D1788">
        <v>0</v>
      </c>
      <c r="E1788">
        <v>0</v>
      </c>
      <c r="F1788">
        <v>2400</v>
      </c>
      <c r="G1788">
        <v>1391.2775879000001</v>
      </c>
      <c r="H1788">
        <v>1374.4234618999999</v>
      </c>
      <c r="I1788">
        <v>1288.9782714999999</v>
      </c>
      <c r="J1788">
        <v>1269.9418945</v>
      </c>
      <c r="K1788">
        <v>80</v>
      </c>
      <c r="L1788">
        <v>70.797950744999994</v>
      </c>
      <c r="M1788">
        <v>50</v>
      </c>
      <c r="N1788">
        <v>49.913524627999998</v>
      </c>
    </row>
    <row r="1789" spans="1:14" x14ac:dyDescent="0.25">
      <c r="A1789">
        <v>1461.4427780000001</v>
      </c>
      <c r="B1789" s="1">
        <f>DATE(2014,5,1) + TIME(10,37,35)</f>
        <v>41760.442766203705</v>
      </c>
      <c r="C1789">
        <v>2400</v>
      </c>
      <c r="D1789">
        <v>0</v>
      </c>
      <c r="E1789">
        <v>0</v>
      </c>
      <c r="F1789">
        <v>2400</v>
      </c>
      <c r="G1789">
        <v>1391.1116943</v>
      </c>
      <c r="H1789">
        <v>1374.3554687999999</v>
      </c>
      <c r="I1789">
        <v>1288.9786377</v>
      </c>
      <c r="J1789">
        <v>1269.9418945</v>
      </c>
      <c r="K1789">
        <v>80</v>
      </c>
      <c r="L1789">
        <v>71.264869689999998</v>
      </c>
      <c r="M1789">
        <v>50</v>
      </c>
      <c r="N1789">
        <v>49.909465789999999</v>
      </c>
    </row>
    <row r="1790" spans="1:14" x14ac:dyDescent="0.25">
      <c r="A1790">
        <v>1461.4808720000001</v>
      </c>
      <c r="B1790" s="1">
        <f>DATE(2014,5,1) + TIME(11,32,27)</f>
        <v>41760.480868055558</v>
      </c>
      <c r="C1790">
        <v>2400</v>
      </c>
      <c r="D1790">
        <v>0</v>
      </c>
      <c r="E1790">
        <v>0</v>
      </c>
      <c r="F1790">
        <v>2400</v>
      </c>
      <c r="G1790">
        <v>1390.9504394999999</v>
      </c>
      <c r="H1790">
        <v>1374.2884521000001</v>
      </c>
      <c r="I1790">
        <v>1288.9786377</v>
      </c>
      <c r="J1790">
        <v>1269.9415283000001</v>
      </c>
      <c r="K1790">
        <v>80</v>
      </c>
      <c r="L1790">
        <v>71.721008300999998</v>
      </c>
      <c r="M1790">
        <v>50</v>
      </c>
      <c r="N1790">
        <v>49.905326842999997</v>
      </c>
    </row>
    <row r="1791" spans="1:14" x14ac:dyDescent="0.25">
      <c r="A1791">
        <v>1461.520188</v>
      </c>
      <c r="B1791" s="1">
        <f>DATE(2014,5,1) + TIME(12,29,4)</f>
        <v>41760.520185185182</v>
      </c>
      <c r="C1791">
        <v>2400</v>
      </c>
      <c r="D1791">
        <v>0</v>
      </c>
      <c r="E1791">
        <v>0</v>
      </c>
      <c r="F1791">
        <v>2400</v>
      </c>
      <c r="G1791">
        <v>1390.793457</v>
      </c>
      <c r="H1791">
        <v>1374.2226562000001</v>
      </c>
      <c r="I1791">
        <v>1288.9785156</v>
      </c>
      <c r="J1791">
        <v>1269.9410399999999</v>
      </c>
      <c r="K1791">
        <v>80</v>
      </c>
      <c r="L1791">
        <v>72.166481017999999</v>
      </c>
      <c r="M1791">
        <v>50</v>
      </c>
      <c r="N1791">
        <v>49.901100159000002</v>
      </c>
    </row>
    <row r="1792" spans="1:14" x14ac:dyDescent="0.25">
      <c r="A1792">
        <v>1461.560796</v>
      </c>
      <c r="B1792" s="1">
        <f>DATE(2014,5,1) + TIME(13,27,32)</f>
        <v>41760.560787037037</v>
      </c>
      <c r="C1792">
        <v>2400</v>
      </c>
      <c r="D1792">
        <v>0</v>
      </c>
      <c r="E1792">
        <v>0</v>
      </c>
      <c r="F1792">
        <v>2400</v>
      </c>
      <c r="G1792">
        <v>1390.640625</v>
      </c>
      <c r="H1792">
        <v>1374.1579589999999</v>
      </c>
      <c r="I1792">
        <v>1288.9782714999999</v>
      </c>
      <c r="J1792">
        <v>1269.9403076000001</v>
      </c>
      <c r="K1792">
        <v>80</v>
      </c>
      <c r="L1792">
        <v>72.601104735999996</v>
      </c>
      <c r="M1792">
        <v>50</v>
      </c>
      <c r="N1792">
        <v>49.896778107000003</v>
      </c>
    </row>
    <row r="1793" spans="1:14" x14ac:dyDescent="0.25">
      <c r="A1793">
        <v>1461.6027919999999</v>
      </c>
      <c r="B1793" s="1">
        <f>DATE(2014,5,1) + TIME(14,28,1)</f>
        <v>41760.602789351855</v>
      </c>
      <c r="C1793">
        <v>2400</v>
      </c>
      <c r="D1793">
        <v>0</v>
      </c>
      <c r="E1793">
        <v>0</v>
      </c>
      <c r="F1793">
        <v>2400</v>
      </c>
      <c r="G1793">
        <v>1390.4920654</v>
      </c>
      <c r="H1793">
        <v>1374.0943603999999</v>
      </c>
      <c r="I1793">
        <v>1288.9779053</v>
      </c>
      <c r="J1793">
        <v>1269.9395752</v>
      </c>
      <c r="K1793">
        <v>80</v>
      </c>
      <c r="L1793">
        <v>73.024826050000001</v>
      </c>
      <c r="M1793">
        <v>50</v>
      </c>
      <c r="N1793">
        <v>49.892360687</v>
      </c>
    </row>
    <row r="1794" spans="1:14" x14ac:dyDescent="0.25">
      <c r="A1794">
        <v>1461.6462799999999</v>
      </c>
      <c r="B1794" s="1">
        <f>DATE(2014,5,1) + TIME(15,30,38)</f>
        <v>41760.646273148152</v>
      </c>
      <c r="C1794">
        <v>2400</v>
      </c>
      <c r="D1794">
        <v>0</v>
      </c>
      <c r="E1794">
        <v>0</v>
      </c>
      <c r="F1794">
        <v>2400</v>
      </c>
      <c r="G1794">
        <v>1390.347168</v>
      </c>
      <c r="H1794">
        <v>1374.0316161999999</v>
      </c>
      <c r="I1794">
        <v>1288.9774170000001</v>
      </c>
      <c r="J1794">
        <v>1269.9387207</v>
      </c>
      <c r="K1794">
        <v>80</v>
      </c>
      <c r="L1794">
        <v>73.437614440999994</v>
      </c>
      <c r="M1794">
        <v>50</v>
      </c>
      <c r="N1794">
        <v>49.887832641999999</v>
      </c>
    </row>
    <row r="1795" spans="1:14" x14ac:dyDescent="0.25">
      <c r="A1795">
        <v>1461.691376</v>
      </c>
      <c r="B1795" s="1">
        <f>DATE(2014,5,1) + TIME(16,35,34)</f>
        <v>41760.691365740742</v>
      </c>
      <c r="C1795">
        <v>2400</v>
      </c>
      <c r="D1795">
        <v>0</v>
      </c>
      <c r="E1795">
        <v>0</v>
      </c>
      <c r="F1795">
        <v>2400</v>
      </c>
      <c r="G1795">
        <v>1390.2060547000001</v>
      </c>
      <c r="H1795">
        <v>1373.9698486</v>
      </c>
      <c r="I1795">
        <v>1288.9769286999999</v>
      </c>
      <c r="J1795">
        <v>1269.9377440999999</v>
      </c>
      <c r="K1795">
        <v>80</v>
      </c>
      <c r="L1795">
        <v>73.839401245000005</v>
      </c>
      <c r="M1795">
        <v>50</v>
      </c>
      <c r="N1795">
        <v>49.883186340000002</v>
      </c>
    </row>
    <row r="1796" spans="1:14" x14ac:dyDescent="0.25">
      <c r="A1796">
        <v>1461.73821</v>
      </c>
      <c r="B1796" s="1">
        <f>DATE(2014,5,1) + TIME(17,43,1)</f>
        <v>41760.738206018519</v>
      </c>
      <c r="C1796">
        <v>2400</v>
      </c>
      <c r="D1796">
        <v>0</v>
      </c>
      <c r="E1796">
        <v>0</v>
      </c>
      <c r="F1796">
        <v>2400</v>
      </c>
      <c r="G1796">
        <v>1390.0683594</v>
      </c>
      <c r="H1796">
        <v>1373.9086914</v>
      </c>
      <c r="I1796">
        <v>1288.9763184000001</v>
      </c>
      <c r="J1796">
        <v>1269.9367675999999</v>
      </c>
      <c r="K1796">
        <v>80</v>
      </c>
      <c r="L1796">
        <v>74.230117797999995</v>
      </c>
      <c r="M1796">
        <v>50</v>
      </c>
      <c r="N1796">
        <v>49.878417968999997</v>
      </c>
    </row>
    <row r="1797" spans="1:14" x14ac:dyDescent="0.25">
      <c r="A1797">
        <v>1461.786928</v>
      </c>
      <c r="B1797" s="1">
        <f>DATE(2014,5,1) + TIME(18,53,10)</f>
        <v>41760.786921296298</v>
      </c>
      <c r="C1797">
        <v>2400</v>
      </c>
      <c r="D1797">
        <v>0</v>
      </c>
      <c r="E1797">
        <v>0</v>
      </c>
      <c r="F1797">
        <v>2400</v>
      </c>
      <c r="G1797">
        <v>1389.9339600000001</v>
      </c>
      <c r="H1797">
        <v>1373.8482666</v>
      </c>
      <c r="I1797">
        <v>1288.9758300999999</v>
      </c>
      <c r="J1797">
        <v>1269.9357910000001</v>
      </c>
      <c r="K1797">
        <v>80</v>
      </c>
      <c r="L1797">
        <v>74.609695435000006</v>
      </c>
      <c r="M1797">
        <v>50</v>
      </c>
      <c r="N1797">
        <v>49.873512267999999</v>
      </c>
    </row>
    <row r="1798" spans="1:14" x14ac:dyDescent="0.25">
      <c r="A1798">
        <v>1461.8376940000001</v>
      </c>
      <c r="B1798" s="1">
        <f>DATE(2014,5,1) + TIME(20,6,16)</f>
        <v>41760.837685185186</v>
      </c>
      <c r="C1798">
        <v>2400</v>
      </c>
      <c r="D1798">
        <v>0</v>
      </c>
      <c r="E1798">
        <v>0</v>
      </c>
      <c r="F1798">
        <v>2400</v>
      </c>
      <c r="G1798">
        <v>1389.8027344</v>
      </c>
      <c r="H1798">
        <v>1373.7883300999999</v>
      </c>
      <c r="I1798">
        <v>1288.9750977000001</v>
      </c>
      <c r="J1798">
        <v>1269.9346923999999</v>
      </c>
      <c r="K1798">
        <v>80</v>
      </c>
      <c r="L1798">
        <v>74.978027343999997</v>
      </c>
      <c r="M1798">
        <v>50</v>
      </c>
      <c r="N1798">
        <v>49.868453979000002</v>
      </c>
    </row>
    <row r="1799" spans="1:14" x14ac:dyDescent="0.25">
      <c r="A1799">
        <v>1461.8906899999999</v>
      </c>
      <c r="B1799" s="1">
        <f>DATE(2014,5,1) + TIME(21,22,35)</f>
        <v>41760.890682870369</v>
      </c>
      <c r="C1799">
        <v>2400</v>
      </c>
      <c r="D1799">
        <v>0</v>
      </c>
      <c r="E1799">
        <v>0</v>
      </c>
      <c r="F1799">
        <v>2400</v>
      </c>
      <c r="G1799">
        <v>1389.6743164</v>
      </c>
      <c r="H1799">
        <v>1373.7287598</v>
      </c>
      <c r="I1799">
        <v>1288.9743652</v>
      </c>
      <c r="J1799">
        <v>1269.9334716999999</v>
      </c>
      <c r="K1799">
        <v>80</v>
      </c>
      <c r="L1799">
        <v>75.334762573000006</v>
      </c>
      <c r="M1799">
        <v>50</v>
      </c>
      <c r="N1799">
        <v>49.863235474</v>
      </c>
    </row>
    <row r="1800" spans="1:14" x14ac:dyDescent="0.25">
      <c r="A1800">
        <v>1461.9461289999999</v>
      </c>
      <c r="B1800" s="1">
        <f>DATE(2014,5,1) + TIME(22,42,25)</f>
        <v>41760.946122685185</v>
      </c>
      <c r="C1800">
        <v>2400</v>
      </c>
      <c r="D1800">
        <v>0</v>
      </c>
      <c r="E1800">
        <v>0</v>
      </c>
      <c r="F1800">
        <v>2400</v>
      </c>
      <c r="G1800">
        <v>1389.5484618999999</v>
      </c>
      <c r="H1800">
        <v>1373.6694336</v>
      </c>
      <c r="I1800">
        <v>1288.9736327999999</v>
      </c>
      <c r="J1800">
        <v>1269.932251</v>
      </c>
      <c r="K1800">
        <v>80</v>
      </c>
      <c r="L1800">
        <v>75.680023192999997</v>
      </c>
      <c r="M1800">
        <v>50</v>
      </c>
      <c r="N1800">
        <v>49.857837676999999</v>
      </c>
    </row>
    <row r="1801" spans="1:14" x14ac:dyDescent="0.25">
      <c r="A1801">
        <v>1462.0042840000001</v>
      </c>
      <c r="B1801" s="1">
        <f>DATE(2014,5,2) + TIME(0,6,10)</f>
        <v>41761.004282407404</v>
      </c>
      <c r="C1801">
        <v>2400</v>
      </c>
      <c r="D1801">
        <v>0</v>
      </c>
      <c r="E1801">
        <v>0</v>
      </c>
      <c r="F1801">
        <v>2400</v>
      </c>
      <c r="G1801">
        <v>1389.4251709</v>
      </c>
      <c r="H1801">
        <v>1373.6102295000001</v>
      </c>
      <c r="I1801">
        <v>1288.9729004000001</v>
      </c>
      <c r="J1801">
        <v>1269.9309082</v>
      </c>
      <c r="K1801">
        <v>80</v>
      </c>
      <c r="L1801">
        <v>76.013870238999999</v>
      </c>
      <c r="M1801">
        <v>50</v>
      </c>
      <c r="N1801">
        <v>49.852241515999999</v>
      </c>
    </row>
    <row r="1802" spans="1:14" x14ac:dyDescent="0.25">
      <c r="A1802">
        <v>1462.065411</v>
      </c>
      <c r="B1802" s="1">
        <f>DATE(2014,5,2) + TIME(1,34,11)</f>
        <v>41761.065405092595</v>
      </c>
      <c r="C1802">
        <v>2400</v>
      </c>
      <c r="D1802">
        <v>0</v>
      </c>
      <c r="E1802">
        <v>0</v>
      </c>
      <c r="F1802">
        <v>2400</v>
      </c>
      <c r="G1802">
        <v>1389.3040771000001</v>
      </c>
      <c r="H1802">
        <v>1373.5510254000001</v>
      </c>
      <c r="I1802">
        <v>1288.9720459</v>
      </c>
      <c r="J1802">
        <v>1269.9295654</v>
      </c>
      <c r="K1802">
        <v>80</v>
      </c>
      <c r="L1802">
        <v>76.336029053000004</v>
      </c>
      <c r="M1802">
        <v>50</v>
      </c>
      <c r="N1802">
        <v>49.846427917</v>
      </c>
    </row>
    <row r="1803" spans="1:14" x14ac:dyDescent="0.25">
      <c r="A1803">
        <v>1462.1298220000001</v>
      </c>
      <c r="B1803" s="1">
        <f>DATE(2014,5,2) + TIME(3,6,56)</f>
        <v>41761.129814814813</v>
      </c>
      <c r="C1803">
        <v>2400</v>
      </c>
      <c r="D1803">
        <v>0</v>
      </c>
      <c r="E1803">
        <v>0</v>
      </c>
      <c r="F1803">
        <v>2400</v>
      </c>
      <c r="G1803">
        <v>1389.1850586</v>
      </c>
      <c r="H1803">
        <v>1373.4916992000001</v>
      </c>
      <c r="I1803">
        <v>1288.9710693</v>
      </c>
      <c r="J1803">
        <v>1269.9281006000001</v>
      </c>
      <c r="K1803">
        <v>80</v>
      </c>
      <c r="L1803">
        <v>76.646293639999996</v>
      </c>
      <c r="M1803">
        <v>50</v>
      </c>
      <c r="N1803">
        <v>49.840373993</v>
      </c>
    </row>
    <row r="1804" spans="1:14" x14ac:dyDescent="0.25">
      <c r="A1804">
        <v>1462.1978919999999</v>
      </c>
      <c r="B1804" s="1">
        <f>DATE(2014,5,2) + TIME(4,44,57)</f>
        <v>41761.197881944441</v>
      </c>
      <c r="C1804">
        <v>2400</v>
      </c>
      <c r="D1804">
        <v>0</v>
      </c>
      <c r="E1804">
        <v>0</v>
      </c>
      <c r="F1804">
        <v>2400</v>
      </c>
      <c r="G1804">
        <v>1389.0678711</v>
      </c>
      <c r="H1804">
        <v>1373.4321289</v>
      </c>
      <c r="I1804">
        <v>1288.9700928</v>
      </c>
      <c r="J1804">
        <v>1269.9266356999999</v>
      </c>
      <c r="K1804">
        <v>80</v>
      </c>
      <c r="L1804">
        <v>76.944511414000004</v>
      </c>
      <c r="M1804">
        <v>50</v>
      </c>
      <c r="N1804">
        <v>49.834053040000001</v>
      </c>
    </row>
    <row r="1805" spans="1:14" x14ac:dyDescent="0.25">
      <c r="A1805">
        <v>1462.2700600000001</v>
      </c>
      <c r="B1805" s="1">
        <f>DATE(2014,5,2) + TIME(6,28,53)</f>
        <v>41761.270057870373</v>
      </c>
      <c r="C1805">
        <v>2400</v>
      </c>
      <c r="D1805">
        <v>0</v>
      </c>
      <c r="E1805">
        <v>0</v>
      </c>
      <c r="F1805">
        <v>2400</v>
      </c>
      <c r="G1805">
        <v>1388.9522704999999</v>
      </c>
      <c r="H1805">
        <v>1373.3720702999999</v>
      </c>
      <c r="I1805">
        <v>1288.9689940999999</v>
      </c>
      <c r="J1805">
        <v>1269.9249268000001</v>
      </c>
      <c r="K1805">
        <v>80</v>
      </c>
      <c r="L1805">
        <v>77.230484008999994</v>
      </c>
      <c r="M1805">
        <v>50</v>
      </c>
      <c r="N1805">
        <v>49.827434539999999</v>
      </c>
    </row>
    <row r="1806" spans="1:14" x14ac:dyDescent="0.25">
      <c r="A1806">
        <v>1462.3468359999999</v>
      </c>
      <c r="B1806" s="1">
        <f>DATE(2014,5,2) + TIME(8,19,26)</f>
        <v>41761.346828703703</v>
      </c>
      <c r="C1806">
        <v>2400</v>
      </c>
      <c r="D1806">
        <v>0</v>
      </c>
      <c r="E1806">
        <v>0</v>
      </c>
      <c r="F1806">
        <v>2400</v>
      </c>
      <c r="G1806">
        <v>1388.8381348</v>
      </c>
      <c r="H1806">
        <v>1373.3114014</v>
      </c>
      <c r="I1806">
        <v>1288.9678954999999</v>
      </c>
      <c r="J1806">
        <v>1269.9232178</v>
      </c>
      <c r="K1806">
        <v>80</v>
      </c>
      <c r="L1806">
        <v>77.503990173000005</v>
      </c>
      <c r="M1806">
        <v>50</v>
      </c>
      <c r="N1806">
        <v>49.820484161000003</v>
      </c>
    </row>
    <row r="1807" spans="1:14" x14ac:dyDescent="0.25">
      <c r="A1807">
        <v>1462.4288409999999</v>
      </c>
      <c r="B1807" s="1">
        <f>DATE(2014,5,2) + TIME(10,17,31)</f>
        <v>41761.428831018522</v>
      </c>
      <c r="C1807">
        <v>2400</v>
      </c>
      <c r="D1807">
        <v>0</v>
      </c>
      <c r="E1807">
        <v>0</v>
      </c>
      <c r="F1807">
        <v>2400</v>
      </c>
      <c r="G1807">
        <v>1388.7250977000001</v>
      </c>
      <c r="H1807">
        <v>1373.2498779</v>
      </c>
      <c r="I1807">
        <v>1288.9666748</v>
      </c>
      <c r="J1807">
        <v>1269.9213867000001</v>
      </c>
      <c r="K1807">
        <v>80</v>
      </c>
      <c r="L1807">
        <v>77.764816284000005</v>
      </c>
      <c r="M1807">
        <v>50</v>
      </c>
      <c r="N1807">
        <v>49.813156128000003</v>
      </c>
    </row>
    <row r="1808" spans="1:14" x14ac:dyDescent="0.25">
      <c r="A1808">
        <v>1462.516838</v>
      </c>
      <c r="B1808" s="1">
        <f>DATE(2014,5,2) + TIME(12,24,14)</f>
        <v>41761.516828703701</v>
      </c>
      <c r="C1808">
        <v>2400</v>
      </c>
      <c r="D1808">
        <v>0</v>
      </c>
      <c r="E1808">
        <v>0</v>
      </c>
      <c r="F1808">
        <v>2400</v>
      </c>
      <c r="G1808">
        <v>1388.6129149999999</v>
      </c>
      <c r="H1808">
        <v>1373.1872559000001</v>
      </c>
      <c r="I1808">
        <v>1288.9654541</v>
      </c>
      <c r="J1808">
        <v>1269.9194336</v>
      </c>
      <c r="K1808">
        <v>80</v>
      </c>
      <c r="L1808">
        <v>78.012756347999996</v>
      </c>
      <c r="M1808">
        <v>50</v>
      </c>
      <c r="N1808">
        <v>49.805393219000003</v>
      </c>
    </row>
    <row r="1809" spans="1:14" x14ac:dyDescent="0.25">
      <c r="A1809">
        <v>1462.61175</v>
      </c>
      <c r="B1809" s="1">
        <f>DATE(2014,5,2) + TIME(14,40,55)</f>
        <v>41761.611747685187</v>
      </c>
      <c r="C1809">
        <v>2400</v>
      </c>
      <c r="D1809">
        <v>0</v>
      </c>
      <c r="E1809">
        <v>0</v>
      </c>
      <c r="F1809">
        <v>2400</v>
      </c>
      <c r="G1809">
        <v>1388.5010986</v>
      </c>
      <c r="H1809">
        <v>1373.1232910000001</v>
      </c>
      <c r="I1809">
        <v>1288.9639893000001</v>
      </c>
      <c r="J1809">
        <v>1269.9172363</v>
      </c>
      <c r="K1809">
        <v>80</v>
      </c>
      <c r="L1809">
        <v>78.247558593999997</v>
      </c>
      <c r="M1809">
        <v>50</v>
      </c>
      <c r="N1809">
        <v>49.797142029</v>
      </c>
    </row>
    <row r="1810" spans="1:14" x14ac:dyDescent="0.25">
      <c r="A1810">
        <v>1462.7147259999999</v>
      </c>
      <c r="B1810" s="1">
        <f>DATE(2014,5,2) + TIME(17,9,12)</f>
        <v>41761.714722222219</v>
      </c>
      <c r="C1810">
        <v>2400</v>
      </c>
      <c r="D1810">
        <v>0</v>
      </c>
      <c r="E1810">
        <v>0</v>
      </c>
      <c r="F1810">
        <v>2400</v>
      </c>
      <c r="G1810">
        <v>1388.3896483999999</v>
      </c>
      <c r="H1810">
        <v>1373.0578613</v>
      </c>
      <c r="I1810">
        <v>1288.9625243999999</v>
      </c>
      <c r="J1810">
        <v>1269.9150391000001</v>
      </c>
      <c r="K1810">
        <v>80</v>
      </c>
      <c r="L1810">
        <v>78.468933105000005</v>
      </c>
      <c r="M1810">
        <v>50</v>
      </c>
      <c r="N1810">
        <v>49.788314819</v>
      </c>
    </row>
    <row r="1811" spans="1:14" x14ac:dyDescent="0.25">
      <c r="A1811">
        <v>1462.8272260000001</v>
      </c>
      <c r="B1811" s="1">
        <f>DATE(2014,5,2) + TIME(19,51,12)</f>
        <v>41761.827222222222</v>
      </c>
      <c r="C1811">
        <v>2400</v>
      </c>
      <c r="D1811">
        <v>0</v>
      </c>
      <c r="E1811">
        <v>0</v>
      </c>
      <c r="F1811">
        <v>2400</v>
      </c>
      <c r="G1811">
        <v>1388.277832</v>
      </c>
      <c r="H1811">
        <v>1372.9903564000001</v>
      </c>
      <c r="I1811">
        <v>1288.9609375</v>
      </c>
      <c r="J1811">
        <v>1269.9125977000001</v>
      </c>
      <c r="K1811">
        <v>80</v>
      </c>
      <c r="L1811">
        <v>78.676597595000004</v>
      </c>
      <c r="M1811">
        <v>50</v>
      </c>
      <c r="N1811">
        <v>49.778816223</v>
      </c>
    </row>
    <row r="1812" spans="1:14" x14ac:dyDescent="0.25">
      <c r="A1812">
        <v>1462.9441079999999</v>
      </c>
      <c r="B1812" s="1">
        <f>DATE(2014,5,2) + TIME(22,39,30)</f>
        <v>41761.944097222222</v>
      </c>
      <c r="C1812">
        <v>2400</v>
      </c>
      <c r="D1812">
        <v>0</v>
      </c>
      <c r="E1812">
        <v>0</v>
      </c>
      <c r="F1812">
        <v>2400</v>
      </c>
      <c r="G1812">
        <v>1388.1701660000001</v>
      </c>
      <c r="H1812">
        <v>1372.9230957</v>
      </c>
      <c r="I1812">
        <v>1288.9589844</v>
      </c>
      <c r="J1812">
        <v>1269.9099120999999</v>
      </c>
      <c r="K1812">
        <v>80</v>
      </c>
      <c r="L1812">
        <v>78.860855103000006</v>
      </c>
      <c r="M1812">
        <v>50</v>
      </c>
      <c r="N1812">
        <v>49.769039153999998</v>
      </c>
    </row>
    <row r="1813" spans="1:14" x14ac:dyDescent="0.25">
      <c r="A1813">
        <v>1463.061629</v>
      </c>
      <c r="B1813" s="1">
        <f>DATE(2014,5,3) + TIME(1,28,44)</f>
        <v>41762.061620370368</v>
      </c>
      <c r="C1813">
        <v>2400</v>
      </c>
      <c r="D1813">
        <v>0</v>
      </c>
      <c r="E1813">
        <v>0</v>
      </c>
      <c r="F1813">
        <v>2400</v>
      </c>
      <c r="G1813">
        <v>1388.0692139</v>
      </c>
      <c r="H1813">
        <v>1372.8579102000001</v>
      </c>
      <c r="I1813">
        <v>1288.9570312000001</v>
      </c>
      <c r="J1813">
        <v>1269.9071045000001</v>
      </c>
      <c r="K1813">
        <v>80</v>
      </c>
      <c r="L1813">
        <v>79.018974303999997</v>
      </c>
      <c r="M1813">
        <v>50</v>
      </c>
      <c r="N1813">
        <v>49.759254456000001</v>
      </c>
    </row>
    <row r="1814" spans="1:14" x14ac:dyDescent="0.25">
      <c r="A1814">
        <v>1463.1803950000001</v>
      </c>
      <c r="B1814" s="1">
        <f>DATE(2014,5,3) + TIME(4,19,46)</f>
        <v>41762.180393518516</v>
      </c>
      <c r="C1814">
        <v>2400</v>
      </c>
      <c r="D1814">
        <v>0</v>
      </c>
      <c r="E1814">
        <v>0</v>
      </c>
      <c r="F1814">
        <v>2400</v>
      </c>
      <c r="G1814">
        <v>1387.9742432</v>
      </c>
      <c r="H1814">
        <v>1372.7951660000001</v>
      </c>
      <c r="I1814">
        <v>1288.9550781</v>
      </c>
      <c r="J1814">
        <v>1269.9044189000001</v>
      </c>
      <c r="K1814">
        <v>80</v>
      </c>
      <c r="L1814">
        <v>79.155158997000001</v>
      </c>
      <c r="M1814">
        <v>50</v>
      </c>
      <c r="N1814">
        <v>49.749416351000001</v>
      </c>
    </row>
    <row r="1815" spans="1:14" x14ac:dyDescent="0.25">
      <c r="A1815">
        <v>1463.300512</v>
      </c>
      <c r="B1815" s="1">
        <f>DATE(2014,5,3) + TIME(7,12,44)</f>
        <v>41762.300509259258</v>
      </c>
      <c r="C1815">
        <v>2400</v>
      </c>
      <c r="D1815">
        <v>0</v>
      </c>
      <c r="E1815">
        <v>0</v>
      </c>
      <c r="F1815">
        <v>2400</v>
      </c>
      <c r="G1815">
        <v>1387.8843993999999</v>
      </c>
      <c r="H1815">
        <v>1372.7344971</v>
      </c>
      <c r="I1815">
        <v>1288.9530029</v>
      </c>
      <c r="J1815">
        <v>1269.9016113</v>
      </c>
      <c r="K1815">
        <v>80</v>
      </c>
      <c r="L1815">
        <v>79.272361755000006</v>
      </c>
      <c r="M1815">
        <v>50</v>
      </c>
      <c r="N1815">
        <v>49.739513397000003</v>
      </c>
    </row>
    <row r="1816" spans="1:14" x14ac:dyDescent="0.25">
      <c r="A1816">
        <v>1463.4221090000001</v>
      </c>
      <c r="B1816" s="1">
        <f>DATE(2014,5,3) + TIME(10,7,50)</f>
        <v>41762.422106481485</v>
      </c>
      <c r="C1816">
        <v>2400</v>
      </c>
      <c r="D1816">
        <v>0</v>
      </c>
      <c r="E1816">
        <v>0</v>
      </c>
      <c r="F1816">
        <v>2400</v>
      </c>
      <c r="G1816">
        <v>1387.7990723</v>
      </c>
      <c r="H1816">
        <v>1372.6757812000001</v>
      </c>
      <c r="I1816">
        <v>1288.9510498</v>
      </c>
      <c r="J1816">
        <v>1269.8986815999999</v>
      </c>
      <c r="K1816">
        <v>80</v>
      </c>
      <c r="L1816">
        <v>79.373153686999999</v>
      </c>
      <c r="M1816">
        <v>50</v>
      </c>
      <c r="N1816">
        <v>49.729545592999997</v>
      </c>
    </row>
    <row r="1817" spans="1:14" x14ac:dyDescent="0.25">
      <c r="A1817">
        <v>1463.5455589999999</v>
      </c>
      <c r="B1817" s="1">
        <f>DATE(2014,5,3) + TIME(13,5,36)</f>
        <v>41762.545555555553</v>
      </c>
      <c r="C1817">
        <v>2400</v>
      </c>
      <c r="D1817">
        <v>0</v>
      </c>
      <c r="E1817">
        <v>0</v>
      </c>
      <c r="F1817">
        <v>2400</v>
      </c>
      <c r="G1817">
        <v>1387.7177733999999</v>
      </c>
      <c r="H1817">
        <v>1372.6187743999999</v>
      </c>
      <c r="I1817">
        <v>1288.9489745999999</v>
      </c>
      <c r="J1817">
        <v>1269.895874</v>
      </c>
      <c r="K1817">
        <v>80</v>
      </c>
      <c r="L1817">
        <v>79.459907532000003</v>
      </c>
      <c r="M1817">
        <v>50</v>
      </c>
      <c r="N1817">
        <v>49.719478606999999</v>
      </c>
    </row>
    <row r="1818" spans="1:14" x14ac:dyDescent="0.25">
      <c r="A1818">
        <v>1463.6711339999999</v>
      </c>
      <c r="B1818" s="1">
        <f>DATE(2014,5,3) + TIME(16,6,26)</f>
        <v>41762.671134259261</v>
      </c>
      <c r="C1818">
        <v>2400</v>
      </c>
      <c r="D1818">
        <v>0</v>
      </c>
      <c r="E1818">
        <v>0</v>
      </c>
      <c r="F1818">
        <v>2400</v>
      </c>
      <c r="G1818">
        <v>1387.6398925999999</v>
      </c>
      <c r="H1818">
        <v>1372.5631103999999</v>
      </c>
      <c r="I1818">
        <v>1288.9467772999999</v>
      </c>
      <c r="J1818">
        <v>1269.8929443</v>
      </c>
      <c r="K1818">
        <v>80</v>
      </c>
      <c r="L1818">
        <v>79.534545898000005</v>
      </c>
      <c r="M1818">
        <v>50</v>
      </c>
      <c r="N1818">
        <v>49.70929718</v>
      </c>
    </row>
    <row r="1819" spans="1:14" x14ac:dyDescent="0.25">
      <c r="A1819">
        <v>1463.799166</v>
      </c>
      <c r="B1819" s="1">
        <f>DATE(2014,5,3) + TIME(19,10,47)</f>
        <v>41762.799155092594</v>
      </c>
      <c r="C1819">
        <v>2400</v>
      </c>
      <c r="D1819">
        <v>0</v>
      </c>
      <c r="E1819">
        <v>0</v>
      </c>
      <c r="F1819">
        <v>2400</v>
      </c>
      <c r="G1819">
        <v>1387.5648193</v>
      </c>
      <c r="H1819">
        <v>1372.5087891000001</v>
      </c>
      <c r="I1819">
        <v>1288.9447021000001</v>
      </c>
      <c r="J1819">
        <v>1269.8898925999999</v>
      </c>
      <c r="K1819">
        <v>80</v>
      </c>
      <c r="L1819">
        <v>79.598739624000004</v>
      </c>
      <c r="M1819">
        <v>50</v>
      </c>
      <c r="N1819">
        <v>49.698974608999997</v>
      </c>
    </row>
    <row r="1820" spans="1:14" x14ac:dyDescent="0.25">
      <c r="A1820">
        <v>1463.929995</v>
      </c>
      <c r="B1820" s="1">
        <f>DATE(2014,5,3) + TIME(22,19,11)</f>
        <v>41762.929988425924</v>
      </c>
      <c r="C1820">
        <v>2400</v>
      </c>
      <c r="D1820">
        <v>0</v>
      </c>
      <c r="E1820">
        <v>0</v>
      </c>
      <c r="F1820">
        <v>2400</v>
      </c>
      <c r="G1820">
        <v>1387.4923096</v>
      </c>
      <c r="H1820">
        <v>1372.4555664</v>
      </c>
      <c r="I1820">
        <v>1288.9425048999999</v>
      </c>
      <c r="J1820">
        <v>1269.8868408000001</v>
      </c>
      <c r="K1820">
        <v>80</v>
      </c>
      <c r="L1820">
        <v>79.653892517000003</v>
      </c>
      <c r="M1820">
        <v>50</v>
      </c>
      <c r="N1820">
        <v>49.688491821</v>
      </c>
    </row>
    <row r="1821" spans="1:14" x14ac:dyDescent="0.25">
      <c r="A1821">
        <v>1464.0639819999999</v>
      </c>
      <c r="B1821" s="1">
        <f>DATE(2014,5,4) + TIME(1,32,8)</f>
        <v>41763.063981481479</v>
      </c>
      <c r="C1821">
        <v>2400</v>
      </c>
      <c r="D1821">
        <v>0</v>
      </c>
      <c r="E1821">
        <v>0</v>
      </c>
      <c r="F1821">
        <v>2400</v>
      </c>
      <c r="G1821">
        <v>1387.4219971</v>
      </c>
      <c r="H1821">
        <v>1372.4031981999999</v>
      </c>
      <c r="I1821">
        <v>1288.9401855000001</v>
      </c>
      <c r="J1821">
        <v>1269.8837891000001</v>
      </c>
      <c r="K1821">
        <v>80</v>
      </c>
      <c r="L1821">
        <v>79.701225281000006</v>
      </c>
      <c r="M1821">
        <v>50</v>
      </c>
      <c r="N1821">
        <v>49.677818297999998</v>
      </c>
    </row>
    <row r="1822" spans="1:14" x14ac:dyDescent="0.25">
      <c r="A1822">
        <v>1464.2015100000001</v>
      </c>
      <c r="B1822" s="1">
        <f>DATE(2014,5,4) + TIME(4,50,10)</f>
        <v>41763.201504629629</v>
      </c>
      <c r="C1822">
        <v>2400</v>
      </c>
      <c r="D1822">
        <v>0</v>
      </c>
      <c r="E1822">
        <v>0</v>
      </c>
      <c r="F1822">
        <v>2400</v>
      </c>
      <c r="G1822">
        <v>1387.3535156</v>
      </c>
      <c r="H1822">
        <v>1372.3516846</v>
      </c>
      <c r="I1822">
        <v>1288.9379882999999</v>
      </c>
      <c r="J1822">
        <v>1269.8806152</v>
      </c>
      <c r="K1822">
        <v>80</v>
      </c>
      <c r="L1822">
        <v>79.741790770999998</v>
      </c>
      <c r="M1822">
        <v>50</v>
      </c>
      <c r="N1822">
        <v>49.666927338000001</v>
      </c>
    </row>
    <row r="1823" spans="1:14" x14ac:dyDescent="0.25">
      <c r="A1823">
        <v>1464.3429960000001</v>
      </c>
      <c r="B1823" s="1">
        <f>DATE(2014,5,4) + TIME(8,13,54)</f>
        <v>41763.342986111114</v>
      </c>
      <c r="C1823">
        <v>2400</v>
      </c>
      <c r="D1823">
        <v>0</v>
      </c>
      <c r="E1823">
        <v>0</v>
      </c>
      <c r="F1823">
        <v>2400</v>
      </c>
      <c r="G1823">
        <v>1387.2866211</v>
      </c>
      <c r="H1823">
        <v>1372.3007812000001</v>
      </c>
      <c r="I1823">
        <v>1288.9355469</v>
      </c>
      <c r="J1823">
        <v>1269.8773193</v>
      </c>
      <c r="K1823">
        <v>80</v>
      </c>
      <c r="L1823">
        <v>79.776481627999999</v>
      </c>
      <c r="M1823">
        <v>50</v>
      </c>
      <c r="N1823">
        <v>49.655799866000002</v>
      </c>
    </row>
    <row r="1824" spans="1:14" x14ac:dyDescent="0.25">
      <c r="A1824">
        <v>1464.488893</v>
      </c>
      <c r="B1824" s="1">
        <f>DATE(2014,5,4) + TIME(11,44,0)</f>
        <v>41763.488888888889</v>
      </c>
      <c r="C1824">
        <v>2400</v>
      </c>
      <c r="D1824">
        <v>0</v>
      </c>
      <c r="E1824">
        <v>0</v>
      </c>
      <c r="F1824">
        <v>2400</v>
      </c>
      <c r="G1824">
        <v>1387.2208252</v>
      </c>
      <c r="H1824">
        <v>1372.2502440999999</v>
      </c>
      <c r="I1824">
        <v>1288.9331055</v>
      </c>
      <c r="J1824">
        <v>1269.8739014</v>
      </c>
      <c r="K1824">
        <v>80</v>
      </c>
      <c r="L1824">
        <v>79.806076050000001</v>
      </c>
      <c r="M1824">
        <v>50</v>
      </c>
      <c r="N1824">
        <v>49.644393921000002</v>
      </c>
    </row>
    <row r="1825" spans="1:14" x14ac:dyDescent="0.25">
      <c r="A1825">
        <v>1464.6397030000001</v>
      </c>
      <c r="B1825" s="1">
        <f>DATE(2014,5,4) + TIME(15,21,10)</f>
        <v>41763.639699074076</v>
      </c>
      <c r="C1825">
        <v>2400</v>
      </c>
      <c r="D1825">
        <v>0</v>
      </c>
      <c r="E1825">
        <v>0</v>
      </c>
      <c r="F1825">
        <v>2400</v>
      </c>
      <c r="G1825">
        <v>1387.1561279</v>
      </c>
      <c r="H1825">
        <v>1372.2001952999999</v>
      </c>
      <c r="I1825">
        <v>1288.9305420000001</v>
      </c>
      <c r="J1825">
        <v>1269.8704834</v>
      </c>
      <c r="K1825">
        <v>80</v>
      </c>
      <c r="L1825">
        <v>79.831260681000003</v>
      </c>
      <c r="M1825">
        <v>50</v>
      </c>
      <c r="N1825">
        <v>49.632686614999997</v>
      </c>
    </row>
    <row r="1826" spans="1:14" x14ac:dyDescent="0.25">
      <c r="A1826">
        <v>1464.7959840000001</v>
      </c>
      <c r="B1826" s="1">
        <f>DATE(2014,5,4) + TIME(19,6,13)</f>
        <v>41763.795983796299</v>
      </c>
      <c r="C1826">
        <v>2400</v>
      </c>
      <c r="D1826">
        <v>0</v>
      </c>
      <c r="E1826">
        <v>0</v>
      </c>
      <c r="F1826">
        <v>2400</v>
      </c>
      <c r="G1826">
        <v>1387.0921631000001</v>
      </c>
      <c r="H1826">
        <v>1372.1502685999999</v>
      </c>
      <c r="I1826">
        <v>1288.9279785000001</v>
      </c>
      <c r="J1826">
        <v>1269.8668213000001</v>
      </c>
      <c r="K1826">
        <v>80</v>
      </c>
      <c r="L1826">
        <v>79.852630614999995</v>
      </c>
      <c r="M1826">
        <v>50</v>
      </c>
      <c r="N1826">
        <v>49.620635986000003</v>
      </c>
    </row>
    <row r="1827" spans="1:14" x14ac:dyDescent="0.25">
      <c r="A1827">
        <v>1464.9584600000001</v>
      </c>
      <c r="B1827" s="1">
        <f>DATE(2014,5,4) + TIME(23,0,10)</f>
        <v>41763.958449074074</v>
      </c>
      <c r="C1827">
        <v>2400</v>
      </c>
      <c r="D1827">
        <v>0</v>
      </c>
      <c r="E1827">
        <v>0</v>
      </c>
      <c r="F1827">
        <v>2400</v>
      </c>
      <c r="G1827">
        <v>1387.0288086</v>
      </c>
      <c r="H1827">
        <v>1372.1004639</v>
      </c>
      <c r="I1827">
        <v>1288.925293</v>
      </c>
      <c r="J1827">
        <v>1269.8630370999999</v>
      </c>
      <c r="K1827">
        <v>80</v>
      </c>
      <c r="L1827">
        <v>79.870704650999997</v>
      </c>
      <c r="M1827">
        <v>50</v>
      </c>
      <c r="N1827">
        <v>49.608196259000003</v>
      </c>
    </row>
    <row r="1828" spans="1:14" x14ac:dyDescent="0.25">
      <c r="A1828">
        <v>1465.1277729999999</v>
      </c>
      <c r="B1828" s="1">
        <f>DATE(2014,5,5) + TIME(3,3,59)</f>
        <v>41764.127766203703</v>
      </c>
      <c r="C1828">
        <v>2400</v>
      </c>
      <c r="D1828">
        <v>0</v>
      </c>
      <c r="E1828">
        <v>0</v>
      </c>
      <c r="F1828">
        <v>2400</v>
      </c>
      <c r="G1828">
        <v>1386.9655762</v>
      </c>
      <c r="H1828">
        <v>1372.0505370999999</v>
      </c>
      <c r="I1828">
        <v>1288.9223632999999</v>
      </c>
      <c r="J1828">
        <v>1269.8591309000001</v>
      </c>
      <c r="K1828">
        <v>80</v>
      </c>
      <c r="L1828">
        <v>79.885925293</v>
      </c>
      <c r="M1828">
        <v>50</v>
      </c>
      <c r="N1828">
        <v>49.595325469999999</v>
      </c>
    </row>
    <row r="1829" spans="1:14" x14ac:dyDescent="0.25">
      <c r="A1829">
        <v>1465.304727</v>
      </c>
      <c r="B1829" s="1">
        <f>DATE(2014,5,5) + TIME(7,18,48)</f>
        <v>41764.304722222223</v>
      </c>
      <c r="C1829">
        <v>2400</v>
      </c>
      <c r="D1829">
        <v>0</v>
      </c>
      <c r="E1829">
        <v>0</v>
      </c>
      <c r="F1829">
        <v>2400</v>
      </c>
      <c r="G1829">
        <v>1386.9024658000001</v>
      </c>
      <c r="H1829">
        <v>1372.0004882999999</v>
      </c>
      <c r="I1829">
        <v>1288.9194336</v>
      </c>
      <c r="J1829">
        <v>1269.8551024999999</v>
      </c>
      <c r="K1829">
        <v>80</v>
      </c>
      <c r="L1829">
        <v>79.898681640999996</v>
      </c>
      <c r="M1829">
        <v>50</v>
      </c>
      <c r="N1829">
        <v>49.581974029999998</v>
      </c>
    </row>
    <row r="1830" spans="1:14" x14ac:dyDescent="0.25">
      <c r="A1830">
        <v>1465.489061</v>
      </c>
      <c r="B1830" s="1">
        <f>DATE(2014,5,5) + TIME(11,44,14)</f>
        <v>41764.489050925928</v>
      </c>
      <c r="C1830">
        <v>2400</v>
      </c>
      <c r="D1830">
        <v>0</v>
      </c>
      <c r="E1830">
        <v>0</v>
      </c>
      <c r="F1830">
        <v>2400</v>
      </c>
      <c r="G1830">
        <v>1386.8391113</v>
      </c>
      <c r="H1830">
        <v>1371.9500731999999</v>
      </c>
      <c r="I1830">
        <v>1288.9163818</v>
      </c>
      <c r="J1830">
        <v>1269.8508300999999</v>
      </c>
      <c r="K1830">
        <v>80</v>
      </c>
      <c r="L1830">
        <v>79.909278869999994</v>
      </c>
      <c r="M1830">
        <v>50</v>
      </c>
      <c r="N1830">
        <v>49.568157196000001</v>
      </c>
    </row>
    <row r="1831" spans="1:14" x14ac:dyDescent="0.25">
      <c r="A1831">
        <v>1465.680243</v>
      </c>
      <c r="B1831" s="1">
        <f>DATE(2014,5,5) + TIME(16,19,32)</f>
        <v>41764.680231481485</v>
      </c>
      <c r="C1831">
        <v>2400</v>
      </c>
      <c r="D1831">
        <v>0</v>
      </c>
      <c r="E1831">
        <v>0</v>
      </c>
      <c r="F1831">
        <v>2400</v>
      </c>
      <c r="G1831">
        <v>1386.7758789</v>
      </c>
      <c r="H1831">
        <v>1371.8994141000001</v>
      </c>
      <c r="I1831">
        <v>1288.9130858999999</v>
      </c>
      <c r="J1831">
        <v>1269.8464355000001</v>
      </c>
      <c r="K1831">
        <v>80</v>
      </c>
      <c r="L1831">
        <v>79.917991638000004</v>
      </c>
      <c r="M1831">
        <v>50</v>
      </c>
      <c r="N1831">
        <v>49.553905487000002</v>
      </c>
    </row>
    <row r="1832" spans="1:14" x14ac:dyDescent="0.25">
      <c r="A1832">
        <v>1465.879128</v>
      </c>
      <c r="B1832" s="1">
        <f>DATE(2014,5,5) + TIME(21,5,56)</f>
        <v>41764.879120370373</v>
      </c>
      <c r="C1832">
        <v>2400</v>
      </c>
      <c r="D1832">
        <v>0</v>
      </c>
      <c r="E1832">
        <v>0</v>
      </c>
      <c r="F1832">
        <v>2400</v>
      </c>
      <c r="G1832">
        <v>1386.7127685999999</v>
      </c>
      <c r="H1832">
        <v>1371.8488769999999</v>
      </c>
      <c r="I1832">
        <v>1288.909668</v>
      </c>
      <c r="J1832">
        <v>1269.8417969</v>
      </c>
      <c r="K1832">
        <v>80</v>
      </c>
      <c r="L1832">
        <v>79.925125121999997</v>
      </c>
      <c r="M1832">
        <v>50</v>
      </c>
      <c r="N1832">
        <v>49.539173126000001</v>
      </c>
    </row>
    <row r="1833" spans="1:14" x14ac:dyDescent="0.25">
      <c r="A1833">
        <v>1466.0865699999999</v>
      </c>
      <c r="B1833" s="1">
        <f>DATE(2014,5,6) + TIME(2,4,39)</f>
        <v>41765.086562500001</v>
      </c>
      <c r="C1833">
        <v>2400</v>
      </c>
      <c r="D1833">
        <v>0</v>
      </c>
      <c r="E1833">
        <v>0</v>
      </c>
      <c r="F1833">
        <v>2400</v>
      </c>
      <c r="G1833">
        <v>1386.6496582</v>
      </c>
      <c r="H1833">
        <v>1371.7980957</v>
      </c>
      <c r="I1833">
        <v>1288.9061279</v>
      </c>
      <c r="J1833">
        <v>1269.8370361</v>
      </c>
      <c r="K1833">
        <v>80</v>
      </c>
      <c r="L1833">
        <v>79.930953978999995</v>
      </c>
      <c r="M1833">
        <v>50</v>
      </c>
      <c r="N1833">
        <v>49.523906707999998</v>
      </c>
    </row>
    <row r="1834" spans="1:14" x14ac:dyDescent="0.25">
      <c r="A1834">
        <v>1466.303459</v>
      </c>
      <c r="B1834" s="1">
        <f>DATE(2014,5,6) + TIME(7,16,58)</f>
        <v>41765.303449074076</v>
      </c>
      <c r="C1834">
        <v>2400</v>
      </c>
      <c r="D1834">
        <v>0</v>
      </c>
      <c r="E1834">
        <v>0</v>
      </c>
      <c r="F1834">
        <v>2400</v>
      </c>
      <c r="G1834">
        <v>1386.5861815999999</v>
      </c>
      <c r="H1834">
        <v>1371.7470702999999</v>
      </c>
      <c r="I1834">
        <v>1288.9024658000001</v>
      </c>
      <c r="J1834">
        <v>1269.8320312000001</v>
      </c>
      <c r="K1834">
        <v>80</v>
      </c>
      <c r="L1834">
        <v>79.935691833000007</v>
      </c>
      <c r="M1834">
        <v>50</v>
      </c>
      <c r="N1834">
        <v>49.508049010999997</v>
      </c>
    </row>
    <row r="1835" spans="1:14" x14ac:dyDescent="0.25">
      <c r="A1835">
        <v>1466.5309050000001</v>
      </c>
      <c r="B1835" s="1">
        <f>DATE(2014,5,6) + TIME(12,44,30)</f>
        <v>41765.530902777777</v>
      </c>
      <c r="C1835">
        <v>2400</v>
      </c>
      <c r="D1835">
        <v>0</v>
      </c>
      <c r="E1835">
        <v>0</v>
      </c>
      <c r="F1835">
        <v>2400</v>
      </c>
      <c r="G1835">
        <v>1386.5223389</v>
      </c>
      <c r="H1835">
        <v>1371.6956786999999</v>
      </c>
      <c r="I1835">
        <v>1288.8986815999999</v>
      </c>
      <c r="J1835">
        <v>1269.8267822</v>
      </c>
      <c r="K1835">
        <v>80</v>
      </c>
      <c r="L1835">
        <v>79.939529418999996</v>
      </c>
      <c r="M1835">
        <v>50</v>
      </c>
      <c r="N1835">
        <v>49.491542815999999</v>
      </c>
    </row>
    <row r="1836" spans="1:14" x14ac:dyDescent="0.25">
      <c r="A1836">
        <v>1466.7701930000001</v>
      </c>
      <c r="B1836" s="1">
        <f>DATE(2014,5,6) + TIME(18,29,4)</f>
        <v>41765.770185185182</v>
      </c>
      <c r="C1836">
        <v>2400</v>
      </c>
      <c r="D1836">
        <v>0</v>
      </c>
      <c r="E1836">
        <v>0</v>
      </c>
      <c r="F1836">
        <v>2400</v>
      </c>
      <c r="G1836">
        <v>1386.4577637</v>
      </c>
      <c r="H1836">
        <v>1371.6436768000001</v>
      </c>
      <c r="I1836">
        <v>1288.8946533000001</v>
      </c>
      <c r="J1836">
        <v>1269.8214111</v>
      </c>
      <c r="K1836">
        <v>80</v>
      </c>
      <c r="L1836">
        <v>79.942626953000001</v>
      </c>
      <c r="M1836">
        <v>50</v>
      </c>
      <c r="N1836">
        <v>49.474308014000002</v>
      </c>
    </row>
    <row r="1837" spans="1:14" x14ac:dyDescent="0.25">
      <c r="A1837">
        <v>1467.014338</v>
      </c>
      <c r="B1837" s="1">
        <f>DATE(2014,5,7) + TIME(0,20,38)</f>
        <v>41766.014328703706</v>
      </c>
      <c r="C1837">
        <v>2400</v>
      </c>
      <c r="D1837">
        <v>0</v>
      </c>
      <c r="E1837">
        <v>0</v>
      </c>
      <c r="F1837">
        <v>2400</v>
      </c>
      <c r="G1837">
        <v>1386.3923339999999</v>
      </c>
      <c r="H1837">
        <v>1371.5909423999999</v>
      </c>
      <c r="I1837">
        <v>1288.8902588000001</v>
      </c>
      <c r="J1837">
        <v>1269.8155518000001</v>
      </c>
      <c r="K1837">
        <v>80</v>
      </c>
      <c r="L1837">
        <v>79.945045471</v>
      </c>
      <c r="M1837">
        <v>50</v>
      </c>
      <c r="N1837">
        <v>49.456729889000002</v>
      </c>
    </row>
    <row r="1838" spans="1:14" x14ac:dyDescent="0.25">
      <c r="A1838">
        <v>1467.2604249999999</v>
      </c>
      <c r="B1838" s="1">
        <f>DATE(2014,5,7) + TIME(6,15,0)</f>
        <v>41766.260416666664</v>
      </c>
      <c r="C1838">
        <v>2400</v>
      </c>
      <c r="D1838">
        <v>0</v>
      </c>
      <c r="E1838">
        <v>0</v>
      </c>
      <c r="F1838">
        <v>2400</v>
      </c>
      <c r="G1838">
        <v>1386.3278809000001</v>
      </c>
      <c r="H1838">
        <v>1371.5390625</v>
      </c>
      <c r="I1838">
        <v>1288.8858643000001</v>
      </c>
      <c r="J1838">
        <v>1269.8096923999999</v>
      </c>
      <c r="K1838">
        <v>80</v>
      </c>
      <c r="L1838">
        <v>79.946929932000003</v>
      </c>
      <c r="M1838">
        <v>50</v>
      </c>
      <c r="N1838">
        <v>49.438991547000001</v>
      </c>
    </row>
    <row r="1839" spans="1:14" x14ac:dyDescent="0.25">
      <c r="A1839">
        <v>1467.509047</v>
      </c>
      <c r="B1839" s="1">
        <f>DATE(2014,5,7) + TIME(12,13,1)</f>
        <v>41766.509039351855</v>
      </c>
      <c r="C1839">
        <v>2400</v>
      </c>
      <c r="D1839">
        <v>0</v>
      </c>
      <c r="E1839">
        <v>0</v>
      </c>
      <c r="F1839">
        <v>2400</v>
      </c>
      <c r="G1839">
        <v>1386.2651367000001</v>
      </c>
      <c r="H1839">
        <v>1371.4885254000001</v>
      </c>
      <c r="I1839">
        <v>1288.8813477000001</v>
      </c>
      <c r="J1839">
        <v>1269.8038329999999</v>
      </c>
      <c r="K1839">
        <v>80</v>
      </c>
      <c r="L1839">
        <v>79.948394774999997</v>
      </c>
      <c r="M1839">
        <v>50</v>
      </c>
      <c r="N1839">
        <v>49.421077728</v>
      </c>
    </row>
    <row r="1840" spans="1:14" x14ac:dyDescent="0.25">
      <c r="A1840">
        <v>1467.7609789999999</v>
      </c>
      <c r="B1840" s="1">
        <f>DATE(2014,5,7) + TIME(18,15,48)</f>
        <v>41766.760972222219</v>
      </c>
      <c r="C1840">
        <v>2400</v>
      </c>
      <c r="D1840">
        <v>0</v>
      </c>
      <c r="E1840">
        <v>0</v>
      </c>
      <c r="F1840">
        <v>2400</v>
      </c>
      <c r="G1840">
        <v>1386.2038574000001</v>
      </c>
      <c r="H1840">
        <v>1371.4392089999999</v>
      </c>
      <c r="I1840">
        <v>1288.8769531</v>
      </c>
      <c r="J1840">
        <v>1269.7978516000001</v>
      </c>
      <c r="K1840">
        <v>80</v>
      </c>
      <c r="L1840">
        <v>79.949554442999997</v>
      </c>
      <c r="M1840">
        <v>50</v>
      </c>
      <c r="N1840">
        <v>49.402965545999997</v>
      </c>
    </row>
    <row r="1841" spans="1:14" x14ac:dyDescent="0.25">
      <c r="A1841">
        <v>1468.0169960000001</v>
      </c>
      <c r="B1841" s="1">
        <f>DATE(2014,5,8) + TIME(0,24,28)</f>
        <v>41767.01699074074</v>
      </c>
      <c r="C1841">
        <v>2400</v>
      </c>
      <c r="D1841">
        <v>0</v>
      </c>
      <c r="E1841">
        <v>0</v>
      </c>
      <c r="F1841">
        <v>2400</v>
      </c>
      <c r="G1841">
        <v>1386.1436768000001</v>
      </c>
      <c r="H1841">
        <v>1371.3908690999999</v>
      </c>
      <c r="I1841">
        <v>1288.8723144999999</v>
      </c>
      <c r="J1841">
        <v>1269.7917480000001</v>
      </c>
      <c r="K1841">
        <v>80</v>
      </c>
      <c r="L1841">
        <v>79.950469971000004</v>
      </c>
      <c r="M1841">
        <v>50</v>
      </c>
      <c r="N1841">
        <v>49.384620667</v>
      </c>
    </row>
    <row r="1842" spans="1:14" x14ac:dyDescent="0.25">
      <c r="A1842">
        <v>1468.277887</v>
      </c>
      <c r="B1842" s="1">
        <f>DATE(2014,5,8) + TIME(6,40,9)</f>
        <v>41767.277881944443</v>
      </c>
      <c r="C1842">
        <v>2400</v>
      </c>
      <c r="D1842">
        <v>0</v>
      </c>
      <c r="E1842">
        <v>0</v>
      </c>
      <c r="F1842">
        <v>2400</v>
      </c>
      <c r="G1842">
        <v>1386.0843506000001</v>
      </c>
      <c r="H1842">
        <v>1371.3432617000001</v>
      </c>
      <c r="I1842">
        <v>1288.8676757999999</v>
      </c>
      <c r="J1842">
        <v>1269.7855225000001</v>
      </c>
      <c r="K1842">
        <v>80</v>
      </c>
      <c r="L1842">
        <v>79.951194763000004</v>
      </c>
      <c r="M1842">
        <v>50</v>
      </c>
      <c r="N1842">
        <v>49.366016387999998</v>
      </c>
    </row>
    <row r="1843" spans="1:14" x14ac:dyDescent="0.25">
      <c r="A1843">
        <v>1468.5444789999999</v>
      </c>
      <c r="B1843" s="1">
        <f>DATE(2014,5,8) + TIME(13,4,2)</f>
        <v>41767.54446759259</v>
      </c>
      <c r="C1843">
        <v>2400</v>
      </c>
      <c r="D1843">
        <v>0</v>
      </c>
      <c r="E1843">
        <v>0</v>
      </c>
      <c r="F1843">
        <v>2400</v>
      </c>
      <c r="G1843">
        <v>1386.0257568</v>
      </c>
      <c r="H1843">
        <v>1371.2961425999999</v>
      </c>
      <c r="I1843">
        <v>1288.8630370999999</v>
      </c>
      <c r="J1843">
        <v>1269.7791748</v>
      </c>
      <c r="K1843">
        <v>80</v>
      </c>
      <c r="L1843">
        <v>79.951782226999995</v>
      </c>
      <c r="M1843">
        <v>50</v>
      </c>
      <c r="N1843">
        <v>49.347099303999997</v>
      </c>
    </row>
    <row r="1844" spans="1:14" x14ac:dyDescent="0.25">
      <c r="A1844">
        <v>1468.8176530000001</v>
      </c>
      <c r="B1844" s="1">
        <f>DATE(2014,5,8) + TIME(19,37,25)</f>
        <v>41767.817650462966</v>
      </c>
      <c r="C1844">
        <v>2400</v>
      </c>
      <c r="D1844">
        <v>0</v>
      </c>
      <c r="E1844">
        <v>0</v>
      </c>
      <c r="F1844">
        <v>2400</v>
      </c>
      <c r="G1844">
        <v>1385.9676514</v>
      </c>
      <c r="H1844">
        <v>1371.2496338000001</v>
      </c>
      <c r="I1844">
        <v>1288.8581543</v>
      </c>
      <c r="J1844">
        <v>1269.7727050999999</v>
      </c>
      <c r="K1844">
        <v>80</v>
      </c>
      <c r="L1844">
        <v>79.952255249000004</v>
      </c>
      <c r="M1844">
        <v>50</v>
      </c>
      <c r="N1844">
        <v>49.327827454000001</v>
      </c>
    </row>
    <row r="1845" spans="1:14" x14ac:dyDescent="0.25">
      <c r="A1845">
        <v>1469.0983590000001</v>
      </c>
      <c r="B1845" s="1">
        <f>DATE(2014,5,9) + TIME(2,21,38)</f>
        <v>41768.098356481481</v>
      </c>
      <c r="C1845">
        <v>2400</v>
      </c>
      <c r="D1845">
        <v>0</v>
      </c>
      <c r="E1845">
        <v>0</v>
      </c>
      <c r="F1845">
        <v>2400</v>
      </c>
      <c r="G1845">
        <v>1385.9097899999999</v>
      </c>
      <c r="H1845">
        <v>1371.2032471</v>
      </c>
      <c r="I1845">
        <v>1288.8532714999999</v>
      </c>
      <c r="J1845">
        <v>1269.7661132999999</v>
      </c>
      <c r="K1845">
        <v>80</v>
      </c>
      <c r="L1845">
        <v>79.952636718999997</v>
      </c>
      <c r="M1845">
        <v>50</v>
      </c>
      <c r="N1845">
        <v>49.308151244999998</v>
      </c>
    </row>
    <row r="1846" spans="1:14" x14ac:dyDescent="0.25">
      <c r="A1846">
        <v>1469.3877950000001</v>
      </c>
      <c r="B1846" s="1">
        <f>DATE(2014,5,9) + TIME(9,18,25)</f>
        <v>41768.387789351851</v>
      </c>
      <c r="C1846">
        <v>2400</v>
      </c>
      <c r="D1846">
        <v>0</v>
      </c>
      <c r="E1846">
        <v>0</v>
      </c>
      <c r="F1846">
        <v>2400</v>
      </c>
      <c r="G1846">
        <v>1385.8519286999999</v>
      </c>
      <c r="H1846">
        <v>1371.1571045000001</v>
      </c>
      <c r="I1846">
        <v>1288.8481445</v>
      </c>
      <c r="J1846">
        <v>1269.7592772999999</v>
      </c>
      <c r="K1846">
        <v>80</v>
      </c>
      <c r="L1846">
        <v>79.952949524000005</v>
      </c>
      <c r="M1846">
        <v>50</v>
      </c>
      <c r="N1846">
        <v>49.288005828999999</v>
      </c>
    </row>
    <row r="1847" spans="1:14" x14ac:dyDescent="0.25">
      <c r="A1847">
        <v>1469.6869369999999</v>
      </c>
      <c r="B1847" s="1">
        <f>DATE(2014,5,9) + TIME(16,29,11)</f>
        <v>41768.686932870369</v>
      </c>
      <c r="C1847">
        <v>2400</v>
      </c>
      <c r="D1847">
        <v>0</v>
      </c>
      <c r="E1847">
        <v>0</v>
      </c>
      <c r="F1847">
        <v>2400</v>
      </c>
      <c r="G1847">
        <v>1385.7940673999999</v>
      </c>
      <c r="H1847">
        <v>1371.1108397999999</v>
      </c>
      <c r="I1847">
        <v>1288.8428954999999</v>
      </c>
      <c r="J1847">
        <v>1269.7521973</v>
      </c>
      <c r="K1847">
        <v>80</v>
      </c>
      <c r="L1847">
        <v>79.953208923000005</v>
      </c>
      <c r="M1847">
        <v>50</v>
      </c>
      <c r="N1847">
        <v>49.267326355000002</v>
      </c>
    </row>
    <row r="1848" spans="1:14" x14ac:dyDescent="0.25">
      <c r="A1848">
        <v>1469.9921770000001</v>
      </c>
      <c r="B1848" s="1">
        <f>DATE(2014,5,9) + TIME(23,48,44)</f>
        <v>41768.992175925923</v>
      </c>
      <c r="C1848">
        <v>2400</v>
      </c>
      <c r="D1848">
        <v>0</v>
      </c>
      <c r="E1848">
        <v>0</v>
      </c>
      <c r="F1848">
        <v>2400</v>
      </c>
      <c r="G1848">
        <v>1385.7358397999999</v>
      </c>
      <c r="H1848">
        <v>1371.0643310999999</v>
      </c>
      <c r="I1848">
        <v>1288.8374022999999</v>
      </c>
      <c r="J1848">
        <v>1269.7449951000001</v>
      </c>
      <c r="K1848">
        <v>80</v>
      </c>
      <c r="L1848">
        <v>79.953414917000003</v>
      </c>
      <c r="M1848">
        <v>50</v>
      </c>
      <c r="N1848">
        <v>49.246299743999998</v>
      </c>
    </row>
    <row r="1849" spans="1:14" x14ac:dyDescent="0.25">
      <c r="A1849">
        <v>1470.3044150000001</v>
      </c>
      <c r="B1849" s="1">
        <f>DATE(2014,5,10) + TIME(7,18,21)</f>
        <v>41769.304409722223</v>
      </c>
      <c r="C1849">
        <v>2400</v>
      </c>
      <c r="D1849">
        <v>0</v>
      </c>
      <c r="E1849">
        <v>0</v>
      </c>
      <c r="F1849">
        <v>2400</v>
      </c>
      <c r="G1849">
        <v>1385.6781006000001</v>
      </c>
      <c r="H1849">
        <v>1371.0183105000001</v>
      </c>
      <c r="I1849">
        <v>1288.8319091999999</v>
      </c>
      <c r="J1849">
        <v>1269.7375488</v>
      </c>
      <c r="K1849">
        <v>80</v>
      </c>
      <c r="L1849">
        <v>79.953582764000004</v>
      </c>
      <c r="M1849">
        <v>50</v>
      </c>
      <c r="N1849">
        <v>49.224880218999999</v>
      </c>
    </row>
    <row r="1850" spans="1:14" x14ac:dyDescent="0.25">
      <c r="A1850">
        <v>1470.6245389999999</v>
      </c>
      <c r="B1850" s="1">
        <f>DATE(2014,5,10) + TIME(14,59,20)</f>
        <v>41769.624537037038</v>
      </c>
      <c r="C1850">
        <v>2400</v>
      </c>
      <c r="D1850">
        <v>0</v>
      </c>
      <c r="E1850">
        <v>0</v>
      </c>
      <c r="F1850">
        <v>2400</v>
      </c>
      <c r="G1850">
        <v>1385.6206055</v>
      </c>
      <c r="H1850">
        <v>1370.9726562000001</v>
      </c>
      <c r="I1850">
        <v>1288.8261719</v>
      </c>
      <c r="J1850">
        <v>1269.7298584</v>
      </c>
      <c r="K1850">
        <v>80</v>
      </c>
      <c r="L1850">
        <v>79.953720093000001</v>
      </c>
      <c r="M1850">
        <v>50</v>
      </c>
      <c r="N1850">
        <v>49.203037262000002</v>
      </c>
    </row>
    <row r="1851" spans="1:14" x14ac:dyDescent="0.25">
      <c r="A1851">
        <v>1470.9535229999999</v>
      </c>
      <c r="B1851" s="1">
        <f>DATE(2014,5,10) + TIME(22,53,4)</f>
        <v>41769.953518518516</v>
      </c>
      <c r="C1851">
        <v>2400</v>
      </c>
      <c r="D1851">
        <v>0</v>
      </c>
      <c r="E1851">
        <v>0</v>
      </c>
      <c r="F1851">
        <v>2400</v>
      </c>
      <c r="G1851">
        <v>1385.5632324000001</v>
      </c>
      <c r="H1851">
        <v>1370.9270019999999</v>
      </c>
      <c r="I1851">
        <v>1288.8203125</v>
      </c>
      <c r="J1851">
        <v>1269.7220459</v>
      </c>
      <c r="K1851">
        <v>80</v>
      </c>
      <c r="L1851">
        <v>79.953834533999995</v>
      </c>
      <c r="M1851">
        <v>50</v>
      </c>
      <c r="N1851">
        <v>49.180721282999997</v>
      </c>
    </row>
    <row r="1852" spans="1:14" x14ac:dyDescent="0.25">
      <c r="A1852">
        <v>1471.2924399999999</v>
      </c>
      <c r="B1852" s="1">
        <f>DATE(2014,5,11) + TIME(7,1,6)</f>
        <v>41770.292430555557</v>
      </c>
      <c r="C1852">
        <v>2400</v>
      </c>
      <c r="D1852">
        <v>0</v>
      </c>
      <c r="E1852">
        <v>0</v>
      </c>
      <c r="F1852">
        <v>2400</v>
      </c>
      <c r="G1852">
        <v>1385.5058594</v>
      </c>
      <c r="H1852">
        <v>1370.8814697</v>
      </c>
      <c r="I1852">
        <v>1288.8143310999999</v>
      </c>
      <c r="J1852">
        <v>1269.7139893000001</v>
      </c>
      <c r="K1852">
        <v>80</v>
      </c>
      <c r="L1852">
        <v>79.953933715999995</v>
      </c>
      <c r="M1852">
        <v>50</v>
      </c>
      <c r="N1852">
        <v>49.157875060999999</v>
      </c>
    </row>
    <row r="1853" spans="1:14" x14ac:dyDescent="0.25">
      <c r="A1853">
        <v>1471.6425549999999</v>
      </c>
      <c r="B1853" s="1">
        <f>DATE(2014,5,11) + TIME(15,25,16)</f>
        <v>41770.642546296294</v>
      </c>
      <c r="C1853">
        <v>2400</v>
      </c>
      <c r="D1853">
        <v>0</v>
      </c>
      <c r="E1853">
        <v>0</v>
      </c>
      <c r="F1853">
        <v>2400</v>
      </c>
      <c r="G1853">
        <v>1385.4483643000001</v>
      </c>
      <c r="H1853">
        <v>1370.8358154</v>
      </c>
      <c r="I1853">
        <v>1288.8081055</v>
      </c>
      <c r="J1853">
        <v>1269.7058105000001</v>
      </c>
      <c r="K1853">
        <v>80</v>
      </c>
      <c r="L1853">
        <v>79.954010010000005</v>
      </c>
      <c r="M1853">
        <v>50</v>
      </c>
      <c r="N1853">
        <v>49.134437560999999</v>
      </c>
    </row>
    <row r="1854" spans="1:14" x14ac:dyDescent="0.25">
      <c r="A1854">
        <v>1472.005328</v>
      </c>
      <c r="B1854" s="1">
        <f>DATE(2014,5,12) + TIME(0,7,40)</f>
        <v>41771.005324074074</v>
      </c>
      <c r="C1854">
        <v>2400</v>
      </c>
      <c r="D1854">
        <v>0</v>
      </c>
      <c r="E1854">
        <v>0</v>
      </c>
      <c r="F1854">
        <v>2400</v>
      </c>
      <c r="G1854">
        <v>1385.3903809000001</v>
      </c>
      <c r="H1854">
        <v>1370.7899170000001</v>
      </c>
      <c r="I1854">
        <v>1288.8016356999999</v>
      </c>
      <c r="J1854">
        <v>1269.6971435999999</v>
      </c>
      <c r="K1854">
        <v>80</v>
      </c>
      <c r="L1854">
        <v>79.954071045000006</v>
      </c>
      <c r="M1854">
        <v>50</v>
      </c>
      <c r="N1854">
        <v>49.110328674000002</v>
      </c>
    </row>
    <row r="1855" spans="1:14" x14ac:dyDescent="0.25">
      <c r="A1855">
        <v>1472.3821419999999</v>
      </c>
      <c r="B1855" s="1">
        <f>DATE(2014,5,12) + TIME(9,10,17)</f>
        <v>41771.382141203707</v>
      </c>
      <c r="C1855">
        <v>2400</v>
      </c>
      <c r="D1855">
        <v>0</v>
      </c>
      <c r="E1855">
        <v>0</v>
      </c>
      <c r="F1855">
        <v>2400</v>
      </c>
      <c r="G1855">
        <v>1385.3320312000001</v>
      </c>
      <c r="H1855">
        <v>1370.7436522999999</v>
      </c>
      <c r="I1855">
        <v>1288.7949219</v>
      </c>
      <c r="J1855">
        <v>1269.6882324000001</v>
      </c>
      <c r="K1855">
        <v>80</v>
      </c>
      <c r="L1855">
        <v>79.954116821</v>
      </c>
      <c r="M1855">
        <v>50</v>
      </c>
      <c r="N1855">
        <v>49.085479736000003</v>
      </c>
    </row>
    <row r="1856" spans="1:14" x14ac:dyDescent="0.25">
      <c r="A1856">
        <v>1472.7656770000001</v>
      </c>
      <c r="B1856" s="1">
        <f>DATE(2014,5,12) + TIME(18,22,34)</f>
        <v>41771.7656712963</v>
      </c>
      <c r="C1856">
        <v>2400</v>
      </c>
      <c r="D1856">
        <v>0</v>
      </c>
      <c r="E1856">
        <v>0</v>
      </c>
      <c r="F1856">
        <v>2400</v>
      </c>
      <c r="G1856">
        <v>1385.2729492000001</v>
      </c>
      <c r="H1856">
        <v>1370.6968993999999</v>
      </c>
      <c r="I1856">
        <v>1288.7879639</v>
      </c>
      <c r="J1856">
        <v>1269.6790771000001</v>
      </c>
      <c r="K1856">
        <v>80</v>
      </c>
      <c r="L1856">
        <v>79.954154967999997</v>
      </c>
      <c r="M1856">
        <v>50</v>
      </c>
      <c r="N1856">
        <v>49.060203551999997</v>
      </c>
    </row>
    <row r="1857" spans="1:14" x14ac:dyDescent="0.25">
      <c r="A1857">
        <v>1473.1543770000001</v>
      </c>
      <c r="B1857" s="1">
        <f>DATE(2014,5,13) + TIME(3,42,18)</f>
        <v>41772.154374999998</v>
      </c>
      <c r="C1857">
        <v>2400</v>
      </c>
      <c r="D1857">
        <v>0</v>
      </c>
      <c r="E1857">
        <v>0</v>
      </c>
      <c r="F1857">
        <v>2400</v>
      </c>
      <c r="G1857">
        <v>1385.2143555</v>
      </c>
      <c r="H1857">
        <v>1370.6505127</v>
      </c>
      <c r="I1857">
        <v>1288.7808838000001</v>
      </c>
      <c r="J1857">
        <v>1269.6696777</v>
      </c>
      <c r="K1857">
        <v>80</v>
      </c>
      <c r="L1857">
        <v>79.954185486</v>
      </c>
      <c r="M1857">
        <v>50</v>
      </c>
      <c r="N1857">
        <v>49.034606934000003</v>
      </c>
    </row>
    <row r="1858" spans="1:14" x14ac:dyDescent="0.25">
      <c r="A1858">
        <v>1473.549534</v>
      </c>
      <c r="B1858" s="1">
        <f>DATE(2014,5,13) + TIME(13,11,19)</f>
        <v>41772.549525462964</v>
      </c>
      <c r="C1858">
        <v>2400</v>
      </c>
      <c r="D1858">
        <v>0</v>
      </c>
      <c r="E1858">
        <v>0</v>
      </c>
      <c r="F1858">
        <v>2400</v>
      </c>
      <c r="G1858">
        <v>1385.1564940999999</v>
      </c>
      <c r="H1858">
        <v>1370.6048584</v>
      </c>
      <c r="I1858">
        <v>1288.7736815999999</v>
      </c>
      <c r="J1858">
        <v>1269.6601562000001</v>
      </c>
      <c r="K1858">
        <v>80</v>
      </c>
      <c r="L1858">
        <v>79.954208374000004</v>
      </c>
      <c r="M1858">
        <v>50</v>
      </c>
      <c r="N1858">
        <v>49.008666992000002</v>
      </c>
    </row>
    <row r="1859" spans="1:14" x14ac:dyDescent="0.25">
      <c r="A1859">
        <v>1473.9517410000001</v>
      </c>
      <c r="B1859" s="1">
        <f>DATE(2014,5,13) + TIME(22,50,30)</f>
        <v>41772.951736111114</v>
      </c>
      <c r="C1859">
        <v>2400</v>
      </c>
      <c r="D1859">
        <v>0</v>
      </c>
      <c r="E1859">
        <v>0</v>
      </c>
      <c r="F1859">
        <v>2400</v>
      </c>
      <c r="G1859">
        <v>1385.0991211</v>
      </c>
      <c r="H1859">
        <v>1370.5595702999999</v>
      </c>
      <c r="I1859">
        <v>1288.7663574000001</v>
      </c>
      <c r="J1859">
        <v>1269.6503906</v>
      </c>
      <c r="K1859">
        <v>80</v>
      </c>
      <c r="L1859">
        <v>79.954223632999998</v>
      </c>
      <c r="M1859">
        <v>50</v>
      </c>
      <c r="N1859">
        <v>48.982376099</v>
      </c>
    </row>
    <row r="1860" spans="1:14" x14ac:dyDescent="0.25">
      <c r="A1860">
        <v>1474.3603390000001</v>
      </c>
      <c r="B1860" s="1">
        <f>DATE(2014,5,14) + TIME(8,38,53)</f>
        <v>41773.360335648147</v>
      </c>
      <c r="C1860">
        <v>2400</v>
      </c>
      <c r="D1860">
        <v>0</v>
      </c>
      <c r="E1860">
        <v>0</v>
      </c>
      <c r="F1860">
        <v>2400</v>
      </c>
      <c r="G1860">
        <v>1385.0422363</v>
      </c>
      <c r="H1860">
        <v>1370.5147704999999</v>
      </c>
      <c r="I1860">
        <v>1288.7587891000001</v>
      </c>
      <c r="J1860">
        <v>1269.6403809000001</v>
      </c>
      <c r="K1860">
        <v>80</v>
      </c>
      <c r="L1860">
        <v>79.954231261999993</v>
      </c>
      <c r="M1860">
        <v>50</v>
      </c>
      <c r="N1860">
        <v>48.955772400000001</v>
      </c>
    </row>
    <row r="1861" spans="1:14" x14ac:dyDescent="0.25">
      <c r="A1861">
        <v>1474.776605</v>
      </c>
      <c r="B1861" s="1">
        <f>DATE(2014,5,14) + TIME(18,38,18)</f>
        <v>41773.776597222219</v>
      </c>
      <c r="C1861">
        <v>2400</v>
      </c>
      <c r="D1861">
        <v>0</v>
      </c>
      <c r="E1861">
        <v>0</v>
      </c>
      <c r="F1861">
        <v>2400</v>
      </c>
      <c r="G1861">
        <v>1384.9858397999999</v>
      </c>
      <c r="H1861">
        <v>1370.4702147999999</v>
      </c>
      <c r="I1861">
        <v>1288.7512207</v>
      </c>
      <c r="J1861">
        <v>1269.6303711</v>
      </c>
      <c r="K1861">
        <v>80</v>
      </c>
      <c r="L1861">
        <v>79.954231261999993</v>
      </c>
      <c r="M1861">
        <v>50</v>
      </c>
      <c r="N1861">
        <v>48.928817748999997</v>
      </c>
    </row>
    <row r="1862" spans="1:14" x14ac:dyDescent="0.25">
      <c r="A1862">
        <v>1475.2018539999999</v>
      </c>
      <c r="B1862" s="1">
        <f>DATE(2014,5,15) + TIME(4,50,40)</f>
        <v>41774.201851851853</v>
      </c>
      <c r="C1862">
        <v>2400</v>
      </c>
      <c r="D1862">
        <v>0</v>
      </c>
      <c r="E1862">
        <v>0</v>
      </c>
      <c r="F1862">
        <v>2400</v>
      </c>
      <c r="G1862">
        <v>1384.9296875</v>
      </c>
      <c r="H1862">
        <v>1370.4260254000001</v>
      </c>
      <c r="I1862">
        <v>1288.7434082</v>
      </c>
      <c r="J1862">
        <v>1269.6199951000001</v>
      </c>
      <c r="K1862">
        <v>80</v>
      </c>
      <c r="L1862">
        <v>79.954238892000006</v>
      </c>
      <c r="M1862">
        <v>50</v>
      </c>
      <c r="N1862">
        <v>48.901451111</v>
      </c>
    </row>
    <row r="1863" spans="1:14" x14ac:dyDescent="0.25">
      <c r="A1863">
        <v>1475.637504</v>
      </c>
      <c r="B1863" s="1">
        <f>DATE(2014,5,15) + TIME(15,18,0)</f>
        <v>41774.637499999997</v>
      </c>
      <c r="C1863">
        <v>2400</v>
      </c>
      <c r="D1863">
        <v>0</v>
      </c>
      <c r="E1863">
        <v>0</v>
      </c>
      <c r="F1863">
        <v>2400</v>
      </c>
      <c r="G1863">
        <v>1384.8737793</v>
      </c>
      <c r="H1863">
        <v>1370.3820800999999</v>
      </c>
      <c r="I1863">
        <v>1288.7354736</v>
      </c>
      <c r="J1863">
        <v>1269.609375</v>
      </c>
      <c r="K1863">
        <v>80</v>
      </c>
      <c r="L1863">
        <v>79.954231261999993</v>
      </c>
      <c r="M1863">
        <v>50</v>
      </c>
      <c r="N1863">
        <v>48.873611449999999</v>
      </c>
    </row>
    <row r="1864" spans="1:14" x14ac:dyDescent="0.25">
      <c r="A1864">
        <v>1476.085094</v>
      </c>
      <c r="B1864" s="1">
        <f>DATE(2014,5,16) + TIME(2,2,32)</f>
        <v>41775.085092592592</v>
      </c>
      <c r="C1864">
        <v>2400</v>
      </c>
      <c r="D1864">
        <v>0</v>
      </c>
      <c r="E1864">
        <v>0</v>
      </c>
      <c r="F1864">
        <v>2400</v>
      </c>
      <c r="G1864">
        <v>1384.817749</v>
      </c>
      <c r="H1864">
        <v>1370.3380127</v>
      </c>
      <c r="I1864">
        <v>1288.7272949000001</v>
      </c>
      <c r="J1864">
        <v>1269.5985106999999</v>
      </c>
      <c r="K1864">
        <v>80</v>
      </c>
      <c r="L1864">
        <v>79.954231261999993</v>
      </c>
      <c r="M1864">
        <v>50</v>
      </c>
      <c r="N1864">
        <v>48.845222473</v>
      </c>
    </row>
    <row r="1865" spans="1:14" x14ac:dyDescent="0.25">
      <c r="A1865">
        <v>1476.541819</v>
      </c>
      <c r="B1865" s="1">
        <f>DATE(2014,5,16) + TIME(13,0,13)</f>
        <v>41775.541817129626</v>
      </c>
      <c r="C1865">
        <v>2400</v>
      </c>
      <c r="D1865">
        <v>0</v>
      </c>
      <c r="E1865">
        <v>0</v>
      </c>
      <c r="F1865">
        <v>2400</v>
      </c>
      <c r="G1865">
        <v>1384.7615966999999</v>
      </c>
      <c r="H1865">
        <v>1370.2938231999999</v>
      </c>
      <c r="I1865">
        <v>1288.7188721</v>
      </c>
      <c r="J1865">
        <v>1269.5874022999999</v>
      </c>
      <c r="K1865">
        <v>80</v>
      </c>
      <c r="L1865">
        <v>79.954223632999998</v>
      </c>
      <c r="M1865">
        <v>50</v>
      </c>
      <c r="N1865">
        <v>48.816383362000003</v>
      </c>
    </row>
    <row r="1866" spans="1:14" x14ac:dyDescent="0.25">
      <c r="A1866">
        <v>1477.006873</v>
      </c>
      <c r="B1866" s="1">
        <f>DATE(2014,5,17) + TIME(0,9,53)</f>
        <v>41776.006863425922</v>
      </c>
      <c r="C1866">
        <v>2400</v>
      </c>
      <c r="D1866">
        <v>0</v>
      </c>
      <c r="E1866">
        <v>0</v>
      </c>
      <c r="F1866">
        <v>2400</v>
      </c>
      <c r="G1866">
        <v>1384.7055664</v>
      </c>
      <c r="H1866">
        <v>1370.2497559000001</v>
      </c>
      <c r="I1866">
        <v>1288.7102050999999</v>
      </c>
      <c r="J1866">
        <v>1269.5759277</v>
      </c>
      <c r="K1866">
        <v>80</v>
      </c>
      <c r="L1866">
        <v>79.954216002999999</v>
      </c>
      <c r="M1866">
        <v>50</v>
      </c>
      <c r="N1866">
        <v>48.787139893000003</v>
      </c>
    </row>
    <row r="1867" spans="1:14" x14ac:dyDescent="0.25">
      <c r="A1867">
        <v>1477.4816169999999</v>
      </c>
      <c r="B1867" s="1">
        <f>DATE(2014,5,17) + TIME(11,33,31)</f>
        <v>41776.481608796297</v>
      </c>
      <c r="C1867">
        <v>2400</v>
      </c>
      <c r="D1867">
        <v>0</v>
      </c>
      <c r="E1867">
        <v>0</v>
      </c>
      <c r="F1867">
        <v>2400</v>
      </c>
      <c r="G1867">
        <v>1384.6499022999999</v>
      </c>
      <c r="H1867">
        <v>1370.2059326000001</v>
      </c>
      <c r="I1867">
        <v>1288.7014160000001</v>
      </c>
      <c r="J1867">
        <v>1269.5643310999999</v>
      </c>
      <c r="K1867">
        <v>80</v>
      </c>
      <c r="L1867">
        <v>79.954208374000004</v>
      </c>
      <c r="M1867">
        <v>50</v>
      </c>
      <c r="N1867">
        <v>48.757453918000003</v>
      </c>
    </row>
    <row r="1868" spans="1:14" x14ac:dyDescent="0.25">
      <c r="A1868">
        <v>1477.967472</v>
      </c>
      <c r="B1868" s="1">
        <f>DATE(2014,5,17) + TIME(23,13,9)</f>
        <v>41776.967465277776</v>
      </c>
      <c r="C1868">
        <v>2400</v>
      </c>
      <c r="D1868">
        <v>0</v>
      </c>
      <c r="E1868">
        <v>0</v>
      </c>
      <c r="F1868">
        <v>2400</v>
      </c>
      <c r="G1868">
        <v>1384.5942382999999</v>
      </c>
      <c r="H1868">
        <v>1370.1622314000001</v>
      </c>
      <c r="I1868">
        <v>1288.6923827999999</v>
      </c>
      <c r="J1868">
        <v>1269.5523682</v>
      </c>
      <c r="K1868">
        <v>80</v>
      </c>
      <c r="L1868">
        <v>79.954193114999995</v>
      </c>
      <c r="M1868">
        <v>50</v>
      </c>
      <c r="N1868">
        <v>48.727268219000003</v>
      </c>
    </row>
    <row r="1869" spans="1:14" x14ac:dyDescent="0.25">
      <c r="A1869">
        <v>1478.4659899999999</v>
      </c>
      <c r="B1869" s="1">
        <f>DATE(2014,5,18) + TIME(11,11,1)</f>
        <v>41777.465983796297</v>
      </c>
      <c r="C1869">
        <v>2400</v>
      </c>
      <c r="D1869">
        <v>0</v>
      </c>
      <c r="E1869">
        <v>0</v>
      </c>
      <c r="F1869">
        <v>2400</v>
      </c>
      <c r="G1869">
        <v>1384.5386963000001</v>
      </c>
      <c r="H1869">
        <v>1370.1185303</v>
      </c>
      <c r="I1869">
        <v>1288.6832274999999</v>
      </c>
      <c r="J1869">
        <v>1269.5400391000001</v>
      </c>
      <c r="K1869">
        <v>80</v>
      </c>
      <c r="L1869">
        <v>79.954185486</v>
      </c>
      <c r="M1869">
        <v>50</v>
      </c>
      <c r="N1869">
        <v>48.696514129999997</v>
      </c>
    </row>
    <row r="1870" spans="1:14" x14ac:dyDescent="0.25">
      <c r="A1870">
        <v>1478.9786839999999</v>
      </c>
      <c r="B1870" s="1">
        <f>DATE(2014,5,18) + TIME(23,29,18)</f>
        <v>41777.978680555556</v>
      </c>
      <c r="C1870">
        <v>2400</v>
      </c>
      <c r="D1870">
        <v>0</v>
      </c>
      <c r="E1870">
        <v>0</v>
      </c>
      <c r="F1870">
        <v>2400</v>
      </c>
      <c r="G1870">
        <v>1384.4827881000001</v>
      </c>
      <c r="H1870">
        <v>1370.074707</v>
      </c>
      <c r="I1870">
        <v>1288.6737060999999</v>
      </c>
      <c r="J1870">
        <v>1269.5274658000001</v>
      </c>
      <c r="K1870">
        <v>80</v>
      </c>
      <c r="L1870">
        <v>79.954170227000006</v>
      </c>
      <c r="M1870">
        <v>50</v>
      </c>
      <c r="N1870">
        <v>48.665126801</v>
      </c>
    </row>
    <row r="1871" spans="1:14" x14ac:dyDescent="0.25">
      <c r="A1871">
        <v>1479.498468</v>
      </c>
      <c r="B1871" s="1">
        <f>DATE(2014,5,19) + TIME(11,57,47)</f>
        <v>41778.498460648145</v>
      </c>
      <c r="C1871">
        <v>2400</v>
      </c>
      <c r="D1871">
        <v>0</v>
      </c>
      <c r="E1871">
        <v>0</v>
      </c>
      <c r="F1871">
        <v>2400</v>
      </c>
      <c r="G1871">
        <v>1384.4266356999999</v>
      </c>
      <c r="H1871">
        <v>1370.0306396000001</v>
      </c>
      <c r="I1871">
        <v>1288.6638184000001</v>
      </c>
      <c r="J1871">
        <v>1269.5144043</v>
      </c>
      <c r="K1871">
        <v>80</v>
      </c>
      <c r="L1871">
        <v>79.954162597999996</v>
      </c>
      <c r="M1871">
        <v>50</v>
      </c>
      <c r="N1871">
        <v>48.633354187000002</v>
      </c>
    </row>
    <row r="1872" spans="1:14" x14ac:dyDescent="0.25">
      <c r="A1872">
        <v>1480.026368</v>
      </c>
      <c r="B1872" s="1">
        <f>DATE(2014,5,20) + TIME(0,37,58)</f>
        <v>41779.026365740741</v>
      </c>
      <c r="C1872">
        <v>2400</v>
      </c>
      <c r="D1872">
        <v>0</v>
      </c>
      <c r="E1872">
        <v>0</v>
      </c>
      <c r="F1872">
        <v>2400</v>
      </c>
      <c r="G1872">
        <v>1384.3709716999999</v>
      </c>
      <c r="H1872">
        <v>1369.9869385</v>
      </c>
      <c r="I1872">
        <v>1288.6538086</v>
      </c>
      <c r="J1872">
        <v>1269.5012207</v>
      </c>
      <c r="K1872">
        <v>80</v>
      </c>
      <c r="L1872">
        <v>79.954147339000002</v>
      </c>
      <c r="M1872">
        <v>50</v>
      </c>
      <c r="N1872">
        <v>48.601207733000003</v>
      </c>
    </row>
    <row r="1873" spans="1:14" x14ac:dyDescent="0.25">
      <c r="A1873">
        <v>1480.564212</v>
      </c>
      <c r="B1873" s="1">
        <f>DATE(2014,5,20) + TIME(13,32,27)</f>
        <v>41779.564201388886</v>
      </c>
      <c r="C1873">
        <v>2400</v>
      </c>
      <c r="D1873">
        <v>0</v>
      </c>
      <c r="E1873">
        <v>0</v>
      </c>
      <c r="F1873">
        <v>2400</v>
      </c>
      <c r="G1873">
        <v>1384.3156738</v>
      </c>
      <c r="H1873">
        <v>1369.9436035000001</v>
      </c>
      <c r="I1873">
        <v>1288.6436768000001</v>
      </c>
      <c r="J1873">
        <v>1269.4876709</v>
      </c>
      <c r="K1873">
        <v>80</v>
      </c>
      <c r="L1873">
        <v>79.954139709000003</v>
      </c>
      <c r="M1873">
        <v>50</v>
      </c>
      <c r="N1873">
        <v>48.568645476999997</v>
      </c>
    </row>
    <row r="1874" spans="1:14" x14ac:dyDescent="0.25">
      <c r="A1874">
        <v>1481.114075</v>
      </c>
      <c r="B1874" s="1">
        <f>DATE(2014,5,21) + TIME(2,44,16)</f>
        <v>41780.114074074074</v>
      </c>
      <c r="C1874">
        <v>2400</v>
      </c>
      <c r="D1874">
        <v>0</v>
      </c>
      <c r="E1874">
        <v>0</v>
      </c>
      <c r="F1874">
        <v>2400</v>
      </c>
      <c r="G1874">
        <v>1384.2604980000001</v>
      </c>
      <c r="H1874">
        <v>1369.9002685999999</v>
      </c>
      <c r="I1874">
        <v>1288.6333007999999</v>
      </c>
      <c r="J1874">
        <v>1269.4738769999999</v>
      </c>
      <c r="K1874">
        <v>80</v>
      </c>
      <c r="L1874">
        <v>79.954124450999998</v>
      </c>
      <c r="M1874">
        <v>50</v>
      </c>
      <c r="N1874">
        <v>48.535587311</v>
      </c>
    </row>
    <row r="1875" spans="1:14" x14ac:dyDescent="0.25">
      <c r="A1875">
        <v>1481.6737840000001</v>
      </c>
      <c r="B1875" s="1">
        <f>DATE(2014,5,21) + TIME(16,10,14)</f>
        <v>41780.673773148148</v>
      </c>
      <c r="C1875">
        <v>2400</v>
      </c>
      <c r="D1875">
        <v>0</v>
      </c>
      <c r="E1875">
        <v>0</v>
      </c>
      <c r="F1875">
        <v>2400</v>
      </c>
      <c r="G1875">
        <v>1384.2053223</v>
      </c>
      <c r="H1875">
        <v>1369.8569336</v>
      </c>
      <c r="I1875">
        <v>1288.6225586</v>
      </c>
      <c r="J1875">
        <v>1269.4597168</v>
      </c>
      <c r="K1875">
        <v>80</v>
      </c>
      <c r="L1875">
        <v>79.954116821</v>
      </c>
      <c r="M1875">
        <v>50</v>
      </c>
      <c r="N1875">
        <v>48.502109527999998</v>
      </c>
    </row>
    <row r="1876" spans="1:14" x14ac:dyDescent="0.25">
      <c r="A1876">
        <v>1482.244506</v>
      </c>
      <c r="B1876" s="1">
        <f>DATE(2014,5,22) + TIME(5,52,5)</f>
        <v>41781.244502314818</v>
      </c>
      <c r="C1876">
        <v>2400</v>
      </c>
      <c r="D1876">
        <v>0</v>
      </c>
      <c r="E1876">
        <v>0</v>
      </c>
      <c r="F1876">
        <v>2400</v>
      </c>
      <c r="G1876">
        <v>1384.1503906</v>
      </c>
      <c r="H1876">
        <v>1369.8138428</v>
      </c>
      <c r="I1876">
        <v>1288.6116943</v>
      </c>
      <c r="J1876">
        <v>1269.4453125</v>
      </c>
      <c r="K1876">
        <v>80</v>
      </c>
      <c r="L1876">
        <v>79.954101562000005</v>
      </c>
      <c r="M1876">
        <v>50</v>
      </c>
      <c r="N1876">
        <v>48.468173981</v>
      </c>
    </row>
    <row r="1877" spans="1:14" x14ac:dyDescent="0.25">
      <c r="A1877">
        <v>1482.828231</v>
      </c>
      <c r="B1877" s="1">
        <f>DATE(2014,5,22) + TIME(19,52,39)</f>
        <v>41781.828229166669</v>
      </c>
      <c r="C1877">
        <v>2400</v>
      </c>
      <c r="D1877">
        <v>0</v>
      </c>
      <c r="E1877">
        <v>0</v>
      </c>
      <c r="F1877">
        <v>2400</v>
      </c>
      <c r="G1877">
        <v>1384.0954589999999</v>
      </c>
      <c r="H1877">
        <v>1369.7707519999999</v>
      </c>
      <c r="I1877">
        <v>1288.6005858999999</v>
      </c>
      <c r="J1877">
        <v>1269.4304199000001</v>
      </c>
      <c r="K1877">
        <v>80</v>
      </c>
      <c r="L1877">
        <v>79.954086304</v>
      </c>
      <c r="M1877">
        <v>50</v>
      </c>
      <c r="N1877">
        <v>48.433715820000003</v>
      </c>
    </row>
    <row r="1878" spans="1:14" x14ac:dyDescent="0.25">
      <c r="A1878">
        <v>1483.4271819999999</v>
      </c>
      <c r="B1878" s="1">
        <f>DATE(2014,5,23) + TIME(10,15,8)</f>
        <v>41782.427175925928</v>
      </c>
      <c r="C1878">
        <v>2400</v>
      </c>
      <c r="D1878">
        <v>0</v>
      </c>
      <c r="E1878">
        <v>0</v>
      </c>
      <c r="F1878">
        <v>2400</v>
      </c>
      <c r="G1878">
        <v>1384.0404053</v>
      </c>
      <c r="H1878">
        <v>1369.7275391000001</v>
      </c>
      <c r="I1878">
        <v>1288.5891113</v>
      </c>
      <c r="J1878">
        <v>1269.4152832</v>
      </c>
      <c r="K1878">
        <v>80</v>
      </c>
      <c r="L1878">
        <v>79.954078674000002</v>
      </c>
      <c r="M1878">
        <v>50</v>
      </c>
      <c r="N1878">
        <v>48.398643493999998</v>
      </c>
    </row>
    <row r="1879" spans="1:14" x14ac:dyDescent="0.25">
      <c r="A1879">
        <v>1484.0440249999999</v>
      </c>
      <c r="B1879" s="1">
        <f>DATE(2014,5,24) + TIME(1,3,23)</f>
        <v>41783.044016203705</v>
      </c>
      <c r="C1879">
        <v>2400</v>
      </c>
      <c r="D1879">
        <v>0</v>
      </c>
      <c r="E1879">
        <v>0</v>
      </c>
      <c r="F1879">
        <v>2400</v>
      </c>
      <c r="G1879">
        <v>1383.9851074000001</v>
      </c>
      <c r="H1879">
        <v>1369.684082</v>
      </c>
      <c r="I1879">
        <v>1288.5772704999999</v>
      </c>
      <c r="J1879">
        <v>1269.3995361</v>
      </c>
      <c r="K1879">
        <v>80</v>
      </c>
      <c r="L1879">
        <v>79.954071045000006</v>
      </c>
      <c r="M1879">
        <v>50</v>
      </c>
      <c r="N1879">
        <v>48.362838744999998</v>
      </c>
    </row>
    <row r="1880" spans="1:14" x14ac:dyDescent="0.25">
      <c r="A1880">
        <v>1484.6709269999999</v>
      </c>
      <c r="B1880" s="1">
        <f>DATE(2014,5,24) + TIME(16,6,8)</f>
        <v>41783.670925925922</v>
      </c>
      <c r="C1880">
        <v>2400</v>
      </c>
      <c r="D1880">
        <v>0</v>
      </c>
      <c r="E1880">
        <v>0</v>
      </c>
      <c r="F1880">
        <v>2400</v>
      </c>
      <c r="G1880">
        <v>1383.9291992000001</v>
      </c>
      <c r="H1880">
        <v>1369.6402588000001</v>
      </c>
      <c r="I1880">
        <v>1288.5650635</v>
      </c>
      <c r="J1880">
        <v>1269.3833007999999</v>
      </c>
      <c r="K1880">
        <v>80</v>
      </c>
      <c r="L1880">
        <v>79.954055785999998</v>
      </c>
      <c r="M1880">
        <v>50</v>
      </c>
      <c r="N1880">
        <v>48.326530456999997</v>
      </c>
    </row>
    <row r="1881" spans="1:14" x14ac:dyDescent="0.25">
      <c r="A1881">
        <v>1485.3054870000001</v>
      </c>
      <c r="B1881" s="1">
        <f>DATE(2014,5,25) + TIME(7,19,54)</f>
        <v>41784.305486111109</v>
      </c>
      <c r="C1881">
        <v>2400</v>
      </c>
      <c r="D1881">
        <v>0</v>
      </c>
      <c r="E1881">
        <v>0</v>
      </c>
      <c r="F1881">
        <v>2400</v>
      </c>
      <c r="G1881">
        <v>1383.8736572</v>
      </c>
      <c r="H1881">
        <v>1369.5966797000001</v>
      </c>
      <c r="I1881">
        <v>1288.5526123</v>
      </c>
      <c r="J1881">
        <v>1269.3666992000001</v>
      </c>
      <c r="K1881">
        <v>80</v>
      </c>
      <c r="L1881">
        <v>79.954048157000003</v>
      </c>
      <c r="M1881">
        <v>50</v>
      </c>
      <c r="N1881">
        <v>48.289852142000001</v>
      </c>
    </row>
    <row r="1882" spans="1:14" x14ac:dyDescent="0.25">
      <c r="A1882">
        <v>1485.94947</v>
      </c>
      <c r="B1882" s="1">
        <f>DATE(2014,5,25) + TIME(22,47,14)</f>
        <v>41784.949467592596</v>
      </c>
      <c r="C1882">
        <v>2400</v>
      </c>
      <c r="D1882">
        <v>0</v>
      </c>
      <c r="E1882">
        <v>0</v>
      </c>
      <c r="F1882">
        <v>2400</v>
      </c>
      <c r="G1882">
        <v>1383.8186035000001</v>
      </c>
      <c r="H1882">
        <v>1369.5533447</v>
      </c>
      <c r="I1882">
        <v>1288.5397949000001</v>
      </c>
      <c r="J1882">
        <v>1269.3498535000001</v>
      </c>
      <c r="K1882">
        <v>80</v>
      </c>
      <c r="L1882">
        <v>79.954040527000004</v>
      </c>
      <c r="M1882">
        <v>50</v>
      </c>
      <c r="N1882">
        <v>48.252811432000001</v>
      </c>
    </row>
    <row r="1883" spans="1:14" x14ac:dyDescent="0.25">
      <c r="A1883">
        <v>1486.6046530000001</v>
      </c>
      <c r="B1883" s="1">
        <f>DATE(2014,5,26) + TIME(14,30,41)</f>
        <v>41785.604641203703</v>
      </c>
      <c r="C1883">
        <v>2400</v>
      </c>
      <c r="D1883">
        <v>0</v>
      </c>
      <c r="E1883">
        <v>0</v>
      </c>
      <c r="F1883">
        <v>2400</v>
      </c>
      <c r="G1883">
        <v>1383.7637939000001</v>
      </c>
      <c r="H1883">
        <v>1369.510376</v>
      </c>
      <c r="I1883">
        <v>1288.5268555</v>
      </c>
      <c r="J1883">
        <v>1269.3325195</v>
      </c>
      <c r="K1883">
        <v>80</v>
      </c>
      <c r="L1883">
        <v>79.954025268999999</v>
      </c>
      <c r="M1883">
        <v>50</v>
      </c>
      <c r="N1883">
        <v>48.215370178000001</v>
      </c>
    </row>
    <row r="1884" spans="1:14" x14ac:dyDescent="0.25">
      <c r="A1884">
        <v>1487.2729400000001</v>
      </c>
      <c r="B1884" s="1">
        <f>DATE(2014,5,27) + TIME(6,33,2)</f>
        <v>41786.272939814815</v>
      </c>
      <c r="C1884">
        <v>2400</v>
      </c>
      <c r="D1884">
        <v>0</v>
      </c>
      <c r="E1884">
        <v>0</v>
      </c>
      <c r="F1884">
        <v>2400</v>
      </c>
      <c r="G1884">
        <v>1383.7091064000001</v>
      </c>
      <c r="H1884">
        <v>1369.4672852000001</v>
      </c>
      <c r="I1884">
        <v>1288.5136719</v>
      </c>
      <c r="J1884">
        <v>1269.3148193</v>
      </c>
      <c r="K1884">
        <v>80</v>
      </c>
      <c r="L1884">
        <v>79.954017639</v>
      </c>
      <c r="M1884">
        <v>50</v>
      </c>
      <c r="N1884">
        <v>48.177463531000001</v>
      </c>
    </row>
    <row r="1885" spans="1:14" x14ac:dyDescent="0.25">
      <c r="A1885">
        <v>1487.955269</v>
      </c>
      <c r="B1885" s="1">
        <f>DATE(2014,5,27) + TIME(22,55,35)</f>
        <v>41786.955266203702</v>
      </c>
      <c r="C1885">
        <v>2400</v>
      </c>
      <c r="D1885">
        <v>0</v>
      </c>
      <c r="E1885">
        <v>0</v>
      </c>
      <c r="F1885">
        <v>2400</v>
      </c>
      <c r="G1885">
        <v>1383.6542969</v>
      </c>
      <c r="H1885">
        <v>1369.4243164</v>
      </c>
      <c r="I1885">
        <v>1288.5001221</v>
      </c>
      <c r="J1885">
        <v>1269.2967529</v>
      </c>
      <c r="K1885">
        <v>80</v>
      </c>
      <c r="L1885">
        <v>79.954010010000005</v>
      </c>
      <c r="M1885">
        <v>50</v>
      </c>
      <c r="N1885">
        <v>48.139038085999999</v>
      </c>
    </row>
    <row r="1886" spans="1:14" x14ac:dyDescent="0.25">
      <c r="A1886">
        <v>1488.6461730000001</v>
      </c>
      <c r="B1886" s="1">
        <f>DATE(2014,5,28) + TIME(15,30,29)</f>
        <v>41787.646168981482</v>
      </c>
      <c r="C1886">
        <v>2400</v>
      </c>
      <c r="D1886">
        <v>0</v>
      </c>
      <c r="E1886">
        <v>0</v>
      </c>
      <c r="F1886">
        <v>2400</v>
      </c>
      <c r="G1886">
        <v>1383.5996094</v>
      </c>
      <c r="H1886">
        <v>1369.3812256000001</v>
      </c>
      <c r="I1886">
        <v>1288.4860839999999</v>
      </c>
      <c r="J1886">
        <v>1269.2780762</v>
      </c>
      <c r="K1886">
        <v>80</v>
      </c>
      <c r="L1886">
        <v>79.954002380000006</v>
      </c>
      <c r="M1886">
        <v>50</v>
      </c>
      <c r="N1886">
        <v>48.100254059000001</v>
      </c>
    </row>
    <row r="1887" spans="1:14" x14ac:dyDescent="0.25">
      <c r="A1887">
        <v>1489.347923</v>
      </c>
      <c r="B1887" s="1">
        <f>DATE(2014,5,29) + TIME(8,21,0)</f>
        <v>41788.347916666666</v>
      </c>
      <c r="C1887">
        <v>2400</v>
      </c>
      <c r="D1887">
        <v>0</v>
      </c>
      <c r="E1887">
        <v>0</v>
      </c>
      <c r="F1887">
        <v>2400</v>
      </c>
      <c r="G1887">
        <v>1383.5451660000001</v>
      </c>
      <c r="H1887">
        <v>1369.3383789</v>
      </c>
      <c r="I1887">
        <v>1288.4718018000001</v>
      </c>
      <c r="J1887">
        <v>1269.2590332</v>
      </c>
      <c r="K1887">
        <v>80</v>
      </c>
      <c r="L1887">
        <v>79.953994750999996</v>
      </c>
      <c r="M1887">
        <v>50</v>
      </c>
      <c r="N1887">
        <v>48.061084747000002</v>
      </c>
    </row>
    <row r="1888" spans="1:14" x14ac:dyDescent="0.25">
      <c r="A1888">
        <v>1490.0628260000001</v>
      </c>
      <c r="B1888" s="1">
        <f>DATE(2014,5,30) + TIME(1,30,28)</f>
        <v>41789.062824074077</v>
      </c>
      <c r="C1888">
        <v>2400</v>
      </c>
      <c r="D1888">
        <v>0</v>
      </c>
      <c r="E1888">
        <v>0</v>
      </c>
      <c r="F1888">
        <v>2400</v>
      </c>
      <c r="G1888">
        <v>1383.4908447</v>
      </c>
      <c r="H1888">
        <v>1369.2957764</v>
      </c>
      <c r="I1888">
        <v>1288.4572754000001</v>
      </c>
      <c r="J1888">
        <v>1269.239624</v>
      </c>
      <c r="K1888">
        <v>80</v>
      </c>
      <c r="L1888">
        <v>79.953987122000001</v>
      </c>
      <c r="M1888">
        <v>50</v>
      </c>
      <c r="N1888">
        <v>48.021472930999998</v>
      </c>
    </row>
    <row r="1889" spans="1:14" x14ac:dyDescent="0.25">
      <c r="A1889">
        <v>1490.793343</v>
      </c>
      <c r="B1889" s="1">
        <f>DATE(2014,5,30) + TIME(19,2,24)</f>
        <v>41789.793333333335</v>
      </c>
      <c r="C1889">
        <v>2400</v>
      </c>
      <c r="D1889">
        <v>0</v>
      </c>
      <c r="E1889">
        <v>0</v>
      </c>
      <c r="F1889">
        <v>2400</v>
      </c>
      <c r="G1889">
        <v>1383.4366454999999</v>
      </c>
      <c r="H1889">
        <v>1369.2530518000001</v>
      </c>
      <c r="I1889">
        <v>1288.4423827999999</v>
      </c>
      <c r="J1889">
        <v>1269.2196045000001</v>
      </c>
      <c r="K1889">
        <v>80</v>
      </c>
      <c r="L1889">
        <v>79.953987122000001</v>
      </c>
      <c r="M1889">
        <v>50</v>
      </c>
      <c r="N1889">
        <v>47.981319427000003</v>
      </c>
    </row>
    <row r="1890" spans="1:14" x14ac:dyDescent="0.25">
      <c r="A1890">
        <v>1491.5425210000001</v>
      </c>
      <c r="B1890" s="1">
        <f>DATE(2014,5,31) + TIME(13,1,13)</f>
        <v>41790.542511574073</v>
      </c>
      <c r="C1890">
        <v>2400</v>
      </c>
      <c r="D1890">
        <v>0</v>
      </c>
      <c r="E1890">
        <v>0</v>
      </c>
      <c r="F1890">
        <v>2400</v>
      </c>
      <c r="G1890">
        <v>1383.3823242000001</v>
      </c>
      <c r="H1890">
        <v>1369.2102050999999</v>
      </c>
      <c r="I1890">
        <v>1288.427124</v>
      </c>
      <c r="J1890">
        <v>1269.1989745999999</v>
      </c>
      <c r="K1890">
        <v>80</v>
      </c>
      <c r="L1890">
        <v>79.953979492000002</v>
      </c>
      <c r="M1890">
        <v>50</v>
      </c>
      <c r="N1890">
        <v>47.940509796000001</v>
      </c>
    </row>
    <row r="1891" spans="1:14" x14ac:dyDescent="0.25">
      <c r="A1891">
        <v>1492</v>
      </c>
      <c r="B1891" s="1">
        <f>DATE(2014,6,1) + TIME(0,0,0)</f>
        <v>41791</v>
      </c>
      <c r="C1891">
        <v>2400</v>
      </c>
      <c r="D1891">
        <v>0</v>
      </c>
      <c r="E1891">
        <v>0</v>
      </c>
      <c r="F1891">
        <v>2400</v>
      </c>
      <c r="G1891">
        <v>1383.3275146000001</v>
      </c>
      <c r="H1891">
        <v>1369.1669922000001</v>
      </c>
      <c r="I1891">
        <v>1288.4101562000001</v>
      </c>
      <c r="J1891">
        <v>1269.1787108999999</v>
      </c>
      <c r="K1891">
        <v>80</v>
      </c>
      <c r="L1891">
        <v>79.953971863000007</v>
      </c>
      <c r="M1891">
        <v>50</v>
      </c>
      <c r="N1891">
        <v>47.909957886000001</v>
      </c>
    </row>
    <row r="1892" spans="1:14" x14ac:dyDescent="0.25">
      <c r="A1892">
        <v>1492.770563</v>
      </c>
      <c r="B1892" s="1">
        <f>DATE(2014,6,1) + TIME(18,29,36)</f>
        <v>41791.770555555559</v>
      </c>
      <c r="C1892">
        <v>2400</v>
      </c>
      <c r="D1892">
        <v>0</v>
      </c>
      <c r="E1892">
        <v>0</v>
      </c>
      <c r="F1892">
        <v>2400</v>
      </c>
      <c r="G1892">
        <v>1383.2945557</v>
      </c>
      <c r="H1892">
        <v>1369.1408690999999</v>
      </c>
      <c r="I1892">
        <v>1288.4016113</v>
      </c>
      <c r="J1892">
        <v>1269.1640625</v>
      </c>
      <c r="K1892">
        <v>80</v>
      </c>
      <c r="L1892">
        <v>79.953971863000007</v>
      </c>
      <c r="M1892">
        <v>50</v>
      </c>
      <c r="N1892">
        <v>47.870967864999997</v>
      </c>
    </row>
    <row r="1893" spans="1:14" x14ac:dyDescent="0.25">
      <c r="A1893">
        <v>1493.575511</v>
      </c>
      <c r="B1893" s="1">
        <f>DATE(2014,6,2) + TIME(13,48,44)</f>
        <v>41792.575509259259</v>
      </c>
      <c r="C1893">
        <v>2400</v>
      </c>
      <c r="D1893">
        <v>0</v>
      </c>
      <c r="E1893">
        <v>0</v>
      </c>
      <c r="F1893">
        <v>2400</v>
      </c>
      <c r="G1893">
        <v>1383.2399902</v>
      </c>
      <c r="H1893">
        <v>1369.0979004000001</v>
      </c>
      <c r="I1893">
        <v>1288.3851318</v>
      </c>
      <c r="J1893">
        <v>1269.1419678</v>
      </c>
      <c r="K1893">
        <v>80</v>
      </c>
      <c r="L1893">
        <v>79.953971863000007</v>
      </c>
      <c r="M1893">
        <v>50</v>
      </c>
      <c r="N1893">
        <v>47.829643249999997</v>
      </c>
    </row>
    <row r="1894" spans="1:14" x14ac:dyDescent="0.25">
      <c r="A1894">
        <v>1494.3823809999999</v>
      </c>
      <c r="B1894" s="1">
        <f>DATE(2014,6,3) + TIME(9,10,37)</f>
        <v>41793.382372685184</v>
      </c>
      <c r="C1894">
        <v>2400</v>
      </c>
      <c r="D1894">
        <v>0</v>
      </c>
      <c r="E1894">
        <v>0</v>
      </c>
      <c r="F1894">
        <v>2400</v>
      </c>
      <c r="G1894">
        <v>1383.1839600000001</v>
      </c>
      <c r="H1894">
        <v>1369.0535889</v>
      </c>
      <c r="I1894">
        <v>1288.3675536999999</v>
      </c>
      <c r="J1894">
        <v>1269.1186522999999</v>
      </c>
      <c r="K1894">
        <v>80</v>
      </c>
      <c r="L1894">
        <v>79.953964232999994</v>
      </c>
      <c r="M1894">
        <v>50</v>
      </c>
      <c r="N1894">
        <v>47.787189484000002</v>
      </c>
    </row>
    <row r="1895" spans="1:14" x14ac:dyDescent="0.25">
      <c r="A1895">
        <v>1495.1924320000001</v>
      </c>
      <c r="B1895" s="1">
        <f>DATE(2014,6,4) + TIME(4,37,6)</f>
        <v>41794.192430555559</v>
      </c>
      <c r="C1895">
        <v>2400</v>
      </c>
      <c r="D1895">
        <v>0</v>
      </c>
      <c r="E1895">
        <v>0</v>
      </c>
      <c r="F1895">
        <v>2400</v>
      </c>
      <c r="G1895">
        <v>1383.1286620999999</v>
      </c>
      <c r="H1895">
        <v>1369.0100098</v>
      </c>
      <c r="I1895">
        <v>1288.3499756000001</v>
      </c>
      <c r="J1895">
        <v>1269.0949707</v>
      </c>
      <c r="K1895">
        <v>80</v>
      </c>
      <c r="L1895">
        <v>79.953964232999994</v>
      </c>
      <c r="M1895">
        <v>50</v>
      </c>
      <c r="N1895">
        <v>47.744190216</v>
      </c>
    </row>
    <row r="1896" spans="1:14" x14ac:dyDescent="0.25">
      <c r="A1896">
        <v>1496.0082950000001</v>
      </c>
      <c r="B1896" s="1">
        <f>DATE(2014,6,5) + TIME(0,11,56)</f>
        <v>41795.008287037039</v>
      </c>
      <c r="C1896">
        <v>2400</v>
      </c>
      <c r="D1896">
        <v>0</v>
      </c>
      <c r="E1896">
        <v>0</v>
      </c>
      <c r="F1896">
        <v>2400</v>
      </c>
      <c r="G1896">
        <v>1383.0743408000001</v>
      </c>
      <c r="H1896">
        <v>1368.9669189000001</v>
      </c>
      <c r="I1896">
        <v>1288.3320312000001</v>
      </c>
      <c r="J1896">
        <v>1269.0709228999999</v>
      </c>
      <c r="K1896">
        <v>80</v>
      </c>
      <c r="L1896">
        <v>79.953964232999994</v>
      </c>
      <c r="M1896">
        <v>50</v>
      </c>
      <c r="N1896">
        <v>47.700878142999997</v>
      </c>
    </row>
    <row r="1897" spans="1:14" x14ac:dyDescent="0.25">
      <c r="A1897">
        <v>1496.832588</v>
      </c>
      <c r="B1897" s="1">
        <f>DATE(2014,6,5) + TIME(19,58,55)</f>
        <v>41795.83258101852</v>
      </c>
      <c r="C1897">
        <v>2400</v>
      </c>
      <c r="D1897">
        <v>0</v>
      </c>
      <c r="E1897">
        <v>0</v>
      </c>
      <c r="F1897">
        <v>2400</v>
      </c>
      <c r="G1897">
        <v>1383.0203856999999</v>
      </c>
      <c r="H1897">
        <v>1368.9243164</v>
      </c>
      <c r="I1897">
        <v>1288.3139647999999</v>
      </c>
      <c r="J1897">
        <v>1269.0462646000001</v>
      </c>
      <c r="K1897">
        <v>80</v>
      </c>
      <c r="L1897">
        <v>79.953956603999998</v>
      </c>
      <c r="M1897">
        <v>50</v>
      </c>
      <c r="N1897">
        <v>47.657310486</v>
      </c>
    </row>
    <row r="1898" spans="1:14" x14ac:dyDescent="0.25">
      <c r="A1898">
        <v>1497.667956</v>
      </c>
      <c r="B1898" s="1">
        <f>DATE(2014,6,6) + TIME(16,1,51)</f>
        <v>41796.667951388888</v>
      </c>
      <c r="C1898">
        <v>2400</v>
      </c>
      <c r="D1898">
        <v>0</v>
      </c>
      <c r="E1898">
        <v>0</v>
      </c>
      <c r="F1898">
        <v>2400</v>
      </c>
      <c r="G1898">
        <v>1382.9669189000001</v>
      </c>
      <c r="H1898">
        <v>1368.8819579999999</v>
      </c>
      <c r="I1898">
        <v>1288.2954102000001</v>
      </c>
      <c r="J1898">
        <v>1269.0211182</v>
      </c>
      <c r="K1898">
        <v>80</v>
      </c>
      <c r="L1898">
        <v>79.953956603999998</v>
      </c>
      <c r="M1898">
        <v>50</v>
      </c>
      <c r="N1898">
        <v>47.613441467000001</v>
      </c>
    </row>
    <row r="1899" spans="1:14" x14ac:dyDescent="0.25">
      <c r="A1899">
        <v>1498.5171319999999</v>
      </c>
      <c r="B1899" s="1">
        <f>DATE(2014,6,7) + TIME(12,24,40)</f>
        <v>41797.517129629632</v>
      </c>
      <c r="C1899">
        <v>2400</v>
      </c>
      <c r="D1899">
        <v>0</v>
      </c>
      <c r="E1899">
        <v>0</v>
      </c>
      <c r="F1899">
        <v>2400</v>
      </c>
      <c r="G1899">
        <v>1382.9136963000001</v>
      </c>
      <c r="H1899">
        <v>1368.8397216999999</v>
      </c>
      <c r="I1899">
        <v>1288.2764893000001</v>
      </c>
      <c r="J1899">
        <v>1268.9953613</v>
      </c>
      <c r="K1899">
        <v>80</v>
      </c>
      <c r="L1899">
        <v>79.953956603999998</v>
      </c>
      <c r="M1899">
        <v>50</v>
      </c>
      <c r="N1899">
        <v>47.569183350000003</v>
      </c>
    </row>
    <row r="1900" spans="1:14" x14ac:dyDescent="0.25">
      <c r="A1900">
        <v>1499.383012</v>
      </c>
      <c r="B1900" s="1">
        <f>DATE(2014,6,8) + TIME(9,11,32)</f>
        <v>41798.383009259262</v>
      </c>
      <c r="C1900">
        <v>2400</v>
      </c>
      <c r="D1900">
        <v>0</v>
      </c>
      <c r="E1900">
        <v>0</v>
      </c>
      <c r="F1900">
        <v>2400</v>
      </c>
      <c r="G1900">
        <v>1382.8604736</v>
      </c>
      <c r="H1900">
        <v>1368.7974853999999</v>
      </c>
      <c r="I1900">
        <v>1288.2570800999999</v>
      </c>
      <c r="J1900">
        <v>1268.9688721</v>
      </c>
      <c r="K1900">
        <v>80</v>
      </c>
      <c r="L1900">
        <v>79.953956603999998</v>
      </c>
      <c r="M1900">
        <v>50</v>
      </c>
      <c r="N1900">
        <v>47.524425506999997</v>
      </c>
    </row>
    <row r="1901" spans="1:14" x14ac:dyDescent="0.25">
      <c r="A1901">
        <v>1500.2690909999999</v>
      </c>
      <c r="B1901" s="1">
        <f>DATE(2014,6,9) + TIME(6,27,29)</f>
        <v>41799.269085648149</v>
      </c>
      <c r="C1901">
        <v>2400</v>
      </c>
      <c r="D1901">
        <v>0</v>
      </c>
      <c r="E1901">
        <v>0</v>
      </c>
      <c r="F1901">
        <v>2400</v>
      </c>
      <c r="G1901">
        <v>1382.8071289</v>
      </c>
      <c r="H1901">
        <v>1368.7551269999999</v>
      </c>
      <c r="I1901">
        <v>1288.2370605000001</v>
      </c>
      <c r="J1901">
        <v>1268.9414062000001</v>
      </c>
      <c r="K1901">
        <v>80</v>
      </c>
      <c r="L1901">
        <v>79.953964232999994</v>
      </c>
      <c r="M1901">
        <v>50</v>
      </c>
      <c r="N1901">
        <v>47.479022980000003</v>
      </c>
    </row>
    <row r="1902" spans="1:14" x14ac:dyDescent="0.25">
      <c r="A1902">
        <v>1501.1786999999999</v>
      </c>
      <c r="B1902" s="1">
        <f>DATE(2014,6,10) + TIME(4,17,19)</f>
        <v>41800.17869212963</v>
      </c>
      <c r="C1902">
        <v>2400</v>
      </c>
      <c r="D1902">
        <v>0</v>
      </c>
      <c r="E1902">
        <v>0</v>
      </c>
      <c r="F1902">
        <v>2400</v>
      </c>
      <c r="G1902">
        <v>1382.753418</v>
      </c>
      <c r="H1902">
        <v>1368.7125243999999</v>
      </c>
      <c r="I1902">
        <v>1288.2164307</v>
      </c>
      <c r="J1902">
        <v>1268.9130858999999</v>
      </c>
      <c r="K1902">
        <v>80</v>
      </c>
      <c r="L1902">
        <v>79.953964232999994</v>
      </c>
      <c r="M1902">
        <v>50</v>
      </c>
      <c r="N1902">
        <v>47.432819365999997</v>
      </c>
    </row>
    <row r="1903" spans="1:14" x14ac:dyDescent="0.25">
      <c r="A1903">
        <v>1502.115407</v>
      </c>
      <c r="B1903" s="1">
        <f>DATE(2014,6,11) + TIME(2,46,11)</f>
        <v>41801.115405092591</v>
      </c>
      <c r="C1903">
        <v>2400</v>
      </c>
      <c r="D1903">
        <v>0</v>
      </c>
      <c r="E1903">
        <v>0</v>
      </c>
      <c r="F1903">
        <v>2400</v>
      </c>
      <c r="G1903">
        <v>1382.6992187999999</v>
      </c>
      <c r="H1903">
        <v>1368.6693115</v>
      </c>
      <c r="I1903">
        <v>1288.1949463000001</v>
      </c>
      <c r="J1903">
        <v>1268.8835449000001</v>
      </c>
      <c r="K1903">
        <v>80</v>
      </c>
      <c r="L1903">
        <v>79.953964232999994</v>
      </c>
      <c r="M1903">
        <v>50</v>
      </c>
      <c r="N1903">
        <v>47.385658264</v>
      </c>
    </row>
    <row r="1904" spans="1:14" x14ac:dyDescent="0.25">
      <c r="A1904">
        <v>1503.0789219999999</v>
      </c>
      <c r="B1904" s="1">
        <f>DATE(2014,6,12) + TIME(1,53,38)</f>
        <v>41802.078912037039</v>
      </c>
      <c r="C1904">
        <v>2400</v>
      </c>
      <c r="D1904">
        <v>0</v>
      </c>
      <c r="E1904">
        <v>0</v>
      </c>
      <c r="F1904">
        <v>2400</v>
      </c>
      <c r="G1904">
        <v>1382.6442870999999</v>
      </c>
      <c r="H1904">
        <v>1368.6256103999999</v>
      </c>
      <c r="I1904">
        <v>1288.1726074000001</v>
      </c>
      <c r="J1904">
        <v>1268.8526611</v>
      </c>
      <c r="K1904">
        <v>80</v>
      </c>
      <c r="L1904">
        <v>79.953971863000007</v>
      </c>
      <c r="M1904">
        <v>50</v>
      </c>
      <c r="N1904">
        <v>47.337463378999999</v>
      </c>
    </row>
    <row r="1905" spans="1:14" x14ac:dyDescent="0.25">
      <c r="A1905">
        <v>1504.0433089999999</v>
      </c>
      <c r="B1905" s="1">
        <f>DATE(2014,6,13) + TIME(1,2,21)</f>
        <v>41803.043298611112</v>
      </c>
      <c r="C1905">
        <v>2400</v>
      </c>
      <c r="D1905">
        <v>0</v>
      </c>
      <c r="E1905">
        <v>0</v>
      </c>
      <c r="F1905">
        <v>2400</v>
      </c>
      <c r="G1905">
        <v>1382.5887451000001</v>
      </c>
      <c r="H1905">
        <v>1368.5812988</v>
      </c>
      <c r="I1905">
        <v>1288.1491699000001</v>
      </c>
      <c r="J1905">
        <v>1268.8205565999999</v>
      </c>
      <c r="K1905">
        <v>80</v>
      </c>
      <c r="L1905">
        <v>79.953971863000007</v>
      </c>
      <c r="M1905">
        <v>50</v>
      </c>
      <c r="N1905">
        <v>47.288822174000003</v>
      </c>
    </row>
    <row r="1906" spans="1:14" x14ac:dyDescent="0.25">
      <c r="A1906">
        <v>1505.011749</v>
      </c>
      <c r="B1906" s="1">
        <f>DATE(2014,6,14) + TIME(0,16,55)</f>
        <v>41804.011747685188</v>
      </c>
      <c r="C1906">
        <v>2400</v>
      </c>
      <c r="D1906">
        <v>0</v>
      </c>
      <c r="E1906">
        <v>0</v>
      </c>
      <c r="F1906">
        <v>2400</v>
      </c>
      <c r="G1906">
        <v>1382.5340576000001</v>
      </c>
      <c r="H1906">
        <v>1368.5377197</v>
      </c>
      <c r="I1906">
        <v>1288.1256103999999</v>
      </c>
      <c r="J1906">
        <v>1268.7879639</v>
      </c>
      <c r="K1906">
        <v>80</v>
      </c>
      <c r="L1906">
        <v>79.953979492000002</v>
      </c>
      <c r="M1906">
        <v>50</v>
      </c>
      <c r="N1906">
        <v>47.240001677999999</v>
      </c>
    </row>
    <row r="1907" spans="1:14" x14ac:dyDescent="0.25">
      <c r="A1907">
        <v>1505.9874339999999</v>
      </c>
      <c r="B1907" s="1">
        <f>DATE(2014,6,14) + TIME(23,41,54)</f>
        <v>41804.987430555557</v>
      </c>
      <c r="C1907">
        <v>2400</v>
      </c>
      <c r="D1907">
        <v>0</v>
      </c>
      <c r="E1907">
        <v>0</v>
      </c>
      <c r="F1907">
        <v>2400</v>
      </c>
      <c r="G1907">
        <v>1382.4801024999999</v>
      </c>
      <c r="H1907">
        <v>1368.4945068</v>
      </c>
      <c r="I1907">
        <v>1288.1015625</v>
      </c>
      <c r="J1907">
        <v>1268.7545166</v>
      </c>
      <c r="K1907">
        <v>80</v>
      </c>
      <c r="L1907">
        <v>79.953979492000002</v>
      </c>
      <c r="M1907">
        <v>50</v>
      </c>
      <c r="N1907">
        <v>47.191047668000003</v>
      </c>
    </row>
    <row r="1908" spans="1:14" x14ac:dyDescent="0.25">
      <c r="A1908">
        <v>1506.973557</v>
      </c>
      <c r="B1908" s="1">
        <f>DATE(2014,6,15) + TIME(23,21,55)</f>
        <v>41805.973553240743</v>
      </c>
      <c r="C1908">
        <v>2400</v>
      </c>
      <c r="D1908">
        <v>0</v>
      </c>
      <c r="E1908">
        <v>0</v>
      </c>
      <c r="F1908">
        <v>2400</v>
      </c>
      <c r="G1908">
        <v>1382.4265137</v>
      </c>
      <c r="H1908">
        <v>1368.4517822</v>
      </c>
      <c r="I1908">
        <v>1288.0770264</v>
      </c>
      <c r="J1908">
        <v>1268.7203368999999</v>
      </c>
      <c r="K1908">
        <v>80</v>
      </c>
      <c r="L1908">
        <v>79.953987122000001</v>
      </c>
      <c r="M1908">
        <v>50</v>
      </c>
      <c r="N1908">
        <v>47.141895294000001</v>
      </c>
    </row>
    <row r="1909" spans="1:14" x14ac:dyDescent="0.25">
      <c r="A1909">
        <v>1507.9733670000001</v>
      </c>
      <c r="B1909" s="1">
        <f>DATE(2014,6,16) + TIME(23,21,38)</f>
        <v>41806.973356481481</v>
      </c>
      <c r="C1909">
        <v>2400</v>
      </c>
      <c r="D1909">
        <v>0</v>
      </c>
      <c r="E1909">
        <v>0</v>
      </c>
      <c r="F1909">
        <v>2400</v>
      </c>
      <c r="G1909">
        <v>1382.3732910000001</v>
      </c>
      <c r="H1909">
        <v>1368.4090576000001</v>
      </c>
      <c r="I1909">
        <v>1288.0518798999999</v>
      </c>
      <c r="J1909">
        <v>1268.6853027</v>
      </c>
      <c r="K1909">
        <v>80</v>
      </c>
      <c r="L1909">
        <v>79.953994750999996</v>
      </c>
      <c r="M1909">
        <v>50</v>
      </c>
      <c r="N1909">
        <v>47.092422485</v>
      </c>
    </row>
    <row r="1910" spans="1:14" x14ac:dyDescent="0.25">
      <c r="A1910">
        <v>1508.9902529999999</v>
      </c>
      <c r="B1910" s="1">
        <f>DATE(2014,6,17) + TIME(23,45,57)</f>
        <v>41807.990243055552</v>
      </c>
      <c r="C1910">
        <v>2400</v>
      </c>
      <c r="D1910">
        <v>0</v>
      </c>
      <c r="E1910">
        <v>0</v>
      </c>
      <c r="F1910">
        <v>2400</v>
      </c>
      <c r="G1910">
        <v>1382.3200684000001</v>
      </c>
      <c r="H1910">
        <v>1368.3664550999999</v>
      </c>
      <c r="I1910">
        <v>1288.0261230000001</v>
      </c>
      <c r="J1910">
        <v>1268.6491699000001</v>
      </c>
      <c r="K1910">
        <v>80</v>
      </c>
      <c r="L1910">
        <v>79.954002380000006</v>
      </c>
      <c r="M1910">
        <v>50</v>
      </c>
      <c r="N1910">
        <v>47.042491912999999</v>
      </c>
    </row>
    <row r="1911" spans="1:14" x14ac:dyDescent="0.25">
      <c r="A1911">
        <v>1510.027801</v>
      </c>
      <c r="B1911" s="1">
        <f>DATE(2014,6,19) + TIME(0,40,2)</f>
        <v>41809.027800925927</v>
      </c>
      <c r="C1911">
        <v>2400</v>
      </c>
      <c r="D1911">
        <v>0</v>
      </c>
      <c r="E1911">
        <v>0</v>
      </c>
      <c r="F1911">
        <v>2400</v>
      </c>
      <c r="G1911">
        <v>1382.2668457</v>
      </c>
      <c r="H1911">
        <v>1368.3237305</v>
      </c>
      <c r="I1911">
        <v>1287.9995117000001</v>
      </c>
      <c r="J1911">
        <v>1268.6118164</v>
      </c>
      <c r="K1911">
        <v>80</v>
      </c>
      <c r="L1911">
        <v>79.954010010000005</v>
      </c>
      <c r="M1911">
        <v>50</v>
      </c>
      <c r="N1911">
        <v>46.991943358999997</v>
      </c>
    </row>
    <row r="1912" spans="1:14" x14ac:dyDescent="0.25">
      <c r="A1912">
        <v>1511.0852440000001</v>
      </c>
      <c r="B1912" s="1">
        <f>DATE(2014,6,20) + TIME(2,2,45)</f>
        <v>41810.085243055553</v>
      </c>
      <c r="C1912">
        <v>2400</v>
      </c>
      <c r="D1912">
        <v>0</v>
      </c>
      <c r="E1912">
        <v>0</v>
      </c>
      <c r="F1912">
        <v>2400</v>
      </c>
      <c r="G1912">
        <v>1382.2133789</v>
      </c>
      <c r="H1912">
        <v>1368.2807617000001</v>
      </c>
      <c r="I1912">
        <v>1287.9720459</v>
      </c>
      <c r="J1912">
        <v>1268.5729980000001</v>
      </c>
      <c r="K1912">
        <v>80</v>
      </c>
      <c r="L1912">
        <v>79.954017639</v>
      </c>
      <c r="M1912">
        <v>50</v>
      </c>
      <c r="N1912">
        <v>46.940704345999997</v>
      </c>
    </row>
    <row r="1913" spans="1:14" x14ac:dyDescent="0.25">
      <c r="A1913">
        <v>1512.1614910000001</v>
      </c>
      <c r="B1913" s="1">
        <f>DATE(2014,6,21) + TIME(3,52,32)</f>
        <v>41811.161481481482</v>
      </c>
      <c r="C1913">
        <v>2400</v>
      </c>
      <c r="D1913">
        <v>0</v>
      </c>
      <c r="E1913">
        <v>0</v>
      </c>
      <c r="F1913">
        <v>2400</v>
      </c>
      <c r="G1913">
        <v>1382.159668</v>
      </c>
      <c r="H1913">
        <v>1368.2376709</v>
      </c>
      <c r="I1913">
        <v>1287.9436035000001</v>
      </c>
      <c r="J1913">
        <v>1268.5328368999999</v>
      </c>
      <c r="K1913">
        <v>80</v>
      </c>
      <c r="L1913">
        <v>79.954025268999999</v>
      </c>
      <c r="M1913">
        <v>50</v>
      </c>
      <c r="N1913">
        <v>46.888778686999999</v>
      </c>
    </row>
    <row r="1914" spans="1:14" x14ac:dyDescent="0.25">
      <c r="A1914">
        <v>1513.2602019999999</v>
      </c>
      <c r="B1914" s="1">
        <f>DATE(2014,6,22) + TIME(6,14,41)</f>
        <v>41812.260196759256</v>
      </c>
      <c r="C1914">
        <v>2400</v>
      </c>
      <c r="D1914">
        <v>0</v>
      </c>
      <c r="E1914">
        <v>0</v>
      </c>
      <c r="F1914">
        <v>2400</v>
      </c>
      <c r="G1914">
        <v>1382.1058350000001</v>
      </c>
      <c r="H1914">
        <v>1368.1943358999999</v>
      </c>
      <c r="I1914">
        <v>1287.9143065999999</v>
      </c>
      <c r="J1914">
        <v>1268.4912108999999</v>
      </c>
      <c r="K1914">
        <v>80</v>
      </c>
      <c r="L1914">
        <v>79.954040527000004</v>
      </c>
      <c r="M1914">
        <v>50</v>
      </c>
      <c r="N1914">
        <v>46.836082458</v>
      </c>
    </row>
    <row r="1915" spans="1:14" x14ac:dyDescent="0.25">
      <c r="A1915">
        <v>1514.385293</v>
      </c>
      <c r="B1915" s="1">
        <f>DATE(2014,6,23) + TIME(9,14,49)</f>
        <v>41813.385289351849</v>
      </c>
      <c r="C1915">
        <v>2400</v>
      </c>
      <c r="D1915">
        <v>0</v>
      </c>
      <c r="E1915">
        <v>0</v>
      </c>
      <c r="F1915">
        <v>2400</v>
      </c>
      <c r="G1915">
        <v>1382.0517577999999</v>
      </c>
      <c r="H1915">
        <v>1368.1507568</v>
      </c>
      <c r="I1915">
        <v>1287.8839111</v>
      </c>
      <c r="J1915">
        <v>1268.4479980000001</v>
      </c>
      <c r="K1915">
        <v>80</v>
      </c>
      <c r="L1915">
        <v>79.954048157000003</v>
      </c>
      <c r="M1915">
        <v>50</v>
      </c>
      <c r="N1915">
        <v>46.782489777000002</v>
      </c>
    </row>
    <row r="1916" spans="1:14" x14ac:dyDescent="0.25">
      <c r="A1916">
        <v>1515.5287080000001</v>
      </c>
      <c r="B1916" s="1">
        <f>DATE(2014,6,24) + TIME(12,41,20)</f>
        <v>41814.528703703705</v>
      </c>
      <c r="C1916">
        <v>2400</v>
      </c>
      <c r="D1916">
        <v>0</v>
      </c>
      <c r="E1916">
        <v>0</v>
      </c>
      <c r="F1916">
        <v>2400</v>
      </c>
      <c r="G1916">
        <v>1381.9971923999999</v>
      </c>
      <c r="H1916">
        <v>1368.1066894999999</v>
      </c>
      <c r="I1916">
        <v>1287.8522949000001</v>
      </c>
      <c r="J1916">
        <v>1268.4029541</v>
      </c>
      <c r="K1916">
        <v>80</v>
      </c>
      <c r="L1916">
        <v>79.954063415999997</v>
      </c>
      <c r="M1916">
        <v>50</v>
      </c>
      <c r="N1916">
        <v>46.728084564</v>
      </c>
    </row>
    <row r="1917" spans="1:14" x14ac:dyDescent="0.25">
      <c r="A1917">
        <v>1516.6789739999999</v>
      </c>
      <c r="B1917" s="1">
        <f>DATE(2014,6,25) + TIME(16,17,43)</f>
        <v>41815.678969907407</v>
      </c>
      <c r="C1917">
        <v>2400</v>
      </c>
      <c r="D1917">
        <v>0</v>
      </c>
      <c r="E1917">
        <v>0</v>
      </c>
      <c r="F1917">
        <v>2400</v>
      </c>
      <c r="G1917">
        <v>1381.9426269999999</v>
      </c>
      <c r="H1917">
        <v>1368.0625</v>
      </c>
      <c r="I1917">
        <v>1287.8197021000001</v>
      </c>
      <c r="J1917">
        <v>1268.3564452999999</v>
      </c>
      <c r="K1917">
        <v>80</v>
      </c>
      <c r="L1917">
        <v>79.954071045000006</v>
      </c>
      <c r="M1917">
        <v>50</v>
      </c>
      <c r="N1917">
        <v>46.673187255999999</v>
      </c>
    </row>
    <row r="1918" spans="1:14" x14ac:dyDescent="0.25">
      <c r="A1918">
        <v>1517.8399830000001</v>
      </c>
      <c r="B1918" s="1">
        <f>DATE(2014,6,26) + TIME(20,9,34)</f>
        <v>41816.83997685185</v>
      </c>
      <c r="C1918">
        <v>2400</v>
      </c>
      <c r="D1918">
        <v>0</v>
      </c>
      <c r="E1918">
        <v>0</v>
      </c>
      <c r="F1918">
        <v>2400</v>
      </c>
      <c r="G1918">
        <v>1381.8884277</v>
      </c>
      <c r="H1918">
        <v>1368.0186768000001</v>
      </c>
      <c r="I1918">
        <v>1287.7863769999999</v>
      </c>
      <c r="J1918">
        <v>1268.3085937999999</v>
      </c>
      <c r="K1918">
        <v>80</v>
      </c>
      <c r="L1918">
        <v>79.954086304</v>
      </c>
      <c r="M1918">
        <v>50</v>
      </c>
      <c r="N1918">
        <v>46.617931366000001</v>
      </c>
    </row>
    <row r="1919" spans="1:14" x14ac:dyDescent="0.25">
      <c r="A1919">
        <v>1519.011806</v>
      </c>
      <c r="B1919" s="1">
        <f>DATE(2014,6,28) + TIME(0,17,0)</f>
        <v>41818.011805555558</v>
      </c>
      <c r="C1919">
        <v>2400</v>
      </c>
      <c r="D1919">
        <v>0</v>
      </c>
      <c r="E1919">
        <v>0</v>
      </c>
      <c r="F1919">
        <v>2400</v>
      </c>
      <c r="G1919">
        <v>1381.8345947</v>
      </c>
      <c r="H1919">
        <v>1367.9750977000001</v>
      </c>
      <c r="I1919">
        <v>1287.7523193</v>
      </c>
      <c r="J1919">
        <v>1268.2593993999999</v>
      </c>
      <c r="K1919">
        <v>80</v>
      </c>
      <c r="L1919">
        <v>79.954093932999996</v>
      </c>
      <c r="M1919">
        <v>50</v>
      </c>
      <c r="N1919">
        <v>46.562351227000001</v>
      </c>
    </row>
    <row r="1920" spans="1:14" x14ac:dyDescent="0.25">
      <c r="A1920">
        <v>1520.194426</v>
      </c>
      <c r="B1920" s="1">
        <f>DATE(2014,6,29) + TIME(4,39,58)</f>
        <v>41819.194421296299</v>
      </c>
      <c r="C1920">
        <v>2400</v>
      </c>
      <c r="D1920">
        <v>0</v>
      </c>
      <c r="E1920">
        <v>0</v>
      </c>
      <c r="F1920">
        <v>2400</v>
      </c>
      <c r="G1920">
        <v>1381.7811279</v>
      </c>
      <c r="H1920">
        <v>1367.9316406</v>
      </c>
      <c r="I1920">
        <v>1287.7172852000001</v>
      </c>
      <c r="J1920">
        <v>1268.2088623</v>
      </c>
      <c r="K1920">
        <v>80</v>
      </c>
      <c r="L1920">
        <v>79.954109192000004</v>
      </c>
      <c r="M1920">
        <v>50</v>
      </c>
      <c r="N1920">
        <v>46.506450653000002</v>
      </c>
    </row>
    <row r="1921" spans="1:14" x14ac:dyDescent="0.25">
      <c r="A1921">
        <v>1521.3915</v>
      </c>
      <c r="B1921" s="1">
        <f>DATE(2014,6,30) + TIME(9,23,45)</f>
        <v>41820.391493055555</v>
      </c>
      <c r="C1921">
        <v>2400</v>
      </c>
      <c r="D1921">
        <v>0</v>
      </c>
      <c r="E1921">
        <v>0</v>
      </c>
      <c r="F1921">
        <v>2400</v>
      </c>
      <c r="G1921">
        <v>1381.7277832</v>
      </c>
      <c r="H1921">
        <v>1367.8883057</v>
      </c>
      <c r="I1921">
        <v>1287.6815185999999</v>
      </c>
      <c r="J1921">
        <v>1268.1568603999999</v>
      </c>
      <c r="K1921">
        <v>80</v>
      </c>
      <c r="L1921">
        <v>79.954124450999998</v>
      </c>
      <c r="M1921">
        <v>50</v>
      </c>
      <c r="N1921">
        <v>46.450164794999999</v>
      </c>
    </row>
    <row r="1922" spans="1:14" x14ac:dyDescent="0.25">
      <c r="A1922">
        <v>1522</v>
      </c>
      <c r="B1922" s="1">
        <f>DATE(2014,7,1) + TIME(0,0,0)</f>
        <v>41821</v>
      </c>
      <c r="C1922">
        <v>2400</v>
      </c>
      <c r="D1922">
        <v>0</v>
      </c>
      <c r="E1922">
        <v>0</v>
      </c>
      <c r="F1922">
        <v>2400</v>
      </c>
      <c r="G1922">
        <v>1381.6746826000001</v>
      </c>
      <c r="H1922">
        <v>1367.8452147999999</v>
      </c>
      <c r="I1922">
        <v>1287.6442870999999</v>
      </c>
      <c r="J1922">
        <v>1268.1074219</v>
      </c>
      <c r="K1922">
        <v>80</v>
      </c>
      <c r="L1922">
        <v>79.954124450999998</v>
      </c>
      <c r="M1922">
        <v>50</v>
      </c>
      <c r="N1922">
        <v>46.410083770999996</v>
      </c>
    </row>
    <row r="1923" spans="1:14" x14ac:dyDescent="0.25">
      <c r="A1923">
        <v>1523.215314</v>
      </c>
      <c r="B1923" s="1">
        <f>DATE(2014,7,2) + TIME(5,10,3)</f>
        <v>41822.215312499997</v>
      </c>
      <c r="C1923">
        <v>2400</v>
      </c>
      <c r="D1923">
        <v>0</v>
      </c>
      <c r="E1923">
        <v>0</v>
      </c>
      <c r="F1923">
        <v>2400</v>
      </c>
      <c r="G1923">
        <v>1381.6478271000001</v>
      </c>
      <c r="H1923">
        <v>1367.8232422000001</v>
      </c>
      <c r="I1923">
        <v>1287.6253661999999</v>
      </c>
      <c r="J1923">
        <v>1268.0734863</v>
      </c>
      <c r="K1923">
        <v>80</v>
      </c>
      <c r="L1923">
        <v>79.954147339000002</v>
      </c>
      <c r="M1923">
        <v>50</v>
      </c>
      <c r="N1923">
        <v>46.359889983999999</v>
      </c>
    </row>
    <row r="1924" spans="1:14" x14ac:dyDescent="0.25">
      <c r="A1924">
        <v>1524.465911</v>
      </c>
      <c r="B1924" s="1">
        <f>DATE(2014,7,3) + TIME(11,10,54)</f>
        <v>41823.465902777774</v>
      </c>
      <c r="C1924">
        <v>2400</v>
      </c>
      <c r="D1924">
        <v>0</v>
      </c>
      <c r="E1924">
        <v>0</v>
      </c>
      <c r="F1924">
        <v>2400</v>
      </c>
      <c r="G1924">
        <v>1381.5950928</v>
      </c>
      <c r="H1924">
        <v>1367.7802733999999</v>
      </c>
      <c r="I1924">
        <v>1287.5874022999999</v>
      </c>
      <c r="J1924">
        <v>1268.0186768000001</v>
      </c>
      <c r="K1924">
        <v>80</v>
      </c>
      <c r="L1924">
        <v>79.954162597999996</v>
      </c>
      <c r="M1924">
        <v>50</v>
      </c>
      <c r="N1924">
        <v>46.304992675999998</v>
      </c>
    </row>
    <row r="1925" spans="1:14" x14ac:dyDescent="0.25">
      <c r="A1925">
        <v>1525.74497</v>
      </c>
      <c r="B1925" s="1">
        <f>DATE(2014,7,4) + TIME(17,52,45)</f>
        <v>41824.74496527778</v>
      </c>
      <c r="C1925">
        <v>2400</v>
      </c>
      <c r="D1925">
        <v>0</v>
      </c>
      <c r="E1925">
        <v>0</v>
      </c>
      <c r="F1925">
        <v>2400</v>
      </c>
      <c r="G1925">
        <v>1381.5415039</v>
      </c>
      <c r="H1925">
        <v>1367.7365723</v>
      </c>
      <c r="I1925">
        <v>1287.5476074000001</v>
      </c>
      <c r="J1925">
        <v>1267.9604492000001</v>
      </c>
      <c r="K1925">
        <v>80</v>
      </c>
      <c r="L1925">
        <v>79.954185486</v>
      </c>
      <c r="M1925">
        <v>50</v>
      </c>
      <c r="N1925">
        <v>46.247379303000002</v>
      </c>
    </row>
    <row r="1926" spans="1:14" x14ac:dyDescent="0.25">
      <c r="A1926">
        <v>1527.0583180000001</v>
      </c>
      <c r="B1926" s="1">
        <f>DATE(2014,7,6) + TIME(1,23,58)</f>
        <v>41826.058310185188</v>
      </c>
      <c r="C1926">
        <v>2400</v>
      </c>
      <c r="D1926">
        <v>0</v>
      </c>
      <c r="E1926">
        <v>0</v>
      </c>
      <c r="F1926">
        <v>2400</v>
      </c>
      <c r="G1926">
        <v>1381.4874268000001</v>
      </c>
      <c r="H1926">
        <v>1367.6922606999999</v>
      </c>
      <c r="I1926">
        <v>1287.5062256000001</v>
      </c>
      <c r="J1926">
        <v>1267.8995361</v>
      </c>
      <c r="K1926">
        <v>80</v>
      </c>
      <c r="L1926">
        <v>79.954200744999994</v>
      </c>
      <c r="M1926">
        <v>50</v>
      </c>
      <c r="N1926">
        <v>46.187866210999999</v>
      </c>
    </row>
    <row r="1927" spans="1:14" x14ac:dyDescent="0.25">
      <c r="A1927">
        <v>1528.39102</v>
      </c>
      <c r="B1927" s="1">
        <f>DATE(2014,7,7) + TIME(9,23,4)</f>
        <v>41827.391018518516</v>
      </c>
      <c r="C1927">
        <v>2400</v>
      </c>
      <c r="D1927">
        <v>0</v>
      </c>
      <c r="E1927">
        <v>0</v>
      </c>
      <c r="F1927">
        <v>2400</v>
      </c>
      <c r="G1927">
        <v>1381.4327393000001</v>
      </c>
      <c r="H1927">
        <v>1367.6474608999999</v>
      </c>
      <c r="I1927">
        <v>1287.4630127</v>
      </c>
      <c r="J1927">
        <v>1267.8358154</v>
      </c>
      <c r="K1927">
        <v>80</v>
      </c>
      <c r="L1927">
        <v>79.954216002999999</v>
      </c>
      <c r="M1927">
        <v>50</v>
      </c>
      <c r="N1927">
        <v>46.127010345000002</v>
      </c>
    </row>
    <row r="1928" spans="1:14" x14ac:dyDescent="0.25">
      <c r="A1928">
        <v>1529.727009</v>
      </c>
      <c r="B1928" s="1">
        <f>DATE(2014,7,8) + TIME(17,26,53)</f>
        <v>41828.727002314816</v>
      </c>
      <c r="C1928">
        <v>2400</v>
      </c>
      <c r="D1928">
        <v>0</v>
      </c>
      <c r="E1928">
        <v>0</v>
      </c>
      <c r="F1928">
        <v>2400</v>
      </c>
      <c r="G1928">
        <v>1381.3779297000001</v>
      </c>
      <c r="H1928">
        <v>1367.6025391000001</v>
      </c>
      <c r="I1928">
        <v>1287.4185791</v>
      </c>
      <c r="J1928">
        <v>1267.7697754000001</v>
      </c>
      <c r="K1928">
        <v>80</v>
      </c>
      <c r="L1928">
        <v>79.954238892000006</v>
      </c>
      <c r="M1928">
        <v>50</v>
      </c>
      <c r="N1928">
        <v>46.065494536999999</v>
      </c>
    </row>
    <row r="1929" spans="1:14" x14ac:dyDescent="0.25">
      <c r="A1929">
        <v>1531.070434</v>
      </c>
      <c r="B1929" s="1">
        <f>DATE(2014,7,10) + TIME(1,41,25)</f>
        <v>41830.070428240739</v>
      </c>
      <c r="C1929">
        <v>2400</v>
      </c>
      <c r="D1929">
        <v>0</v>
      </c>
      <c r="E1929">
        <v>0</v>
      </c>
      <c r="F1929">
        <v>2400</v>
      </c>
      <c r="G1929">
        <v>1381.3237305</v>
      </c>
      <c r="H1929">
        <v>1367.5581055</v>
      </c>
      <c r="I1929">
        <v>1287.3732910000001</v>
      </c>
      <c r="J1929">
        <v>1267.7022704999999</v>
      </c>
      <c r="K1929">
        <v>80</v>
      </c>
      <c r="L1929">
        <v>79.954261779999996</v>
      </c>
      <c r="M1929">
        <v>50</v>
      </c>
      <c r="N1929">
        <v>46.003658295000001</v>
      </c>
    </row>
    <row r="1930" spans="1:14" x14ac:dyDescent="0.25">
      <c r="A1930">
        <v>1532.4254599999999</v>
      </c>
      <c r="B1930" s="1">
        <f>DATE(2014,7,11) + TIME(10,12,39)</f>
        <v>41831.425451388888</v>
      </c>
      <c r="C1930">
        <v>2400</v>
      </c>
      <c r="D1930">
        <v>0</v>
      </c>
      <c r="E1930">
        <v>0</v>
      </c>
      <c r="F1930">
        <v>2400</v>
      </c>
      <c r="G1930">
        <v>1381.2700195</v>
      </c>
      <c r="H1930">
        <v>1367.5139160000001</v>
      </c>
      <c r="I1930">
        <v>1287.3270264</v>
      </c>
      <c r="J1930">
        <v>1267.6330565999999</v>
      </c>
      <c r="K1930">
        <v>80</v>
      </c>
      <c r="L1930">
        <v>79.954277039000004</v>
      </c>
      <c r="M1930">
        <v>50</v>
      </c>
      <c r="N1930">
        <v>45.941532135000003</v>
      </c>
    </row>
    <row r="1931" spans="1:14" x14ac:dyDescent="0.25">
      <c r="A1931">
        <v>1533.7963119999999</v>
      </c>
      <c r="B1931" s="1">
        <f>DATE(2014,7,12) + TIME(19,6,41)</f>
        <v>41832.796307870369</v>
      </c>
      <c r="C1931">
        <v>2400</v>
      </c>
      <c r="D1931">
        <v>0</v>
      </c>
      <c r="E1931">
        <v>0</v>
      </c>
      <c r="F1931">
        <v>2400</v>
      </c>
      <c r="G1931">
        <v>1381.2165527</v>
      </c>
      <c r="H1931">
        <v>1367.4698486</v>
      </c>
      <c r="I1931">
        <v>1287.2796631000001</v>
      </c>
      <c r="J1931">
        <v>1267.5618896000001</v>
      </c>
      <c r="K1931">
        <v>80</v>
      </c>
      <c r="L1931">
        <v>79.954299926999994</v>
      </c>
      <c r="M1931">
        <v>50</v>
      </c>
      <c r="N1931">
        <v>45.879009246999999</v>
      </c>
    </row>
    <row r="1932" spans="1:14" x14ac:dyDescent="0.25">
      <c r="A1932">
        <v>1535.1873740000001</v>
      </c>
      <c r="B1932" s="1">
        <f>DATE(2014,7,14) + TIME(4,29,49)</f>
        <v>41834.187372685185</v>
      </c>
      <c r="C1932">
        <v>2400</v>
      </c>
      <c r="D1932">
        <v>0</v>
      </c>
      <c r="E1932">
        <v>0</v>
      </c>
      <c r="F1932">
        <v>2400</v>
      </c>
      <c r="G1932">
        <v>1381.1632079999999</v>
      </c>
      <c r="H1932">
        <v>1367.4257812000001</v>
      </c>
      <c r="I1932">
        <v>1287.2310791</v>
      </c>
      <c r="J1932">
        <v>1267.4887695</v>
      </c>
      <c r="K1932">
        <v>80</v>
      </c>
      <c r="L1932">
        <v>79.954322814999998</v>
      </c>
      <c r="M1932">
        <v>50</v>
      </c>
      <c r="N1932">
        <v>45.815933227999999</v>
      </c>
    </row>
    <row r="1933" spans="1:14" x14ac:dyDescent="0.25">
      <c r="A1933">
        <v>1536.603269</v>
      </c>
      <c r="B1933" s="1">
        <f>DATE(2014,7,15) + TIME(14,28,42)</f>
        <v>41835.603263888886</v>
      </c>
      <c r="C1933">
        <v>2400</v>
      </c>
      <c r="D1933">
        <v>0</v>
      </c>
      <c r="E1933">
        <v>0</v>
      </c>
      <c r="F1933">
        <v>2400</v>
      </c>
      <c r="G1933">
        <v>1381.1097411999999</v>
      </c>
      <c r="H1933">
        <v>1367.3815918</v>
      </c>
      <c r="I1933">
        <v>1287.1811522999999</v>
      </c>
      <c r="J1933">
        <v>1267.4130858999999</v>
      </c>
      <c r="K1933">
        <v>80</v>
      </c>
      <c r="L1933">
        <v>79.954345703000001</v>
      </c>
      <c r="M1933">
        <v>50</v>
      </c>
      <c r="N1933">
        <v>45.752128601000003</v>
      </c>
    </row>
    <row r="1934" spans="1:14" x14ac:dyDescent="0.25">
      <c r="A1934">
        <v>1538.0489319999999</v>
      </c>
      <c r="B1934" s="1">
        <f>DATE(2014,7,17) + TIME(1,10,27)</f>
        <v>41837.04892361111</v>
      </c>
      <c r="C1934">
        <v>2400</v>
      </c>
      <c r="D1934">
        <v>0</v>
      </c>
      <c r="E1934">
        <v>0</v>
      </c>
      <c r="F1934">
        <v>2400</v>
      </c>
      <c r="G1934">
        <v>1381.0560303</v>
      </c>
      <c r="H1934">
        <v>1367.3371582</v>
      </c>
      <c r="I1934">
        <v>1287.1296387</v>
      </c>
      <c r="J1934">
        <v>1267.3348389</v>
      </c>
      <c r="K1934">
        <v>80</v>
      </c>
      <c r="L1934">
        <v>79.954368591000005</v>
      </c>
      <c r="M1934">
        <v>50</v>
      </c>
      <c r="N1934">
        <v>45.687400818</v>
      </c>
    </row>
    <row r="1935" spans="1:14" x14ac:dyDescent="0.25">
      <c r="A1935">
        <v>1539.5298330000001</v>
      </c>
      <c r="B1935" s="1">
        <f>DATE(2014,7,18) + TIME(12,42,57)</f>
        <v>41838.529826388891</v>
      </c>
      <c r="C1935">
        <v>2400</v>
      </c>
      <c r="D1935">
        <v>0</v>
      </c>
      <c r="E1935">
        <v>0</v>
      </c>
      <c r="F1935">
        <v>2400</v>
      </c>
      <c r="G1935">
        <v>1381.0018310999999</v>
      </c>
      <c r="H1935">
        <v>1367.2923584</v>
      </c>
      <c r="I1935">
        <v>1287.0762939000001</v>
      </c>
      <c r="J1935">
        <v>1267.2535399999999</v>
      </c>
      <c r="K1935">
        <v>80</v>
      </c>
      <c r="L1935">
        <v>79.954391478999995</v>
      </c>
      <c r="M1935">
        <v>50</v>
      </c>
      <c r="N1935">
        <v>45.621540070000002</v>
      </c>
    </row>
    <row r="1936" spans="1:14" x14ac:dyDescent="0.25">
      <c r="A1936">
        <v>1541.0411280000001</v>
      </c>
      <c r="B1936" s="1">
        <f>DATE(2014,7,20) + TIME(0,59,13)</f>
        <v>41840.041122685187</v>
      </c>
      <c r="C1936">
        <v>2400</v>
      </c>
      <c r="D1936">
        <v>0</v>
      </c>
      <c r="E1936">
        <v>0</v>
      </c>
      <c r="F1936">
        <v>2400</v>
      </c>
      <c r="G1936">
        <v>1380.9471435999999</v>
      </c>
      <c r="H1936">
        <v>1367.2469481999999</v>
      </c>
      <c r="I1936">
        <v>1287.0209961</v>
      </c>
      <c r="J1936">
        <v>1267.1689452999999</v>
      </c>
      <c r="K1936">
        <v>80</v>
      </c>
      <c r="L1936">
        <v>79.954414368000002</v>
      </c>
      <c r="M1936">
        <v>50</v>
      </c>
      <c r="N1936">
        <v>45.554500580000003</v>
      </c>
    </row>
    <row r="1937" spans="1:14" x14ac:dyDescent="0.25">
      <c r="A1937">
        <v>1542.5693879999999</v>
      </c>
      <c r="B1937" s="1">
        <f>DATE(2014,7,21) + TIME(13,39,55)</f>
        <v>41841.569386574076</v>
      </c>
      <c r="C1937">
        <v>2400</v>
      </c>
      <c r="D1937">
        <v>0</v>
      </c>
      <c r="E1937">
        <v>0</v>
      </c>
      <c r="F1937">
        <v>2400</v>
      </c>
      <c r="G1937">
        <v>1380.8919678</v>
      </c>
      <c r="H1937">
        <v>1367.2010498</v>
      </c>
      <c r="I1937">
        <v>1286.9638672000001</v>
      </c>
      <c r="J1937">
        <v>1267.0811768000001</v>
      </c>
      <c r="K1937">
        <v>80</v>
      </c>
      <c r="L1937">
        <v>79.954444885000001</v>
      </c>
      <c r="M1937">
        <v>50</v>
      </c>
      <c r="N1937">
        <v>45.486549377000003</v>
      </c>
    </row>
    <row r="1938" spans="1:14" x14ac:dyDescent="0.25">
      <c r="A1938">
        <v>1544.10421</v>
      </c>
      <c r="B1938" s="1">
        <f>DATE(2014,7,23) + TIME(2,30,3)</f>
        <v>41843.104201388887</v>
      </c>
      <c r="C1938">
        <v>2400</v>
      </c>
      <c r="D1938">
        <v>0</v>
      </c>
      <c r="E1938">
        <v>0</v>
      </c>
      <c r="F1938">
        <v>2400</v>
      </c>
      <c r="G1938">
        <v>1380.8369141000001</v>
      </c>
      <c r="H1938">
        <v>1367.1552733999999</v>
      </c>
      <c r="I1938">
        <v>1286.9052733999999</v>
      </c>
      <c r="J1938">
        <v>1266.9910889</v>
      </c>
      <c r="K1938">
        <v>80</v>
      </c>
      <c r="L1938">
        <v>79.954467773000005</v>
      </c>
      <c r="M1938">
        <v>50</v>
      </c>
      <c r="N1938">
        <v>45.418140411000003</v>
      </c>
    </row>
    <row r="1939" spans="1:14" x14ac:dyDescent="0.25">
      <c r="A1939">
        <v>1545.650445</v>
      </c>
      <c r="B1939" s="1">
        <f>DATE(2014,7,24) + TIME(15,36,38)</f>
        <v>41844.650439814817</v>
      </c>
      <c r="C1939">
        <v>2400</v>
      </c>
      <c r="D1939">
        <v>0</v>
      </c>
      <c r="E1939">
        <v>0</v>
      </c>
      <c r="F1939">
        <v>2400</v>
      </c>
      <c r="G1939">
        <v>1380.7822266000001</v>
      </c>
      <c r="H1939">
        <v>1367.1096190999999</v>
      </c>
      <c r="I1939">
        <v>1286.8457031</v>
      </c>
      <c r="J1939">
        <v>1266.8989257999999</v>
      </c>
      <c r="K1939">
        <v>80</v>
      </c>
      <c r="L1939">
        <v>79.954498290999993</v>
      </c>
      <c r="M1939">
        <v>50</v>
      </c>
      <c r="N1939">
        <v>45.349498748999999</v>
      </c>
    </row>
    <row r="1940" spans="1:14" x14ac:dyDescent="0.25">
      <c r="A1940">
        <v>1547.2129849999999</v>
      </c>
      <c r="B1940" s="1">
        <f>DATE(2014,7,26) + TIME(5,6,41)</f>
        <v>41846.21297453704</v>
      </c>
      <c r="C1940">
        <v>2400</v>
      </c>
      <c r="D1940">
        <v>0</v>
      </c>
      <c r="E1940">
        <v>0</v>
      </c>
      <c r="F1940">
        <v>2400</v>
      </c>
      <c r="G1940">
        <v>1380.7279053</v>
      </c>
      <c r="H1940">
        <v>1367.0643310999999</v>
      </c>
      <c r="I1940">
        <v>1286.7849120999999</v>
      </c>
      <c r="J1940">
        <v>1266.8045654</v>
      </c>
      <c r="K1940">
        <v>80</v>
      </c>
      <c r="L1940">
        <v>79.954521178999997</v>
      </c>
      <c r="M1940">
        <v>50</v>
      </c>
      <c r="N1940">
        <v>45.280590056999998</v>
      </c>
    </row>
    <row r="1941" spans="1:14" x14ac:dyDescent="0.25">
      <c r="A1941">
        <v>1548.7968679999999</v>
      </c>
      <c r="B1941" s="1">
        <f>DATE(2014,7,27) + TIME(19,7,29)</f>
        <v>41847.796863425923</v>
      </c>
      <c r="C1941">
        <v>2400</v>
      </c>
      <c r="D1941">
        <v>0</v>
      </c>
      <c r="E1941">
        <v>0</v>
      </c>
      <c r="F1941">
        <v>2400</v>
      </c>
      <c r="G1941">
        <v>1380.6737060999999</v>
      </c>
      <c r="H1941">
        <v>1367.0189209</v>
      </c>
      <c r="I1941">
        <v>1286.7229004000001</v>
      </c>
      <c r="J1941">
        <v>1266.7078856999999</v>
      </c>
      <c r="K1941">
        <v>80</v>
      </c>
      <c r="L1941">
        <v>79.954551696999999</v>
      </c>
      <c r="M1941">
        <v>50</v>
      </c>
      <c r="N1941">
        <v>45.211280823000003</v>
      </c>
    </row>
    <row r="1942" spans="1:14" x14ac:dyDescent="0.25">
      <c r="A1942">
        <v>1550.407406</v>
      </c>
      <c r="B1942" s="1">
        <f>DATE(2014,7,29) + TIME(9,46,39)</f>
        <v>41849.407395833332</v>
      </c>
      <c r="C1942">
        <v>2400</v>
      </c>
      <c r="D1942">
        <v>0</v>
      </c>
      <c r="E1942">
        <v>0</v>
      </c>
      <c r="F1942">
        <v>2400</v>
      </c>
      <c r="G1942">
        <v>1380.6193848</v>
      </c>
      <c r="H1942">
        <v>1366.9733887</v>
      </c>
      <c r="I1942">
        <v>1286.6594238</v>
      </c>
      <c r="J1942">
        <v>1266.6085204999999</v>
      </c>
      <c r="K1942">
        <v>80</v>
      </c>
      <c r="L1942">
        <v>79.954582213999998</v>
      </c>
      <c r="M1942">
        <v>50</v>
      </c>
      <c r="N1942">
        <v>45.141407012999998</v>
      </c>
    </row>
    <row r="1943" spans="1:14" x14ac:dyDescent="0.25">
      <c r="A1943">
        <v>1552.049579</v>
      </c>
      <c r="B1943" s="1">
        <f>DATE(2014,7,31) + TIME(1,11,23)</f>
        <v>41851.049571759257</v>
      </c>
      <c r="C1943">
        <v>2400</v>
      </c>
      <c r="D1943">
        <v>0</v>
      </c>
      <c r="E1943">
        <v>0</v>
      </c>
      <c r="F1943">
        <v>2400</v>
      </c>
      <c r="G1943">
        <v>1380.5648193</v>
      </c>
      <c r="H1943">
        <v>1366.9276123</v>
      </c>
      <c r="I1943">
        <v>1286.5942382999999</v>
      </c>
      <c r="J1943">
        <v>1266.5062256000001</v>
      </c>
      <c r="K1943">
        <v>80</v>
      </c>
      <c r="L1943">
        <v>79.954605103000006</v>
      </c>
      <c r="M1943">
        <v>50</v>
      </c>
      <c r="N1943">
        <v>45.070800781000003</v>
      </c>
    </row>
    <row r="1944" spans="1:14" x14ac:dyDescent="0.25">
      <c r="A1944">
        <v>1553</v>
      </c>
      <c r="B1944" s="1">
        <f>DATE(2014,8,1) + TIME(0,0,0)</f>
        <v>41852</v>
      </c>
      <c r="C1944">
        <v>2400</v>
      </c>
      <c r="D1944">
        <v>0</v>
      </c>
      <c r="E1944">
        <v>0</v>
      </c>
      <c r="F1944">
        <v>2400</v>
      </c>
      <c r="G1944">
        <v>1380.5098877</v>
      </c>
      <c r="H1944">
        <v>1366.8814697</v>
      </c>
      <c r="I1944">
        <v>1286.5283202999999</v>
      </c>
      <c r="J1944">
        <v>1266.4074707</v>
      </c>
      <c r="K1944">
        <v>80</v>
      </c>
      <c r="L1944">
        <v>79.954620360999996</v>
      </c>
      <c r="M1944">
        <v>50</v>
      </c>
      <c r="N1944">
        <v>45.014156342</v>
      </c>
    </row>
    <row r="1945" spans="1:14" x14ac:dyDescent="0.25">
      <c r="A1945">
        <v>1554.6648339999999</v>
      </c>
      <c r="B1945" s="1">
        <f>DATE(2014,8,2) + TIME(15,57,21)</f>
        <v>41853.664826388886</v>
      </c>
      <c r="C1945">
        <v>2400</v>
      </c>
      <c r="D1945">
        <v>0</v>
      </c>
      <c r="E1945">
        <v>0</v>
      </c>
      <c r="F1945">
        <v>2400</v>
      </c>
      <c r="G1945">
        <v>1380.4782714999999</v>
      </c>
      <c r="H1945">
        <v>1366.8548584</v>
      </c>
      <c r="I1945">
        <v>1286.4863281</v>
      </c>
      <c r="J1945">
        <v>1266.3342285000001</v>
      </c>
      <c r="K1945">
        <v>80</v>
      </c>
      <c r="L1945">
        <v>79.954650878999999</v>
      </c>
      <c r="M1945">
        <v>50</v>
      </c>
      <c r="N1945">
        <v>44.953186035000002</v>
      </c>
    </row>
    <row r="1946" spans="1:14" x14ac:dyDescent="0.25">
      <c r="A1946">
        <v>1556.3767419999999</v>
      </c>
      <c r="B1946" s="1">
        <f>DATE(2014,8,4) + TIME(9,2,30)</f>
        <v>41855.376736111109</v>
      </c>
      <c r="C1946">
        <v>2400</v>
      </c>
      <c r="D1946">
        <v>0</v>
      </c>
      <c r="E1946">
        <v>0</v>
      </c>
      <c r="F1946">
        <v>2400</v>
      </c>
      <c r="G1946">
        <v>1380.4237060999999</v>
      </c>
      <c r="H1946">
        <v>1366.8088379000001</v>
      </c>
      <c r="I1946">
        <v>1286.418457</v>
      </c>
      <c r="J1946">
        <v>1266.2277832</v>
      </c>
      <c r="K1946">
        <v>80</v>
      </c>
      <c r="L1946">
        <v>79.954689025999997</v>
      </c>
      <c r="M1946">
        <v>50</v>
      </c>
      <c r="N1946">
        <v>44.884826660000002</v>
      </c>
    </row>
    <row r="1947" spans="1:14" x14ac:dyDescent="0.25">
      <c r="A1947">
        <v>1558.125423</v>
      </c>
      <c r="B1947" s="1">
        <f>DATE(2014,8,6) + TIME(3,0,36)</f>
        <v>41857.125416666669</v>
      </c>
      <c r="C1947">
        <v>2400</v>
      </c>
      <c r="D1947">
        <v>0</v>
      </c>
      <c r="E1947">
        <v>0</v>
      </c>
      <c r="F1947">
        <v>2400</v>
      </c>
      <c r="G1947">
        <v>1380.3681641000001</v>
      </c>
      <c r="H1947">
        <v>1366.7619629000001</v>
      </c>
      <c r="I1947">
        <v>1286.3474120999999</v>
      </c>
      <c r="J1947">
        <v>1266.1152344</v>
      </c>
      <c r="K1947">
        <v>80</v>
      </c>
      <c r="L1947">
        <v>79.954719542999996</v>
      </c>
      <c r="M1947">
        <v>50</v>
      </c>
      <c r="N1947">
        <v>44.813171386999997</v>
      </c>
    </row>
    <row r="1948" spans="1:14" x14ac:dyDescent="0.25">
      <c r="A1948">
        <v>1559.8850660000001</v>
      </c>
      <c r="B1948" s="1">
        <f>DATE(2014,8,7) + TIME(21,14,29)</f>
        <v>41858.885057870371</v>
      </c>
      <c r="C1948">
        <v>2400</v>
      </c>
      <c r="D1948">
        <v>0</v>
      </c>
      <c r="E1948">
        <v>0</v>
      </c>
      <c r="F1948">
        <v>2400</v>
      </c>
      <c r="G1948">
        <v>1380.3120117000001</v>
      </c>
      <c r="H1948">
        <v>1366.7144774999999</v>
      </c>
      <c r="I1948">
        <v>1286.2741699000001</v>
      </c>
      <c r="J1948">
        <v>1265.9986572</v>
      </c>
      <c r="K1948">
        <v>80</v>
      </c>
      <c r="L1948">
        <v>79.954750060999999</v>
      </c>
      <c r="M1948">
        <v>50</v>
      </c>
      <c r="N1948">
        <v>44.740222930999998</v>
      </c>
    </row>
    <row r="1949" spans="1:14" x14ac:dyDescent="0.25">
      <c r="A1949">
        <v>1561.660605</v>
      </c>
      <c r="B1949" s="1">
        <f>DATE(2014,8,9) + TIME(15,51,16)</f>
        <v>41860.660601851851</v>
      </c>
      <c r="C1949">
        <v>2400</v>
      </c>
      <c r="D1949">
        <v>0</v>
      </c>
      <c r="E1949">
        <v>0</v>
      </c>
      <c r="F1949">
        <v>2400</v>
      </c>
      <c r="G1949">
        <v>1380.2562256000001</v>
      </c>
      <c r="H1949">
        <v>1366.6672363</v>
      </c>
      <c r="I1949">
        <v>1286.1998291</v>
      </c>
      <c r="J1949">
        <v>1265.8796387</v>
      </c>
      <c r="K1949">
        <v>80</v>
      </c>
      <c r="L1949">
        <v>79.954788207999997</v>
      </c>
      <c r="M1949">
        <v>50</v>
      </c>
      <c r="N1949">
        <v>44.66702652</v>
      </c>
    </row>
    <row r="1950" spans="1:14" x14ac:dyDescent="0.25">
      <c r="A1950">
        <v>1563.4578449999999</v>
      </c>
      <c r="B1950" s="1">
        <f>DATE(2014,8,11) + TIME(10,59,17)</f>
        <v>41862.457835648151</v>
      </c>
      <c r="C1950">
        <v>2400</v>
      </c>
      <c r="D1950">
        <v>0</v>
      </c>
      <c r="E1950">
        <v>0</v>
      </c>
      <c r="F1950">
        <v>2400</v>
      </c>
      <c r="G1950">
        <v>1380.2005615</v>
      </c>
      <c r="H1950">
        <v>1366.6199951000001</v>
      </c>
      <c r="I1950">
        <v>1286.1243896000001</v>
      </c>
      <c r="J1950">
        <v>1265.7584228999999</v>
      </c>
      <c r="K1950">
        <v>80</v>
      </c>
      <c r="L1950">
        <v>79.954818725999999</v>
      </c>
      <c r="M1950">
        <v>50</v>
      </c>
      <c r="N1950">
        <v>44.593849182</v>
      </c>
    </row>
    <row r="1951" spans="1:14" x14ac:dyDescent="0.25">
      <c r="A1951">
        <v>1565.280802</v>
      </c>
      <c r="B1951" s="1">
        <f>DATE(2014,8,13) + TIME(6,44,21)</f>
        <v>41864.280798611115</v>
      </c>
      <c r="C1951">
        <v>2400</v>
      </c>
      <c r="D1951">
        <v>0</v>
      </c>
      <c r="E1951">
        <v>0</v>
      </c>
      <c r="F1951">
        <v>2400</v>
      </c>
      <c r="G1951">
        <v>1380.1448975000001</v>
      </c>
      <c r="H1951">
        <v>1366.5726318</v>
      </c>
      <c r="I1951">
        <v>1286.0477295000001</v>
      </c>
      <c r="J1951">
        <v>1265.6346435999999</v>
      </c>
      <c r="K1951">
        <v>80</v>
      </c>
      <c r="L1951">
        <v>79.954856872999997</v>
      </c>
      <c r="M1951">
        <v>50</v>
      </c>
      <c r="N1951">
        <v>44.520713806000003</v>
      </c>
    </row>
    <row r="1952" spans="1:14" x14ac:dyDescent="0.25">
      <c r="A1952">
        <v>1567.1222150000001</v>
      </c>
      <c r="B1952" s="1">
        <f>DATE(2014,8,15) + TIME(2,55,59)</f>
        <v>41866.122210648151</v>
      </c>
      <c r="C1952">
        <v>2400</v>
      </c>
      <c r="D1952">
        <v>0</v>
      </c>
      <c r="E1952">
        <v>0</v>
      </c>
      <c r="F1952">
        <v>2400</v>
      </c>
      <c r="G1952">
        <v>1380.0889893000001</v>
      </c>
      <c r="H1952">
        <v>1366.5250243999999</v>
      </c>
      <c r="I1952">
        <v>1285.9697266000001</v>
      </c>
      <c r="J1952">
        <v>1265.5083007999999</v>
      </c>
      <c r="K1952">
        <v>80</v>
      </c>
      <c r="L1952">
        <v>79.954887389999996</v>
      </c>
      <c r="M1952">
        <v>50</v>
      </c>
      <c r="N1952">
        <v>44.447757721000002</v>
      </c>
    </row>
    <row r="1953" spans="1:14" x14ac:dyDescent="0.25">
      <c r="A1953">
        <v>1568.9878080000001</v>
      </c>
      <c r="B1953" s="1">
        <f>DATE(2014,8,16) + TIME(23,42,26)</f>
        <v>41867.987800925926</v>
      </c>
      <c r="C1953">
        <v>2400</v>
      </c>
      <c r="D1953">
        <v>0</v>
      </c>
      <c r="E1953">
        <v>0</v>
      </c>
      <c r="F1953">
        <v>2400</v>
      </c>
      <c r="G1953">
        <v>1380.0332031</v>
      </c>
      <c r="H1953">
        <v>1366.4774170000001</v>
      </c>
      <c r="I1953">
        <v>1285.8907471</v>
      </c>
      <c r="J1953">
        <v>1265.3800048999999</v>
      </c>
      <c r="K1953">
        <v>80</v>
      </c>
      <c r="L1953">
        <v>79.954925536999994</v>
      </c>
      <c r="M1953">
        <v>50</v>
      </c>
      <c r="N1953">
        <v>44.375144958</v>
      </c>
    </row>
    <row r="1954" spans="1:14" x14ac:dyDescent="0.25">
      <c r="A1954">
        <v>1570.883568</v>
      </c>
      <c r="B1954" s="1">
        <f>DATE(2014,8,18) + TIME(21,12,20)</f>
        <v>41869.883564814816</v>
      </c>
      <c r="C1954">
        <v>2400</v>
      </c>
      <c r="D1954">
        <v>0</v>
      </c>
      <c r="E1954">
        <v>0</v>
      </c>
      <c r="F1954">
        <v>2400</v>
      </c>
      <c r="G1954">
        <v>1379.9771728999999</v>
      </c>
      <c r="H1954">
        <v>1366.4295654</v>
      </c>
      <c r="I1954">
        <v>1285.8106689000001</v>
      </c>
      <c r="J1954">
        <v>1265.2492675999999</v>
      </c>
      <c r="K1954">
        <v>80</v>
      </c>
      <c r="L1954">
        <v>79.954963684000006</v>
      </c>
      <c r="M1954">
        <v>50</v>
      </c>
      <c r="N1954">
        <v>44.302875518999997</v>
      </c>
    </row>
    <row r="1955" spans="1:14" x14ac:dyDescent="0.25">
      <c r="A1955">
        <v>1572.8158719999999</v>
      </c>
      <c r="B1955" s="1">
        <f>DATE(2014,8,20) + TIME(19,34,51)</f>
        <v>41871.815868055557</v>
      </c>
      <c r="C1955">
        <v>2400</v>
      </c>
      <c r="D1955">
        <v>0</v>
      </c>
      <c r="E1955">
        <v>0</v>
      </c>
      <c r="F1955">
        <v>2400</v>
      </c>
      <c r="G1955">
        <v>1379.9210204999999</v>
      </c>
      <c r="H1955">
        <v>1366.3814697</v>
      </c>
      <c r="I1955">
        <v>1285.7293701000001</v>
      </c>
      <c r="J1955">
        <v>1265.1159668</v>
      </c>
      <c r="K1955">
        <v>80</v>
      </c>
      <c r="L1955">
        <v>79.955001831000004</v>
      </c>
      <c r="M1955">
        <v>50</v>
      </c>
      <c r="N1955">
        <v>44.230926513999997</v>
      </c>
    </row>
    <row r="1956" spans="1:14" x14ac:dyDescent="0.25">
      <c r="A1956">
        <v>1574.7916029999999</v>
      </c>
      <c r="B1956" s="1">
        <f>DATE(2014,8,22) + TIME(18,59,54)</f>
        <v>41873.791597222225</v>
      </c>
      <c r="C1956">
        <v>2400</v>
      </c>
      <c r="D1956">
        <v>0</v>
      </c>
      <c r="E1956">
        <v>0</v>
      </c>
      <c r="F1956">
        <v>2400</v>
      </c>
      <c r="G1956">
        <v>1379.8642577999999</v>
      </c>
      <c r="H1956">
        <v>1366.3328856999999</v>
      </c>
      <c r="I1956">
        <v>1285.6464844</v>
      </c>
      <c r="J1956">
        <v>1264.9797363</v>
      </c>
      <c r="K1956">
        <v>80</v>
      </c>
      <c r="L1956">
        <v>79.955039978000002</v>
      </c>
      <c r="M1956">
        <v>50</v>
      </c>
      <c r="N1956">
        <v>44.159271240000002</v>
      </c>
    </row>
    <row r="1957" spans="1:14" x14ac:dyDescent="0.25">
      <c r="A1957">
        <v>1576.801514</v>
      </c>
      <c r="B1957" s="1">
        <f>DATE(2014,8,24) + TIME(19,14,10)</f>
        <v>41875.801504629628</v>
      </c>
      <c r="C1957">
        <v>2400</v>
      </c>
      <c r="D1957">
        <v>0</v>
      </c>
      <c r="E1957">
        <v>0</v>
      </c>
      <c r="F1957">
        <v>2400</v>
      </c>
      <c r="G1957">
        <v>1379.8068848</v>
      </c>
      <c r="H1957">
        <v>1366.2835693</v>
      </c>
      <c r="I1957">
        <v>1285.5621338000001</v>
      </c>
      <c r="J1957">
        <v>1264.8404541</v>
      </c>
      <c r="K1957">
        <v>80</v>
      </c>
      <c r="L1957">
        <v>79.955078125</v>
      </c>
      <c r="M1957">
        <v>50</v>
      </c>
      <c r="N1957">
        <v>44.088077544999997</v>
      </c>
    </row>
    <row r="1958" spans="1:14" x14ac:dyDescent="0.25">
      <c r="A1958">
        <v>1578.831424</v>
      </c>
      <c r="B1958" s="1">
        <f>DATE(2014,8,26) + TIME(19,57,15)</f>
        <v>41877.831423611111</v>
      </c>
      <c r="C1958">
        <v>2400</v>
      </c>
      <c r="D1958">
        <v>0</v>
      </c>
      <c r="E1958">
        <v>0</v>
      </c>
      <c r="F1958">
        <v>2400</v>
      </c>
      <c r="G1958">
        <v>1379.7491454999999</v>
      </c>
      <c r="H1958">
        <v>1366.2338867000001</v>
      </c>
      <c r="I1958">
        <v>1285.4766846</v>
      </c>
      <c r="J1958">
        <v>1264.6988524999999</v>
      </c>
      <c r="K1958">
        <v>80</v>
      </c>
      <c r="L1958">
        <v>79.955116271999998</v>
      </c>
      <c r="M1958">
        <v>50</v>
      </c>
      <c r="N1958">
        <v>44.017864226999997</v>
      </c>
    </row>
    <row r="1959" spans="1:14" x14ac:dyDescent="0.25">
      <c r="A1959">
        <v>1580.8773389999999</v>
      </c>
      <c r="B1959" s="1">
        <f>DATE(2014,8,28) + TIME(21,3,22)</f>
        <v>41879.877337962964</v>
      </c>
      <c r="C1959">
        <v>2400</v>
      </c>
      <c r="D1959">
        <v>0</v>
      </c>
      <c r="E1959">
        <v>0</v>
      </c>
      <c r="F1959">
        <v>2400</v>
      </c>
      <c r="G1959">
        <v>1379.6914062000001</v>
      </c>
      <c r="H1959">
        <v>1366.184082</v>
      </c>
      <c r="I1959">
        <v>1285.3907471</v>
      </c>
      <c r="J1959">
        <v>1264.5560303</v>
      </c>
      <c r="K1959">
        <v>80</v>
      </c>
      <c r="L1959">
        <v>79.955162048000005</v>
      </c>
      <c r="M1959">
        <v>50</v>
      </c>
      <c r="N1959">
        <v>43.949199677000003</v>
      </c>
    </row>
    <row r="1960" spans="1:14" x14ac:dyDescent="0.25">
      <c r="A1960">
        <v>1582.940194</v>
      </c>
      <c r="B1960" s="1">
        <f>DATE(2014,8,30) + TIME(22,33,52)</f>
        <v>41881.940185185187</v>
      </c>
      <c r="C1960">
        <v>2400</v>
      </c>
      <c r="D1960">
        <v>0</v>
      </c>
      <c r="E1960">
        <v>0</v>
      </c>
      <c r="F1960">
        <v>2400</v>
      </c>
      <c r="G1960">
        <v>1379.6337891000001</v>
      </c>
      <c r="H1960">
        <v>1366.1343993999999</v>
      </c>
      <c r="I1960">
        <v>1285.3046875</v>
      </c>
      <c r="J1960">
        <v>1264.4124756000001</v>
      </c>
      <c r="K1960">
        <v>80</v>
      </c>
      <c r="L1960">
        <v>79.955200195000003</v>
      </c>
      <c r="M1960">
        <v>50</v>
      </c>
      <c r="N1960">
        <v>43.882480620999999</v>
      </c>
    </row>
    <row r="1961" spans="1:14" x14ac:dyDescent="0.25">
      <c r="A1961">
        <v>1584</v>
      </c>
      <c r="B1961" s="1">
        <f>DATE(2014,9,1) + TIME(0,0,0)</f>
        <v>41883</v>
      </c>
      <c r="C1961">
        <v>2400</v>
      </c>
      <c r="D1961">
        <v>0</v>
      </c>
      <c r="E1961">
        <v>0</v>
      </c>
      <c r="F1961">
        <v>2400</v>
      </c>
      <c r="G1961">
        <v>1379.5762939000001</v>
      </c>
      <c r="H1961">
        <v>1366.0847168</v>
      </c>
      <c r="I1961">
        <v>1285.2225341999999</v>
      </c>
      <c r="J1961">
        <v>1264.2800293</v>
      </c>
      <c r="K1961">
        <v>80</v>
      </c>
      <c r="L1961">
        <v>79.955215453999998</v>
      </c>
      <c r="M1961">
        <v>50</v>
      </c>
      <c r="N1961">
        <v>43.832138061999999</v>
      </c>
    </row>
    <row r="1962" spans="1:14" x14ac:dyDescent="0.25">
      <c r="A1962">
        <v>1586.086235</v>
      </c>
      <c r="B1962" s="1">
        <f>DATE(2014,9,3) + TIME(2,4,10)</f>
        <v>41885.086226851854</v>
      </c>
      <c r="C1962">
        <v>2400</v>
      </c>
      <c r="D1962">
        <v>0</v>
      </c>
      <c r="E1962">
        <v>0</v>
      </c>
      <c r="F1962">
        <v>2400</v>
      </c>
      <c r="G1962">
        <v>1379.546875</v>
      </c>
      <c r="H1962">
        <v>1366.059082</v>
      </c>
      <c r="I1962">
        <v>1285.1717529</v>
      </c>
      <c r="J1962">
        <v>1264.1877440999999</v>
      </c>
      <c r="K1962">
        <v>80</v>
      </c>
      <c r="L1962">
        <v>79.955261230000005</v>
      </c>
      <c r="M1962">
        <v>50</v>
      </c>
      <c r="N1962">
        <v>43.781269072999997</v>
      </c>
    </row>
    <row r="1963" spans="1:14" x14ac:dyDescent="0.25">
      <c r="A1963">
        <v>1588.221168</v>
      </c>
      <c r="B1963" s="1">
        <f>DATE(2014,9,5) + TIME(5,18,28)</f>
        <v>41887.22115740741</v>
      </c>
      <c r="C1963">
        <v>2400</v>
      </c>
      <c r="D1963">
        <v>0</v>
      </c>
      <c r="E1963">
        <v>0</v>
      </c>
      <c r="F1963">
        <v>2400</v>
      </c>
      <c r="G1963">
        <v>1379.4897461</v>
      </c>
      <c r="H1963">
        <v>1366.0095214999999</v>
      </c>
      <c r="I1963">
        <v>1285.0886230000001</v>
      </c>
      <c r="J1963">
        <v>1264.0485839999999</v>
      </c>
      <c r="K1963">
        <v>80</v>
      </c>
      <c r="L1963">
        <v>79.955307007000002</v>
      </c>
      <c r="M1963">
        <v>50</v>
      </c>
      <c r="N1963">
        <v>43.724071502999998</v>
      </c>
    </row>
    <row r="1964" spans="1:14" x14ac:dyDescent="0.25">
      <c r="A1964">
        <v>1590.396753</v>
      </c>
      <c r="B1964" s="1">
        <f>DATE(2014,9,7) + TIME(9,31,19)</f>
        <v>41889.396747685183</v>
      </c>
      <c r="C1964">
        <v>2400</v>
      </c>
      <c r="D1964">
        <v>0</v>
      </c>
      <c r="E1964">
        <v>0</v>
      </c>
      <c r="F1964">
        <v>2400</v>
      </c>
      <c r="G1964">
        <v>1379.4317627</v>
      </c>
      <c r="H1964">
        <v>1365.9591064000001</v>
      </c>
      <c r="I1964">
        <v>1285.0030518000001</v>
      </c>
      <c r="J1964">
        <v>1263.9042969</v>
      </c>
      <c r="K1964">
        <v>80</v>
      </c>
      <c r="L1964">
        <v>79.955352782999995</v>
      </c>
      <c r="M1964">
        <v>50</v>
      </c>
      <c r="N1964">
        <v>43.666709900000001</v>
      </c>
    </row>
    <row r="1965" spans="1:14" x14ac:dyDescent="0.25">
      <c r="A1965">
        <v>1592.611772</v>
      </c>
      <c r="B1965" s="1">
        <f>DATE(2014,9,9) + TIME(14,40,57)</f>
        <v>41891.611770833333</v>
      </c>
      <c r="C1965">
        <v>2400</v>
      </c>
      <c r="D1965">
        <v>0</v>
      </c>
      <c r="E1965">
        <v>0</v>
      </c>
      <c r="F1965">
        <v>2400</v>
      </c>
      <c r="G1965">
        <v>1379.3731689000001</v>
      </c>
      <c r="H1965">
        <v>1365.9082031</v>
      </c>
      <c r="I1965">
        <v>1284.9167480000001</v>
      </c>
      <c r="J1965">
        <v>1263.7580565999999</v>
      </c>
      <c r="K1965">
        <v>80</v>
      </c>
      <c r="L1965">
        <v>79.955390929999993</v>
      </c>
      <c r="M1965">
        <v>50</v>
      </c>
      <c r="N1965">
        <v>43.611446381</v>
      </c>
    </row>
    <row r="1966" spans="1:14" x14ac:dyDescent="0.25">
      <c r="A1966">
        <v>1594.8505849999999</v>
      </c>
      <c r="B1966" s="1">
        <f>DATE(2014,9,11) + TIME(20,24,50)</f>
        <v>41893.850578703707</v>
      </c>
      <c r="C1966">
        <v>2400</v>
      </c>
      <c r="D1966">
        <v>0</v>
      </c>
      <c r="E1966">
        <v>0</v>
      </c>
      <c r="F1966">
        <v>2400</v>
      </c>
      <c r="G1966">
        <v>1379.3140868999999</v>
      </c>
      <c r="H1966">
        <v>1365.8566894999999</v>
      </c>
      <c r="I1966">
        <v>1284.8303223</v>
      </c>
      <c r="J1966">
        <v>1263.6110839999999</v>
      </c>
      <c r="K1966">
        <v>80</v>
      </c>
      <c r="L1966">
        <v>79.955436707000004</v>
      </c>
      <c r="M1966">
        <v>50</v>
      </c>
      <c r="N1966">
        <v>43.559429168999998</v>
      </c>
    </row>
    <row r="1967" spans="1:14" x14ac:dyDescent="0.25">
      <c r="A1967">
        <v>1597.10742</v>
      </c>
      <c r="B1967" s="1">
        <f>DATE(2014,9,14) + TIME(2,34,41)</f>
        <v>41896.107418981483</v>
      </c>
      <c r="C1967">
        <v>2400</v>
      </c>
      <c r="D1967">
        <v>0</v>
      </c>
      <c r="E1967">
        <v>0</v>
      </c>
      <c r="F1967">
        <v>2400</v>
      </c>
      <c r="G1967">
        <v>1379.2550048999999</v>
      </c>
      <c r="H1967">
        <v>1365.8049315999999</v>
      </c>
      <c r="I1967">
        <v>1284.744751</v>
      </c>
      <c r="J1967">
        <v>1263.4649658000001</v>
      </c>
      <c r="K1967">
        <v>80</v>
      </c>
      <c r="L1967">
        <v>79.955482482999997</v>
      </c>
      <c r="M1967">
        <v>50</v>
      </c>
      <c r="N1967">
        <v>43.511528015000003</v>
      </c>
    </row>
    <row r="1968" spans="1:14" x14ac:dyDescent="0.25">
      <c r="A1968">
        <v>1599.391304</v>
      </c>
      <c r="B1968" s="1">
        <f>DATE(2014,9,16) + TIME(9,23,28)</f>
        <v>41898.391296296293</v>
      </c>
      <c r="C1968">
        <v>2400</v>
      </c>
      <c r="D1968">
        <v>0</v>
      </c>
      <c r="E1968">
        <v>0</v>
      </c>
      <c r="F1968">
        <v>2400</v>
      </c>
      <c r="G1968">
        <v>1379.1959228999999</v>
      </c>
      <c r="H1968">
        <v>1365.7532959</v>
      </c>
      <c r="I1968">
        <v>1284.6605225000001</v>
      </c>
      <c r="J1968">
        <v>1263.3204346</v>
      </c>
      <c r="K1968">
        <v>80</v>
      </c>
      <c r="L1968">
        <v>79.955528259000005</v>
      </c>
      <c r="M1968">
        <v>50</v>
      </c>
      <c r="N1968">
        <v>43.468326568999998</v>
      </c>
    </row>
    <row r="1969" spans="1:14" x14ac:dyDescent="0.25">
      <c r="A1969">
        <v>1601.7203750000001</v>
      </c>
      <c r="B1969" s="1">
        <f>DATE(2014,9,18) + TIME(17,17,20)</f>
        <v>41900.720370370371</v>
      </c>
      <c r="C1969">
        <v>2400</v>
      </c>
      <c r="D1969">
        <v>0</v>
      </c>
      <c r="E1969">
        <v>0</v>
      </c>
      <c r="F1969">
        <v>2400</v>
      </c>
      <c r="G1969">
        <v>1379.1367187999999</v>
      </c>
      <c r="H1969">
        <v>1365.7012939000001</v>
      </c>
      <c r="I1969">
        <v>1284.5773925999999</v>
      </c>
      <c r="J1969">
        <v>1263.1777344</v>
      </c>
      <c r="K1969">
        <v>80</v>
      </c>
      <c r="L1969">
        <v>79.955574036000002</v>
      </c>
      <c r="M1969">
        <v>50</v>
      </c>
      <c r="N1969">
        <v>43.430225372000002</v>
      </c>
    </row>
    <row r="1970" spans="1:14" x14ac:dyDescent="0.25">
      <c r="A1970">
        <v>1604.083314</v>
      </c>
      <c r="B1970" s="1">
        <f>DATE(2014,9,21) + TIME(1,59,58)</f>
        <v>41903.083310185182</v>
      </c>
      <c r="C1970">
        <v>2400</v>
      </c>
      <c r="D1970">
        <v>0</v>
      </c>
      <c r="E1970">
        <v>0</v>
      </c>
      <c r="F1970">
        <v>2400</v>
      </c>
      <c r="G1970">
        <v>1379.0769043</v>
      </c>
      <c r="H1970">
        <v>1365.6488036999999</v>
      </c>
      <c r="I1970">
        <v>1284.4953613</v>
      </c>
      <c r="J1970">
        <v>1263.0363769999999</v>
      </c>
      <c r="K1970">
        <v>80</v>
      </c>
      <c r="L1970">
        <v>79.955627441000004</v>
      </c>
      <c r="M1970">
        <v>50</v>
      </c>
      <c r="N1970">
        <v>43.397731780999997</v>
      </c>
    </row>
    <row r="1971" spans="1:14" x14ac:dyDescent="0.25">
      <c r="A1971">
        <v>1606.4803669999999</v>
      </c>
      <c r="B1971" s="1">
        <f>DATE(2014,9,23) + TIME(11,31,43)</f>
        <v>41905.480358796296</v>
      </c>
      <c r="C1971">
        <v>2400</v>
      </c>
      <c r="D1971">
        <v>0</v>
      </c>
      <c r="E1971">
        <v>0</v>
      </c>
      <c r="F1971">
        <v>2400</v>
      </c>
      <c r="G1971">
        <v>1379.0167236</v>
      </c>
      <c r="H1971">
        <v>1365.5958252</v>
      </c>
      <c r="I1971">
        <v>1284.4147949000001</v>
      </c>
      <c r="J1971">
        <v>1262.8973389</v>
      </c>
      <c r="K1971">
        <v>80</v>
      </c>
      <c r="L1971">
        <v>79.955673218000001</v>
      </c>
      <c r="M1971">
        <v>50</v>
      </c>
      <c r="N1971">
        <v>43.371589661000002</v>
      </c>
    </row>
    <row r="1972" spans="1:14" x14ac:dyDescent="0.25">
      <c r="A1972">
        <v>1608.9085789999999</v>
      </c>
      <c r="B1972" s="1">
        <f>DATE(2014,9,25) + TIME(21,48,21)</f>
        <v>41907.908576388887</v>
      </c>
      <c r="C1972">
        <v>2400</v>
      </c>
      <c r="D1972">
        <v>0</v>
      </c>
      <c r="E1972">
        <v>0</v>
      </c>
      <c r="F1972">
        <v>2400</v>
      </c>
      <c r="G1972">
        <v>1378.9562988</v>
      </c>
      <c r="H1972">
        <v>1365.5426024999999</v>
      </c>
      <c r="I1972">
        <v>1284.3361815999999</v>
      </c>
      <c r="J1972">
        <v>1262.7614745999999</v>
      </c>
      <c r="K1972">
        <v>80</v>
      </c>
      <c r="L1972">
        <v>79.955718993999994</v>
      </c>
      <c r="M1972">
        <v>50</v>
      </c>
      <c r="N1972">
        <v>43.352546691999997</v>
      </c>
    </row>
    <row r="1973" spans="1:14" x14ac:dyDescent="0.25">
      <c r="A1973">
        <v>1611.3595720000001</v>
      </c>
      <c r="B1973" s="1">
        <f>DATE(2014,9,28) + TIME(8,37,47)</f>
        <v>41910.359571759262</v>
      </c>
      <c r="C1973">
        <v>2400</v>
      </c>
      <c r="D1973">
        <v>0</v>
      </c>
      <c r="E1973">
        <v>0</v>
      </c>
      <c r="F1973">
        <v>2400</v>
      </c>
      <c r="G1973">
        <v>1378.8956298999999</v>
      </c>
      <c r="H1973">
        <v>1365.4888916</v>
      </c>
      <c r="I1973">
        <v>1284.2598877</v>
      </c>
      <c r="J1973">
        <v>1262.6295166</v>
      </c>
      <c r="K1973">
        <v>80</v>
      </c>
      <c r="L1973">
        <v>79.955772400000001</v>
      </c>
      <c r="M1973">
        <v>50</v>
      </c>
      <c r="N1973">
        <v>43.341373443999998</v>
      </c>
    </row>
    <row r="1974" spans="1:14" x14ac:dyDescent="0.25">
      <c r="A1974">
        <v>1613.835288</v>
      </c>
      <c r="B1974" s="1">
        <f>DATE(2014,9,30) + TIME(20,2,48)</f>
        <v>41912.835277777776</v>
      </c>
      <c r="C1974">
        <v>2400</v>
      </c>
      <c r="D1974">
        <v>0</v>
      </c>
      <c r="E1974">
        <v>0</v>
      </c>
      <c r="F1974">
        <v>2400</v>
      </c>
      <c r="G1974">
        <v>1378.8348389</v>
      </c>
      <c r="H1974">
        <v>1365.4351807</v>
      </c>
      <c r="I1974">
        <v>1284.1864014</v>
      </c>
      <c r="J1974">
        <v>1262.5023193</v>
      </c>
      <c r="K1974">
        <v>80</v>
      </c>
      <c r="L1974">
        <v>79.955818175999994</v>
      </c>
      <c r="M1974">
        <v>50</v>
      </c>
      <c r="N1974">
        <v>43.338836669999999</v>
      </c>
    </row>
    <row r="1975" spans="1:14" x14ac:dyDescent="0.25">
      <c r="A1975">
        <v>1614</v>
      </c>
      <c r="B1975" s="1">
        <f>DATE(2014,10,1) + TIME(0,0,0)</f>
        <v>41913</v>
      </c>
      <c r="C1975">
        <v>2400</v>
      </c>
      <c r="D1975">
        <v>0</v>
      </c>
      <c r="E1975">
        <v>0</v>
      </c>
      <c r="F1975">
        <v>2400</v>
      </c>
      <c r="G1975">
        <v>1378.7780762</v>
      </c>
      <c r="H1975">
        <v>1365.3852539</v>
      </c>
      <c r="I1975">
        <v>1284.1418457</v>
      </c>
      <c r="J1975">
        <v>1262.4206543</v>
      </c>
      <c r="K1975">
        <v>80</v>
      </c>
      <c r="L1975">
        <v>79.955818175999994</v>
      </c>
      <c r="M1975">
        <v>50</v>
      </c>
      <c r="N1975">
        <v>43.340370178000001</v>
      </c>
    </row>
    <row r="1976" spans="1:14" x14ac:dyDescent="0.25">
      <c r="A1976">
        <v>1616.5082640000001</v>
      </c>
      <c r="B1976" s="1">
        <f>DATE(2014,10,3) + TIME(12,11,54)</f>
        <v>41915.508263888885</v>
      </c>
      <c r="C1976">
        <v>2400</v>
      </c>
      <c r="D1976">
        <v>0</v>
      </c>
      <c r="E1976">
        <v>0</v>
      </c>
      <c r="F1976">
        <v>2400</v>
      </c>
      <c r="G1976">
        <v>1378.7697754000001</v>
      </c>
      <c r="H1976">
        <v>1365.3775635</v>
      </c>
      <c r="I1976">
        <v>1284.1096190999999</v>
      </c>
      <c r="J1976">
        <v>1262.3699951000001</v>
      </c>
      <c r="K1976">
        <v>80</v>
      </c>
      <c r="L1976">
        <v>79.955871582</v>
      </c>
      <c r="M1976">
        <v>50</v>
      </c>
      <c r="N1976">
        <v>43.347026825</v>
      </c>
    </row>
    <row r="1977" spans="1:14" x14ac:dyDescent="0.25">
      <c r="A1977">
        <v>1619.043776</v>
      </c>
      <c r="B1977" s="1">
        <f>DATE(2014,10,6) + TIME(1,3,2)</f>
        <v>41918.043773148151</v>
      </c>
      <c r="C1977">
        <v>2400</v>
      </c>
      <c r="D1977">
        <v>0</v>
      </c>
      <c r="E1977">
        <v>0</v>
      </c>
      <c r="F1977">
        <v>2400</v>
      </c>
      <c r="G1977">
        <v>1378.7091064000001</v>
      </c>
      <c r="H1977">
        <v>1365.3236084</v>
      </c>
      <c r="I1977">
        <v>1284.0441894999999</v>
      </c>
      <c r="J1977">
        <v>1262.2568358999999</v>
      </c>
      <c r="K1977">
        <v>80</v>
      </c>
      <c r="L1977">
        <v>79.955924988000007</v>
      </c>
      <c r="M1977">
        <v>50</v>
      </c>
      <c r="N1977">
        <v>43.364440918</v>
      </c>
    </row>
    <row r="1978" spans="1:14" x14ac:dyDescent="0.25">
      <c r="A1978">
        <v>1621.599277</v>
      </c>
      <c r="B1978" s="1">
        <f>DATE(2014,10,8) + TIME(14,22,57)</f>
        <v>41920.599270833336</v>
      </c>
      <c r="C1978">
        <v>2400</v>
      </c>
      <c r="D1978">
        <v>0</v>
      </c>
      <c r="E1978">
        <v>0</v>
      </c>
      <c r="F1978">
        <v>2400</v>
      </c>
      <c r="G1978">
        <v>1378.6480713000001</v>
      </c>
      <c r="H1978">
        <v>1365.2692870999999</v>
      </c>
      <c r="I1978">
        <v>1283.9810791</v>
      </c>
      <c r="J1978">
        <v>1262.1488036999999</v>
      </c>
      <c r="K1978">
        <v>80</v>
      </c>
      <c r="L1978">
        <v>79.955978393999999</v>
      </c>
      <c r="M1978">
        <v>50</v>
      </c>
      <c r="N1978">
        <v>43.392864226999997</v>
      </c>
    </row>
    <row r="1979" spans="1:14" x14ac:dyDescent="0.25">
      <c r="A1979">
        <v>1624.188668</v>
      </c>
      <c r="B1979" s="1">
        <f>DATE(2014,10,11) + TIME(4,31,40)</f>
        <v>41923.188657407409</v>
      </c>
      <c r="C1979">
        <v>2400</v>
      </c>
      <c r="D1979">
        <v>0</v>
      </c>
      <c r="E1979">
        <v>0</v>
      </c>
      <c r="F1979">
        <v>2400</v>
      </c>
      <c r="G1979">
        <v>1378.5870361</v>
      </c>
      <c r="H1979">
        <v>1365.2149658000001</v>
      </c>
      <c r="I1979">
        <v>1283.9217529</v>
      </c>
      <c r="J1979">
        <v>1262.0477295000001</v>
      </c>
      <c r="K1979">
        <v>80</v>
      </c>
      <c r="L1979">
        <v>79.956031799000002</v>
      </c>
      <c r="M1979">
        <v>50</v>
      </c>
      <c r="N1979">
        <v>43.432846069</v>
      </c>
    </row>
    <row r="1980" spans="1:14" x14ac:dyDescent="0.25">
      <c r="A1980">
        <v>1626.8206049999999</v>
      </c>
      <c r="B1980" s="1">
        <f>DATE(2014,10,13) + TIME(19,41,40)</f>
        <v>41925.820601851854</v>
      </c>
      <c r="C1980">
        <v>2400</v>
      </c>
      <c r="D1980">
        <v>0</v>
      </c>
      <c r="E1980">
        <v>0</v>
      </c>
      <c r="F1980">
        <v>2400</v>
      </c>
      <c r="G1980">
        <v>1378.5258789</v>
      </c>
      <c r="H1980">
        <v>1365.1604004000001</v>
      </c>
      <c r="I1980">
        <v>1283.8662108999999</v>
      </c>
      <c r="J1980">
        <v>1261.9542236</v>
      </c>
      <c r="K1980">
        <v>80</v>
      </c>
      <c r="L1980">
        <v>79.956077575999998</v>
      </c>
      <c r="M1980">
        <v>50</v>
      </c>
      <c r="N1980">
        <v>43.485115051000001</v>
      </c>
    </row>
    <row r="1981" spans="1:14" x14ac:dyDescent="0.25">
      <c r="A1981">
        <v>1629.504275</v>
      </c>
      <c r="B1981" s="1">
        <f>DATE(2014,10,16) + TIME(12,6,9)</f>
        <v>41928.504270833335</v>
      </c>
      <c r="C1981">
        <v>2400</v>
      </c>
      <c r="D1981">
        <v>0</v>
      </c>
      <c r="E1981">
        <v>0</v>
      </c>
      <c r="F1981">
        <v>2400</v>
      </c>
      <c r="G1981">
        <v>1378.4643555</v>
      </c>
      <c r="H1981">
        <v>1365.1053466999999</v>
      </c>
      <c r="I1981">
        <v>1283.8146973</v>
      </c>
      <c r="J1981">
        <v>1261.8685303</v>
      </c>
      <c r="K1981">
        <v>80</v>
      </c>
      <c r="L1981">
        <v>79.956130981000001</v>
      </c>
      <c r="M1981">
        <v>50</v>
      </c>
      <c r="N1981">
        <v>43.550502776999998</v>
      </c>
    </row>
    <row r="1982" spans="1:14" x14ac:dyDescent="0.25">
      <c r="A1982">
        <v>1632.21893</v>
      </c>
      <c r="B1982" s="1">
        <f>DATE(2014,10,19) + TIME(5,15,15)</f>
        <v>41931.218923611108</v>
      </c>
      <c r="C1982">
        <v>2400</v>
      </c>
      <c r="D1982">
        <v>0</v>
      </c>
      <c r="E1982">
        <v>0</v>
      </c>
      <c r="F1982">
        <v>2400</v>
      </c>
      <c r="G1982">
        <v>1378.4020995999999</v>
      </c>
      <c r="H1982">
        <v>1365.0496826000001</v>
      </c>
      <c r="I1982">
        <v>1283.7674560999999</v>
      </c>
      <c r="J1982">
        <v>1261.7913818</v>
      </c>
      <c r="K1982">
        <v>80</v>
      </c>
      <c r="L1982">
        <v>79.956192017000006</v>
      </c>
      <c r="M1982">
        <v>50</v>
      </c>
      <c r="N1982">
        <v>43.629753113</v>
      </c>
    </row>
    <row r="1983" spans="1:14" x14ac:dyDescent="0.25">
      <c r="A1983">
        <v>1634.9643880000001</v>
      </c>
      <c r="B1983" s="1">
        <f>DATE(2014,10,21) + TIME(23,8,43)</f>
        <v>41933.964386574073</v>
      </c>
      <c r="C1983">
        <v>2400</v>
      </c>
      <c r="D1983">
        <v>0</v>
      </c>
      <c r="E1983">
        <v>0</v>
      </c>
      <c r="F1983">
        <v>2400</v>
      </c>
      <c r="G1983">
        <v>1378.3399658000001</v>
      </c>
      <c r="H1983">
        <v>1364.9940185999999</v>
      </c>
      <c r="I1983">
        <v>1283.7247314000001</v>
      </c>
      <c r="J1983">
        <v>1261.7236327999999</v>
      </c>
      <c r="K1983">
        <v>80</v>
      </c>
      <c r="L1983">
        <v>79.956245421999995</v>
      </c>
      <c r="M1983">
        <v>50</v>
      </c>
      <c r="N1983">
        <v>43.723052979000002</v>
      </c>
    </row>
    <row r="1984" spans="1:14" x14ac:dyDescent="0.25">
      <c r="A1984">
        <v>1637.7494839999999</v>
      </c>
      <c r="B1984" s="1">
        <f>DATE(2014,10,24) + TIME(17,59,15)</f>
        <v>41936.749479166669</v>
      </c>
      <c r="C1984">
        <v>2400</v>
      </c>
      <c r="D1984">
        <v>0</v>
      </c>
      <c r="E1984">
        <v>0</v>
      </c>
      <c r="F1984">
        <v>2400</v>
      </c>
      <c r="G1984">
        <v>1378.2777100000001</v>
      </c>
      <c r="H1984">
        <v>1364.9381103999999</v>
      </c>
      <c r="I1984">
        <v>1283.6868896000001</v>
      </c>
      <c r="J1984">
        <v>1261.6657714999999</v>
      </c>
      <c r="K1984">
        <v>80</v>
      </c>
      <c r="L1984">
        <v>79.956298828000001</v>
      </c>
      <c r="M1984">
        <v>50</v>
      </c>
      <c r="N1984">
        <v>43.830631255999997</v>
      </c>
    </row>
    <row r="1985" spans="1:14" x14ac:dyDescent="0.25">
      <c r="A1985">
        <v>1640.5833210000001</v>
      </c>
      <c r="B1985" s="1">
        <f>DATE(2014,10,27) + TIME(13,59,58)</f>
        <v>41939.583310185182</v>
      </c>
      <c r="C1985">
        <v>2400</v>
      </c>
      <c r="D1985">
        <v>0</v>
      </c>
      <c r="E1985">
        <v>0</v>
      </c>
      <c r="F1985">
        <v>2400</v>
      </c>
      <c r="G1985">
        <v>1378.2152100000001</v>
      </c>
      <c r="H1985">
        <v>1364.8819579999999</v>
      </c>
      <c r="I1985">
        <v>1283.6538086</v>
      </c>
      <c r="J1985">
        <v>1261.6180420000001</v>
      </c>
      <c r="K1985">
        <v>80</v>
      </c>
      <c r="L1985">
        <v>79.956352233999993</v>
      </c>
      <c r="M1985">
        <v>50</v>
      </c>
      <c r="N1985">
        <v>43.952880858999997</v>
      </c>
    </row>
    <row r="1986" spans="1:14" x14ac:dyDescent="0.25">
      <c r="A1986">
        <v>1643.47308</v>
      </c>
      <c r="B1986" s="1">
        <f>DATE(2014,10,30) + TIME(11,21,14)</f>
        <v>41942.473078703704</v>
      </c>
      <c r="C1986">
        <v>2400</v>
      </c>
      <c r="D1986">
        <v>0</v>
      </c>
      <c r="E1986">
        <v>0</v>
      </c>
      <c r="F1986">
        <v>2400</v>
      </c>
      <c r="G1986">
        <v>1378.1524658000001</v>
      </c>
      <c r="H1986">
        <v>1364.8255615</v>
      </c>
      <c r="I1986">
        <v>1283.6256103999999</v>
      </c>
      <c r="J1986">
        <v>1261.5805664</v>
      </c>
      <c r="K1986">
        <v>80</v>
      </c>
      <c r="L1986">
        <v>79.956413268999995</v>
      </c>
      <c r="M1986">
        <v>50</v>
      </c>
      <c r="N1986">
        <v>44.090026854999998</v>
      </c>
    </row>
    <row r="1987" spans="1:14" x14ac:dyDescent="0.25">
      <c r="A1987">
        <v>1645</v>
      </c>
      <c r="B1987" s="1">
        <f>DATE(2014,11,1) + TIME(0,0,0)</f>
        <v>41944</v>
      </c>
      <c r="C1987">
        <v>2400</v>
      </c>
      <c r="D1987">
        <v>0</v>
      </c>
      <c r="E1987">
        <v>0</v>
      </c>
      <c r="F1987">
        <v>2400</v>
      </c>
      <c r="G1987">
        <v>1378.0894774999999</v>
      </c>
      <c r="H1987">
        <v>1364.7686768000001</v>
      </c>
      <c r="I1987">
        <v>1283.6099853999999</v>
      </c>
      <c r="J1987">
        <v>1261.5559082</v>
      </c>
      <c r="K1987">
        <v>80</v>
      </c>
      <c r="L1987">
        <v>79.956436156999999</v>
      </c>
      <c r="M1987">
        <v>50</v>
      </c>
      <c r="N1987">
        <v>44.216976166000002</v>
      </c>
    </row>
    <row r="1988" spans="1:14" x14ac:dyDescent="0.25">
      <c r="A1988">
        <v>1645.0000010000001</v>
      </c>
      <c r="B1988" s="1">
        <f>DATE(2014,11,1) + TIME(0,0,0)</f>
        <v>41944</v>
      </c>
      <c r="C1988">
        <v>0</v>
      </c>
      <c r="D1988">
        <v>2400</v>
      </c>
      <c r="E1988">
        <v>2400</v>
      </c>
      <c r="F1988">
        <v>0</v>
      </c>
      <c r="G1988">
        <v>1363.8968506000001</v>
      </c>
      <c r="H1988">
        <v>1351.9034423999999</v>
      </c>
      <c r="I1988">
        <v>1306.5179443</v>
      </c>
      <c r="J1988">
        <v>1284.5239257999999</v>
      </c>
      <c r="K1988">
        <v>80</v>
      </c>
      <c r="L1988">
        <v>79.956306458</v>
      </c>
      <c r="M1988">
        <v>50</v>
      </c>
      <c r="N1988">
        <v>44.217094420999999</v>
      </c>
    </row>
    <row r="1989" spans="1:14" x14ac:dyDescent="0.25">
      <c r="A1989">
        <v>1645.000004</v>
      </c>
      <c r="B1989" s="1">
        <f>DATE(2014,11,1) + TIME(0,0,0)</f>
        <v>41944</v>
      </c>
      <c r="C1989">
        <v>0</v>
      </c>
      <c r="D1989">
        <v>2400</v>
      </c>
      <c r="E1989">
        <v>2400</v>
      </c>
      <c r="F1989">
        <v>0</v>
      </c>
      <c r="G1989">
        <v>1361.6943358999999</v>
      </c>
      <c r="H1989">
        <v>1349.7004394999999</v>
      </c>
      <c r="I1989">
        <v>1308.9042969</v>
      </c>
      <c r="J1989">
        <v>1286.9860839999999</v>
      </c>
      <c r="K1989">
        <v>80</v>
      </c>
      <c r="L1989">
        <v>79.955993652000004</v>
      </c>
      <c r="M1989">
        <v>50</v>
      </c>
      <c r="N1989">
        <v>44.217418670999997</v>
      </c>
    </row>
    <row r="1990" spans="1:14" x14ac:dyDescent="0.25">
      <c r="A1990">
        <v>1645.0000130000001</v>
      </c>
      <c r="B1990" s="1">
        <f>DATE(2014,11,1) + TIME(0,0,1)</f>
        <v>41944.000011574077</v>
      </c>
      <c r="C1990">
        <v>0</v>
      </c>
      <c r="D1990">
        <v>2400</v>
      </c>
      <c r="E1990">
        <v>2400</v>
      </c>
      <c r="F1990">
        <v>0</v>
      </c>
      <c r="G1990">
        <v>1357.2480469</v>
      </c>
      <c r="H1990">
        <v>1345.2536620999999</v>
      </c>
      <c r="I1990">
        <v>1314.4200439000001</v>
      </c>
      <c r="J1990">
        <v>1292.6291504000001</v>
      </c>
      <c r="K1990">
        <v>80</v>
      </c>
      <c r="L1990">
        <v>79.955360412999994</v>
      </c>
      <c r="M1990">
        <v>50</v>
      </c>
      <c r="N1990">
        <v>44.218173981</v>
      </c>
    </row>
    <row r="1991" spans="1:14" x14ac:dyDescent="0.25">
      <c r="A1991">
        <v>1645.0000399999999</v>
      </c>
      <c r="B1991" s="1">
        <f>DATE(2014,11,1) + TIME(0,0,3)</f>
        <v>41944.000034722223</v>
      </c>
      <c r="C1991">
        <v>0</v>
      </c>
      <c r="D1991">
        <v>2400</v>
      </c>
      <c r="E1991">
        <v>2400</v>
      </c>
      <c r="F1991">
        <v>0</v>
      </c>
      <c r="G1991">
        <v>1350.7523193</v>
      </c>
      <c r="H1991">
        <v>1338.7598877</v>
      </c>
      <c r="I1991">
        <v>1324.0274658000001</v>
      </c>
      <c r="J1991">
        <v>1302.3251952999999</v>
      </c>
      <c r="K1991">
        <v>80</v>
      </c>
      <c r="L1991">
        <v>79.954437256000006</v>
      </c>
      <c r="M1991">
        <v>50</v>
      </c>
      <c r="N1991">
        <v>44.219554901000002</v>
      </c>
    </row>
    <row r="1992" spans="1:14" x14ac:dyDescent="0.25">
      <c r="A1992">
        <v>1645.000121</v>
      </c>
      <c r="B1992" s="1">
        <f>DATE(2014,11,1) + TIME(0,0,10)</f>
        <v>41944.000115740739</v>
      </c>
      <c r="C1992">
        <v>0</v>
      </c>
      <c r="D1992">
        <v>2400</v>
      </c>
      <c r="E1992">
        <v>2400</v>
      </c>
      <c r="F1992">
        <v>0</v>
      </c>
      <c r="G1992">
        <v>1343.5235596</v>
      </c>
      <c r="H1992">
        <v>1331.5361327999999</v>
      </c>
      <c r="I1992">
        <v>1336.2070312000001</v>
      </c>
      <c r="J1992">
        <v>1314.5102539</v>
      </c>
      <c r="K1992">
        <v>80</v>
      </c>
      <c r="L1992">
        <v>79.953392029</v>
      </c>
      <c r="M1992">
        <v>50</v>
      </c>
      <c r="N1992">
        <v>44.221618651999997</v>
      </c>
    </row>
    <row r="1993" spans="1:14" x14ac:dyDescent="0.25">
      <c r="A1993">
        <v>1645.000364</v>
      </c>
      <c r="B1993" s="1">
        <f>DATE(2014,11,1) + TIME(0,0,31)</f>
        <v>41944.000358796293</v>
      </c>
      <c r="C1993">
        <v>0</v>
      </c>
      <c r="D1993">
        <v>2400</v>
      </c>
      <c r="E1993">
        <v>2400</v>
      </c>
      <c r="F1993">
        <v>0</v>
      </c>
      <c r="G1993">
        <v>1336.2562256000001</v>
      </c>
      <c r="H1993">
        <v>1324.2746582</v>
      </c>
      <c r="I1993">
        <v>1349.0064697</v>
      </c>
      <c r="J1993">
        <v>1327.3013916</v>
      </c>
      <c r="K1993">
        <v>80</v>
      </c>
      <c r="L1993">
        <v>79.952316284000005</v>
      </c>
      <c r="M1993">
        <v>50</v>
      </c>
      <c r="N1993">
        <v>44.224895476999997</v>
      </c>
    </row>
    <row r="1994" spans="1:14" x14ac:dyDescent="0.25">
      <c r="A1994">
        <v>1645.0010930000001</v>
      </c>
      <c r="B1994" s="1">
        <f>DATE(2014,11,1) + TIME(0,1,34)</f>
        <v>41944.001087962963</v>
      </c>
      <c r="C1994">
        <v>0</v>
      </c>
      <c r="D1994">
        <v>2400</v>
      </c>
      <c r="E1994">
        <v>2400</v>
      </c>
      <c r="F1994">
        <v>0</v>
      </c>
      <c r="G1994">
        <v>1328.9439697</v>
      </c>
      <c r="H1994">
        <v>1316.940918</v>
      </c>
      <c r="I1994">
        <v>1361.9893798999999</v>
      </c>
      <c r="J1994">
        <v>1340.262207</v>
      </c>
      <c r="K1994">
        <v>80</v>
      </c>
      <c r="L1994">
        <v>79.951133728000002</v>
      </c>
      <c r="M1994">
        <v>50</v>
      </c>
      <c r="N1994">
        <v>44.231616973999998</v>
      </c>
    </row>
    <row r="1995" spans="1:14" x14ac:dyDescent="0.25">
      <c r="A1995">
        <v>1645.0032799999999</v>
      </c>
      <c r="B1995" s="1">
        <f>DATE(2014,11,1) + TIME(0,4,43)</f>
        <v>41944.003275462965</v>
      </c>
      <c r="C1995">
        <v>0</v>
      </c>
      <c r="D1995">
        <v>2400</v>
      </c>
      <c r="E1995">
        <v>2400</v>
      </c>
      <c r="F1995">
        <v>0</v>
      </c>
      <c r="G1995">
        <v>1321.3676757999999</v>
      </c>
      <c r="H1995">
        <v>1309.2531738</v>
      </c>
      <c r="I1995">
        <v>1375.1315918</v>
      </c>
      <c r="J1995">
        <v>1353.3183594</v>
      </c>
      <c r="K1995">
        <v>80</v>
      </c>
      <c r="L1995">
        <v>79.949607849000003</v>
      </c>
      <c r="M1995">
        <v>50</v>
      </c>
      <c r="N1995">
        <v>44.248626709</v>
      </c>
    </row>
    <row r="1996" spans="1:14" x14ac:dyDescent="0.25">
      <c r="A1996">
        <v>1645.0098410000001</v>
      </c>
      <c r="B1996" s="1">
        <f>DATE(2014,11,1) + TIME(0,14,10)</f>
        <v>41944.009837962964</v>
      </c>
      <c r="C1996">
        <v>0</v>
      </c>
      <c r="D1996">
        <v>2400</v>
      </c>
      <c r="E1996">
        <v>2400</v>
      </c>
      <c r="F1996">
        <v>0</v>
      </c>
      <c r="G1996">
        <v>1313.7507324000001</v>
      </c>
      <c r="H1996">
        <v>1301.4888916</v>
      </c>
      <c r="I1996">
        <v>1387.3480225000001</v>
      </c>
      <c r="J1996">
        <v>1365.394043</v>
      </c>
      <c r="K1996">
        <v>80</v>
      </c>
      <c r="L1996">
        <v>79.947181701999995</v>
      </c>
      <c r="M1996">
        <v>50</v>
      </c>
      <c r="N1996">
        <v>44.296279906999999</v>
      </c>
    </row>
    <row r="1997" spans="1:14" x14ac:dyDescent="0.25">
      <c r="A1997">
        <v>1645.029524</v>
      </c>
      <c r="B1997" s="1">
        <f>DATE(2014,11,1) + TIME(0,42,30)</f>
        <v>41944.029513888891</v>
      </c>
      <c r="C1997">
        <v>0</v>
      </c>
      <c r="D1997">
        <v>2400</v>
      </c>
      <c r="E1997">
        <v>2400</v>
      </c>
      <c r="F1997">
        <v>0</v>
      </c>
      <c r="G1997">
        <v>1307.5374756000001</v>
      </c>
      <c r="H1997">
        <v>1295.1973877</v>
      </c>
      <c r="I1997">
        <v>1396.0794678</v>
      </c>
      <c r="J1997">
        <v>1374.0429687999999</v>
      </c>
      <c r="K1997">
        <v>80</v>
      </c>
      <c r="L1997">
        <v>79.942314147999994</v>
      </c>
      <c r="M1997">
        <v>50</v>
      </c>
      <c r="N1997">
        <v>44.433353424000003</v>
      </c>
    </row>
    <row r="1998" spans="1:14" x14ac:dyDescent="0.25">
      <c r="A1998">
        <v>1645.088573</v>
      </c>
      <c r="B1998" s="1">
        <f>DATE(2014,11,1) + TIME(2,7,32)</f>
        <v>41944.088564814818</v>
      </c>
      <c r="C1998">
        <v>0</v>
      </c>
      <c r="D1998">
        <v>2400</v>
      </c>
      <c r="E1998">
        <v>2400</v>
      </c>
      <c r="F1998">
        <v>0</v>
      </c>
      <c r="G1998">
        <v>1304.3580322</v>
      </c>
      <c r="H1998">
        <v>1291.9945068</v>
      </c>
      <c r="I1998">
        <v>1399.5506591999999</v>
      </c>
      <c r="J1998">
        <v>1377.6066894999999</v>
      </c>
      <c r="K1998">
        <v>80</v>
      </c>
      <c r="L1998">
        <v>79.930480957</v>
      </c>
      <c r="M1998">
        <v>50</v>
      </c>
      <c r="N1998">
        <v>44.814655303999999</v>
      </c>
    </row>
    <row r="1999" spans="1:14" x14ac:dyDescent="0.25">
      <c r="A1999">
        <v>1645.152169</v>
      </c>
      <c r="B1999" s="1">
        <f>DATE(2014,11,1) + TIME(3,39,7)</f>
        <v>41944.15216435185</v>
      </c>
      <c r="C1999">
        <v>0</v>
      </c>
      <c r="D1999">
        <v>2400</v>
      </c>
      <c r="E1999">
        <v>2400</v>
      </c>
      <c r="F1999">
        <v>0</v>
      </c>
      <c r="G1999">
        <v>1303.6777344</v>
      </c>
      <c r="H1999">
        <v>1291.3101807</v>
      </c>
      <c r="I1999">
        <v>1399.8902588000001</v>
      </c>
      <c r="J1999">
        <v>1378.0788574000001</v>
      </c>
      <c r="K1999">
        <v>80</v>
      </c>
      <c r="L1999">
        <v>79.918380737000007</v>
      </c>
      <c r="M1999">
        <v>50</v>
      </c>
      <c r="N1999">
        <v>45.194923400999997</v>
      </c>
    </row>
    <row r="2000" spans="1:14" x14ac:dyDescent="0.25">
      <c r="A2000">
        <v>1645.2194019999999</v>
      </c>
      <c r="B2000" s="1">
        <f>DATE(2014,11,1) + TIME(5,15,56)</f>
        <v>41944.219398148147</v>
      </c>
      <c r="C2000">
        <v>0</v>
      </c>
      <c r="D2000">
        <v>2400</v>
      </c>
      <c r="E2000">
        <v>2400</v>
      </c>
      <c r="F2000">
        <v>0</v>
      </c>
      <c r="G2000">
        <v>1303.519043</v>
      </c>
      <c r="H2000">
        <v>1291.1502685999999</v>
      </c>
      <c r="I2000">
        <v>1399.7175293</v>
      </c>
      <c r="J2000">
        <v>1378.0423584</v>
      </c>
      <c r="K2000">
        <v>80</v>
      </c>
      <c r="L2000">
        <v>79.905960082999997</v>
      </c>
      <c r="M2000">
        <v>50</v>
      </c>
      <c r="N2000">
        <v>45.565761565999999</v>
      </c>
    </row>
    <row r="2001" spans="1:14" x14ac:dyDescent="0.25">
      <c r="A2001">
        <v>1645.29069</v>
      </c>
      <c r="B2001" s="1">
        <f>DATE(2014,11,1) + TIME(6,58,35)</f>
        <v>41944.290682870371</v>
      </c>
      <c r="C2001">
        <v>0</v>
      </c>
      <c r="D2001">
        <v>2400</v>
      </c>
      <c r="E2001">
        <v>2400</v>
      </c>
      <c r="F2001">
        <v>0</v>
      </c>
      <c r="G2001">
        <v>1303.4770507999999</v>
      </c>
      <c r="H2001">
        <v>1291.1075439000001</v>
      </c>
      <c r="I2001">
        <v>1399.4758300999999</v>
      </c>
      <c r="J2001">
        <v>1377.9337158000001</v>
      </c>
      <c r="K2001">
        <v>80</v>
      </c>
      <c r="L2001">
        <v>79.893104553000001</v>
      </c>
      <c r="M2001">
        <v>50</v>
      </c>
      <c r="N2001">
        <v>45.926799774000003</v>
      </c>
    </row>
    <row r="2002" spans="1:14" x14ac:dyDescent="0.25">
      <c r="A2002">
        <v>1645.3665940000001</v>
      </c>
      <c r="B2002" s="1">
        <f>DATE(2014,11,1) + TIME(8,47,53)</f>
        <v>41944.366585648146</v>
      </c>
      <c r="C2002">
        <v>0</v>
      </c>
      <c r="D2002">
        <v>2400</v>
      </c>
      <c r="E2002">
        <v>2400</v>
      </c>
      <c r="F2002">
        <v>0</v>
      </c>
      <c r="G2002">
        <v>1303.463501</v>
      </c>
      <c r="H2002">
        <v>1291.0932617000001</v>
      </c>
      <c r="I2002">
        <v>1399.2346190999999</v>
      </c>
      <c r="J2002">
        <v>1377.8209228999999</v>
      </c>
      <c r="K2002">
        <v>80</v>
      </c>
      <c r="L2002">
        <v>79.879745482999994</v>
      </c>
      <c r="M2002">
        <v>50</v>
      </c>
      <c r="N2002">
        <v>46.277885437000002</v>
      </c>
    </row>
    <row r="2003" spans="1:14" x14ac:dyDescent="0.25">
      <c r="A2003">
        <v>1645.4478099999999</v>
      </c>
      <c r="B2003" s="1">
        <f>DATE(2014,11,1) + TIME(10,44,50)</f>
        <v>41944.447800925926</v>
      </c>
      <c r="C2003">
        <v>0</v>
      </c>
      <c r="D2003">
        <v>2400</v>
      </c>
      <c r="E2003">
        <v>2400</v>
      </c>
      <c r="F2003">
        <v>0</v>
      </c>
      <c r="G2003">
        <v>1303.4572754000001</v>
      </c>
      <c r="H2003">
        <v>1291.0864257999999</v>
      </c>
      <c r="I2003">
        <v>1399.0012207</v>
      </c>
      <c r="J2003">
        <v>1377.7114257999999</v>
      </c>
      <c r="K2003">
        <v>80</v>
      </c>
      <c r="L2003">
        <v>79.865791321000003</v>
      </c>
      <c r="M2003">
        <v>50</v>
      </c>
      <c r="N2003">
        <v>46.618865966999998</v>
      </c>
    </row>
    <row r="2004" spans="1:14" x14ac:dyDescent="0.25">
      <c r="A2004">
        <v>1645.5351929999999</v>
      </c>
      <c r="B2004" s="1">
        <f>DATE(2014,11,1) + TIME(12,50,40)</f>
        <v>41944.535185185188</v>
      </c>
      <c r="C2004">
        <v>0</v>
      </c>
      <c r="D2004">
        <v>2400</v>
      </c>
      <c r="E2004">
        <v>2400</v>
      </c>
      <c r="F2004">
        <v>0</v>
      </c>
      <c r="G2004">
        <v>1303.4530029</v>
      </c>
      <c r="H2004">
        <v>1291.081543</v>
      </c>
      <c r="I2004">
        <v>1398.7752685999999</v>
      </c>
      <c r="J2004">
        <v>1377.6049805</v>
      </c>
      <c r="K2004">
        <v>80</v>
      </c>
      <c r="L2004">
        <v>79.851158142000003</v>
      </c>
      <c r="M2004">
        <v>50</v>
      </c>
      <c r="N2004">
        <v>46.949539184999999</v>
      </c>
    </row>
    <row r="2005" spans="1:14" x14ac:dyDescent="0.25">
      <c r="A2005">
        <v>1645.629815</v>
      </c>
      <c r="B2005" s="1">
        <f>DATE(2014,11,1) + TIME(15,6,56)</f>
        <v>41944.629814814813</v>
      </c>
      <c r="C2005">
        <v>0</v>
      </c>
      <c r="D2005">
        <v>2400</v>
      </c>
      <c r="E2005">
        <v>2400</v>
      </c>
      <c r="F2005">
        <v>0</v>
      </c>
      <c r="G2005">
        <v>1303.4490966999999</v>
      </c>
      <c r="H2005">
        <v>1291.0769043</v>
      </c>
      <c r="I2005">
        <v>1398.5556641000001</v>
      </c>
      <c r="J2005">
        <v>1377.5003661999999</v>
      </c>
      <c r="K2005">
        <v>80</v>
      </c>
      <c r="L2005">
        <v>79.835708617999998</v>
      </c>
      <c r="M2005">
        <v>50</v>
      </c>
      <c r="N2005">
        <v>47.269626617</v>
      </c>
    </row>
    <row r="2006" spans="1:14" x14ac:dyDescent="0.25">
      <c r="A2006">
        <v>1645.733025</v>
      </c>
      <c r="B2006" s="1">
        <f>DATE(2014,11,1) + TIME(17,35,33)</f>
        <v>41944.733020833337</v>
      </c>
      <c r="C2006">
        <v>0</v>
      </c>
      <c r="D2006">
        <v>2400</v>
      </c>
      <c r="E2006">
        <v>2400</v>
      </c>
      <c r="F2006">
        <v>0</v>
      </c>
      <c r="G2006">
        <v>1303.4450684000001</v>
      </c>
      <c r="H2006">
        <v>1291.0721435999999</v>
      </c>
      <c r="I2006">
        <v>1398.3417969</v>
      </c>
      <c r="J2006">
        <v>1377.3972168</v>
      </c>
      <c r="K2006">
        <v>80</v>
      </c>
      <c r="L2006">
        <v>79.819297790999997</v>
      </c>
      <c r="M2006">
        <v>50</v>
      </c>
      <c r="N2006">
        <v>47.578739165999998</v>
      </c>
    </row>
    <row r="2007" spans="1:14" x14ac:dyDescent="0.25">
      <c r="A2007">
        <v>1645.8465880000001</v>
      </c>
      <c r="B2007" s="1">
        <f>DATE(2014,11,1) + TIME(20,19,5)</f>
        <v>41944.846585648149</v>
      </c>
      <c r="C2007">
        <v>0</v>
      </c>
      <c r="D2007">
        <v>2400</v>
      </c>
      <c r="E2007">
        <v>2400</v>
      </c>
      <c r="F2007">
        <v>0</v>
      </c>
      <c r="G2007">
        <v>1303.4407959</v>
      </c>
      <c r="H2007">
        <v>1291.0670166</v>
      </c>
      <c r="I2007">
        <v>1398.1334228999999</v>
      </c>
      <c r="J2007">
        <v>1377.2951660000001</v>
      </c>
      <c r="K2007">
        <v>80</v>
      </c>
      <c r="L2007">
        <v>79.801742554</v>
      </c>
      <c r="M2007">
        <v>50</v>
      </c>
      <c r="N2007">
        <v>47.876419067</v>
      </c>
    </row>
    <row r="2008" spans="1:14" x14ac:dyDescent="0.25">
      <c r="A2008">
        <v>1645.972855</v>
      </c>
      <c r="B2008" s="1">
        <f>DATE(2014,11,1) + TIME(23,20,54)</f>
        <v>41944.97284722222</v>
      </c>
      <c r="C2008">
        <v>0</v>
      </c>
      <c r="D2008">
        <v>2400</v>
      </c>
      <c r="E2008">
        <v>2400</v>
      </c>
      <c r="F2008">
        <v>0</v>
      </c>
      <c r="G2008">
        <v>1303.4361572</v>
      </c>
      <c r="H2008">
        <v>1291.0615233999999</v>
      </c>
      <c r="I2008">
        <v>1397.9300536999999</v>
      </c>
      <c r="J2008">
        <v>1377.1937256000001</v>
      </c>
      <c r="K2008">
        <v>80</v>
      </c>
      <c r="L2008">
        <v>79.782775878999999</v>
      </c>
      <c r="M2008">
        <v>50</v>
      </c>
      <c r="N2008">
        <v>48.162094115999999</v>
      </c>
    </row>
    <row r="2009" spans="1:14" x14ac:dyDescent="0.25">
      <c r="A2009">
        <v>1646.115016</v>
      </c>
      <c r="B2009" s="1">
        <f>DATE(2014,11,2) + TIME(2,45,37)</f>
        <v>41945.115011574075</v>
      </c>
      <c r="C2009">
        <v>0</v>
      </c>
      <c r="D2009">
        <v>2400</v>
      </c>
      <c r="E2009">
        <v>2400</v>
      </c>
      <c r="F2009">
        <v>0</v>
      </c>
      <c r="G2009">
        <v>1303.4309082</v>
      </c>
      <c r="H2009">
        <v>1291.0552978999999</v>
      </c>
      <c r="I2009">
        <v>1397.7313231999999</v>
      </c>
      <c r="J2009">
        <v>1377.0927733999999</v>
      </c>
      <c r="K2009">
        <v>80</v>
      </c>
      <c r="L2009">
        <v>79.762069702000005</v>
      </c>
      <c r="M2009">
        <v>50</v>
      </c>
      <c r="N2009">
        <v>48.434993744000003</v>
      </c>
    </row>
    <row r="2010" spans="1:14" x14ac:dyDescent="0.25">
      <c r="A2010">
        <v>1646.277556</v>
      </c>
      <c r="B2010" s="1">
        <f>DATE(2014,11,2) + TIME(6,39,40)</f>
        <v>41945.277546296296</v>
      </c>
      <c r="C2010">
        <v>0</v>
      </c>
      <c r="D2010">
        <v>2400</v>
      </c>
      <c r="E2010">
        <v>2400</v>
      </c>
      <c r="F2010">
        <v>0</v>
      </c>
      <c r="G2010">
        <v>1303.4250488</v>
      </c>
      <c r="H2010">
        <v>1291.0484618999999</v>
      </c>
      <c r="I2010">
        <v>1397.5369873</v>
      </c>
      <c r="J2010">
        <v>1376.9915771000001</v>
      </c>
      <c r="K2010">
        <v>80</v>
      </c>
      <c r="L2010">
        <v>79.739181518999999</v>
      </c>
      <c r="M2010">
        <v>50</v>
      </c>
      <c r="N2010">
        <v>48.694103241000001</v>
      </c>
    </row>
    <row r="2011" spans="1:14" x14ac:dyDescent="0.25">
      <c r="A2011">
        <v>1646.467034</v>
      </c>
      <c r="B2011" s="1">
        <f>DATE(2014,11,2) + TIME(11,12,31)</f>
        <v>41945.46702546296</v>
      </c>
      <c r="C2011">
        <v>0</v>
      </c>
      <c r="D2011">
        <v>2400</v>
      </c>
      <c r="E2011">
        <v>2400</v>
      </c>
      <c r="F2011">
        <v>0</v>
      </c>
      <c r="G2011">
        <v>1303.418457</v>
      </c>
      <c r="H2011">
        <v>1291.0406493999999</v>
      </c>
      <c r="I2011">
        <v>1397.3466797000001</v>
      </c>
      <c r="J2011">
        <v>1376.8897704999999</v>
      </c>
      <c r="K2011">
        <v>80</v>
      </c>
      <c r="L2011">
        <v>79.713455199999999</v>
      </c>
      <c r="M2011">
        <v>50</v>
      </c>
      <c r="N2011">
        <v>48.938083648999999</v>
      </c>
    </row>
    <row r="2012" spans="1:14" x14ac:dyDescent="0.25">
      <c r="A2012">
        <v>1646.6935100000001</v>
      </c>
      <c r="B2012" s="1">
        <f>DATE(2014,11,2) + TIME(16,38,39)</f>
        <v>41945.693506944444</v>
      </c>
      <c r="C2012">
        <v>0</v>
      </c>
      <c r="D2012">
        <v>2400</v>
      </c>
      <c r="E2012">
        <v>2400</v>
      </c>
      <c r="F2012">
        <v>0</v>
      </c>
      <c r="G2012">
        <v>1303.4107666</v>
      </c>
      <c r="H2012">
        <v>1291.0316161999999</v>
      </c>
      <c r="I2012">
        <v>1397.1599120999999</v>
      </c>
      <c r="J2012">
        <v>1376.786499</v>
      </c>
      <c r="K2012">
        <v>80</v>
      </c>
      <c r="L2012">
        <v>79.683967589999995</v>
      </c>
      <c r="M2012">
        <v>50</v>
      </c>
      <c r="N2012">
        <v>49.165149689000003</v>
      </c>
    </row>
    <row r="2013" spans="1:14" x14ac:dyDescent="0.25">
      <c r="A2013">
        <v>1646.933581</v>
      </c>
      <c r="B2013" s="1">
        <f>DATE(2014,11,2) + TIME(22,24,21)</f>
        <v>41945.933576388888</v>
      </c>
      <c r="C2013">
        <v>0</v>
      </c>
      <c r="D2013">
        <v>2400</v>
      </c>
      <c r="E2013">
        <v>2400</v>
      </c>
      <c r="F2013">
        <v>0</v>
      </c>
      <c r="G2013">
        <v>1303.4016113</v>
      </c>
      <c r="H2013">
        <v>1291.0211182</v>
      </c>
      <c r="I2013">
        <v>1396.9936522999999</v>
      </c>
      <c r="J2013">
        <v>1376.6894531</v>
      </c>
      <c r="K2013">
        <v>80</v>
      </c>
      <c r="L2013">
        <v>79.653099060000002</v>
      </c>
      <c r="M2013">
        <v>50</v>
      </c>
      <c r="N2013">
        <v>49.350139618</v>
      </c>
    </row>
    <row r="2014" spans="1:14" x14ac:dyDescent="0.25">
      <c r="A2014">
        <v>1647.178375</v>
      </c>
      <c r="B2014" s="1">
        <f>DATE(2014,11,3) + TIME(4,16,51)</f>
        <v>41946.178368055553</v>
      </c>
      <c r="C2014">
        <v>0</v>
      </c>
      <c r="D2014">
        <v>2400</v>
      </c>
      <c r="E2014">
        <v>2400</v>
      </c>
      <c r="F2014">
        <v>0</v>
      </c>
      <c r="G2014">
        <v>1303.3917236</v>
      </c>
      <c r="H2014">
        <v>1291.0100098</v>
      </c>
      <c r="I2014">
        <v>1396.8505858999999</v>
      </c>
      <c r="J2014">
        <v>1376.6019286999999</v>
      </c>
      <c r="K2014">
        <v>80</v>
      </c>
      <c r="L2014">
        <v>79.621734618999994</v>
      </c>
      <c r="M2014">
        <v>50</v>
      </c>
      <c r="N2014">
        <v>49.494499206999997</v>
      </c>
    </row>
    <row r="2015" spans="1:14" x14ac:dyDescent="0.25">
      <c r="A2015">
        <v>1647.432425</v>
      </c>
      <c r="B2015" s="1">
        <f>DATE(2014,11,3) + TIME(10,22,41)</f>
        <v>41946.43241898148</v>
      </c>
      <c r="C2015">
        <v>0</v>
      </c>
      <c r="D2015">
        <v>2400</v>
      </c>
      <c r="E2015">
        <v>2400</v>
      </c>
      <c r="F2015">
        <v>0</v>
      </c>
      <c r="G2015">
        <v>1303.3818358999999</v>
      </c>
      <c r="H2015">
        <v>1290.9987793</v>
      </c>
      <c r="I2015">
        <v>1396.7258300999999</v>
      </c>
      <c r="J2015">
        <v>1376.5228271000001</v>
      </c>
      <c r="K2015">
        <v>80</v>
      </c>
      <c r="L2015">
        <v>79.589477539000001</v>
      </c>
      <c r="M2015">
        <v>50</v>
      </c>
      <c r="N2015">
        <v>49.608184813999998</v>
      </c>
    </row>
    <row r="2016" spans="1:14" x14ac:dyDescent="0.25">
      <c r="A2016">
        <v>1647.69903</v>
      </c>
      <c r="B2016" s="1">
        <f>DATE(2014,11,3) + TIME(16,46,36)</f>
        <v>41946.69902777778</v>
      </c>
      <c r="C2016">
        <v>0</v>
      </c>
      <c r="D2016">
        <v>2400</v>
      </c>
      <c r="E2016">
        <v>2400</v>
      </c>
      <c r="F2016">
        <v>0</v>
      </c>
      <c r="G2016">
        <v>1303.371582</v>
      </c>
      <c r="H2016">
        <v>1290.9870605000001</v>
      </c>
      <c r="I2016">
        <v>1396.6152344</v>
      </c>
      <c r="J2016">
        <v>1376.4500731999999</v>
      </c>
      <c r="K2016">
        <v>80</v>
      </c>
      <c r="L2016">
        <v>79.556030273000005</v>
      </c>
      <c r="M2016">
        <v>50</v>
      </c>
      <c r="N2016">
        <v>49.697689056000002</v>
      </c>
    </row>
    <row r="2017" spans="1:14" x14ac:dyDescent="0.25">
      <c r="A2017">
        <v>1647.98197</v>
      </c>
      <c r="B2017" s="1">
        <f>DATE(2014,11,3) + TIME(23,34,2)</f>
        <v>41946.98196759259</v>
      </c>
      <c r="C2017">
        <v>0</v>
      </c>
      <c r="D2017">
        <v>2400</v>
      </c>
      <c r="E2017">
        <v>2400</v>
      </c>
      <c r="F2017">
        <v>0</v>
      </c>
      <c r="G2017">
        <v>1303.3609618999999</v>
      </c>
      <c r="H2017">
        <v>1290.9748535000001</v>
      </c>
      <c r="I2017">
        <v>1396.515625</v>
      </c>
      <c r="J2017">
        <v>1376.3820800999999</v>
      </c>
      <c r="K2017">
        <v>80</v>
      </c>
      <c r="L2017">
        <v>79.521041870000005</v>
      </c>
      <c r="M2017">
        <v>50</v>
      </c>
      <c r="N2017">
        <v>49.767929076999998</v>
      </c>
    </row>
    <row r="2018" spans="1:14" x14ac:dyDescent="0.25">
      <c r="A2018">
        <v>1648.2857349999999</v>
      </c>
      <c r="B2018" s="1">
        <f>DATE(2014,11,4) + TIME(6,51,27)</f>
        <v>41947.285729166666</v>
      </c>
      <c r="C2018">
        <v>0</v>
      </c>
      <c r="D2018">
        <v>2400</v>
      </c>
      <c r="E2018">
        <v>2400</v>
      </c>
      <c r="F2018">
        <v>0</v>
      </c>
      <c r="G2018">
        <v>1303.3497314000001</v>
      </c>
      <c r="H2018">
        <v>1290.9620361</v>
      </c>
      <c r="I2018">
        <v>1396.4246826000001</v>
      </c>
      <c r="J2018">
        <v>1376.317749</v>
      </c>
      <c r="K2018">
        <v>80</v>
      </c>
      <c r="L2018">
        <v>79.484107971</v>
      </c>
      <c r="M2018">
        <v>50</v>
      </c>
      <c r="N2018">
        <v>49.822685241999999</v>
      </c>
    </row>
    <row r="2019" spans="1:14" x14ac:dyDescent="0.25">
      <c r="A2019">
        <v>1648.612983</v>
      </c>
      <c r="B2019" s="1">
        <f>DATE(2014,11,4) + TIME(14,42,41)</f>
        <v>41947.612974537034</v>
      </c>
      <c r="C2019">
        <v>0</v>
      </c>
      <c r="D2019">
        <v>2400</v>
      </c>
      <c r="E2019">
        <v>2400</v>
      </c>
      <c r="F2019">
        <v>0</v>
      </c>
      <c r="G2019">
        <v>1303.3377685999999</v>
      </c>
      <c r="H2019">
        <v>1290.9482422000001</v>
      </c>
      <c r="I2019">
        <v>1396.3402100000001</v>
      </c>
      <c r="J2019">
        <v>1376.2558594</v>
      </c>
      <c r="K2019">
        <v>80</v>
      </c>
      <c r="L2019">
        <v>79.444984435999999</v>
      </c>
      <c r="M2019">
        <v>50</v>
      </c>
      <c r="N2019">
        <v>49.864681244000003</v>
      </c>
    </row>
    <row r="2020" spans="1:14" x14ac:dyDescent="0.25">
      <c r="A2020">
        <v>1648.965494</v>
      </c>
      <c r="B2020" s="1">
        <f>DATE(2014,11,4) + TIME(23,10,18)</f>
        <v>41947.965486111112</v>
      </c>
      <c r="C2020">
        <v>0</v>
      </c>
      <c r="D2020">
        <v>2400</v>
      </c>
      <c r="E2020">
        <v>2400</v>
      </c>
      <c r="F2020">
        <v>0</v>
      </c>
      <c r="G2020">
        <v>1303.3248291</v>
      </c>
      <c r="H2020">
        <v>1290.9334716999999</v>
      </c>
      <c r="I2020">
        <v>1396.2611084</v>
      </c>
      <c r="J2020">
        <v>1376.1961670000001</v>
      </c>
      <c r="K2020">
        <v>80</v>
      </c>
      <c r="L2020">
        <v>79.403495789000004</v>
      </c>
      <c r="M2020">
        <v>50</v>
      </c>
      <c r="N2020">
        <v>49.896236420000001</v>
      </c>
    </row>
    <row r="2021" spans="1:14" x14ac:dyDescent="0.25">
      <c r="A2021">
        <v>1649.349827</v>
      </c>
      <c r="B2021" s="1">
        <f>DATE(2014,11,5) + TIME(8,23,45)</f>
        <v>41948.349826388891</v>
      </c>
      <c r="C2021">
        <v>0</v>
      </c>
      <c r="D2021">
        <v>2400</v>
      </c>
      <c r="E2021">
        <v>2400</v>
      </c>
      <c r="F2021">
        <v>0</v>
      </c>
      <c r="G2021">
        <v>1303.3110352000001</v>
      </c>
      <c r="H2021">
        <v>1290.9176024999999</v>
      </c>
      <c r="I2021">
        <v>1396.1861572</v>
      </c>
      <c r="J2021">
        <v>1376.1380615</v>
      </c>
      <c r="K2021">
        <v>80</v>
      </c>
      <c r="L2021">
        <v>79.359085082999997</v>
      </c>
      <c r="M2021">
        <v>50</v>
      </c>
      <c r="N2021">
        <v>49.919647216999998</v>
      </c>
    </row>
    <row r="2022" spans="1:14" x14ac:dyDescent="0.25">
      <c r="A2022">
        <v>1649.774011</v>
      </c>
      <c r="B2022" s="1">
        <f>DATE(2014,11,5) + TIME(18,34,34)</f>
        <v>41948.774004629631</v>
      </c>
      <c r="C2022">
        <v>0</v>
      </c>
      <c r="D2022">
        <v>2400</v>
      </c>
      <c r="E2022">
        <v>2400</v>
      </c>
      <c r="F2022">
        <v>0</v>
      </c>
      <c r="G2022">
        <v>1303.2960204999999</v>
      </c>
      <c r="H2022">
        <v>1290.9003906</v>
      </c>
      <c r="I2022">
        <v>1396.1137695</v>
      </c>
      <c r="J2022">
        <v>1376.0806885</v>
      </c>
      <c r="K2022">
        <v>80</v>
      </c>
      <c r="L2022">
        <v>79.311096191000004</v>
      </c>
      <c r="M2022">
        <v>50</v>
      </c>
      <c r="N2022">
        <v>49.936725615999997</v>
      </c>
    </row>
    <row r="2023" spans="1:14" x14ac:dyDescent="0.25">
      <c r="A2023">
        <v>1650.248945</v>
      </c>
      <c r="B2023" s="1">
        <f>DATE(2014,11,6) + TIME(5,58,28)</f>
        <v>41949.248935185184</v>
      </c>
      <c r="C2023">
        <v>0</v>
      </c>
      <c r="D2023">
        <v>2400</v>
      </c>
      <c r="E2023">
        <v>2400</v>
      </c>
      <c r="F2023">
        <v>0</v>
      </c>
      <c r="G2023">
        <v>1303.2795410000001</v>
      </c>
      <c r="H2023">
        <v>1290.8814697</v>
      </c>
      <c r="I2023">
        <v>1396.0426024999999</v>
      </c>
      <c r="J2023">
        <v>1376.0233154</v>
      </c>
      <c r="K2023">
        <v>80</v>
      </c>
      <c r="L2023">
        <v>79.258636475000003</v>
      </c>
      <c r="M2023">
        <v>50</v>
      </c>
      <c r="N2023">
        <v>49.948925017999997</v>
      </c>
    </row>
    <row r="2024" spans="1:14" x14ac:dyDescent="0.25">
      <c r="A2024">
        <v>1650.760319</v>
      </c>
      <c r="B2024" s="1">
        <f>DATE(2014,11,6) + TIME(18,14,51)</f>
        <v>41949.760312500002</v>
      </c>
      <c r="C2024">
        <v>0</v>
      </c>
      <c r="D2024">
        <v>2400</v>
      </c>
      <c r="E2024">
        <v>2400</v>
      </c>
      <c r="F2024">
        <v>0</v>
      </c>
      <c r="G2024">
        <v>1303.2611084</v>
      </c>
      <c r="H2024">
        <v>1290.8603516000001</v>
      </c>
      <c r="I2024">
        <v>1395.9711914</v>
      </c>
      <c r="J2024">
        <v>1375.9649658000001</v>
      </c>
      <c r="K2024">
        <v>80</v>
      </c>
      <c r="L2024">
        <v>79.20249939</v>
      </c>
      <c r="M2024">
        <v>50</v>
      </c>
      <c r="N2024">
        <v>49.957130432</v>
      </c>
    </row>
    <row r="2025" spans="1:14" x14ac:dyDescent="0.25">
      <c r="A2025">
        <v>1651.2763500000001</v>
      </c>
      <c r="B2025" s="1">
        <f>DATE(2014,11,7) + TIME(6,37,56)</f>
        <v>41950.276342592595</v>
      </c>
      <c r="C2025">
        <v>0</v>
      </c>
      <c r="D2025">
        <v>2400</v>
      </c>
      <c r="E2025">
        <v>2400</v>
      </c>
      <c r="F2025">
        <v>0</v>
      </c>
      <c r="G2025">
        <v>1303.2410889</v>
      </c>
      <c r="H2025">
        <v>1290.8377685999999</v>
      </c>
      <c r="I2025">
        <v>1395.9019774999999</v>
      </c>
      <c r="J2025">
        <v>1375.9078368999999</v>
      </c>
      <c r="K2025">
        <v>80</v>
      </c>
      <c r="L2025">
        <v>79.144897460999999</v>
      </c>
      <c r="M2025">
        <v>50</v>
      </c>
      <c r="N2025">
        <v>49.962326050000001</v>
      </c>
    </row>
    <row r="2026" spans="1:14" x14ac:dyDescent="0.25">
      <c r="A2026">
        <v>1651.8047839999999</v>
      </c>
      <c r="B2026" s="1">
        <f>DATE(2014,11,7) + TIME(19,18,53)</f>
        <v>41950.804780092592</v>
      </c>
      <c r="C2026">
        <v>0</v>
      </c>
      <c r="D2026">
        <v>2400</v>
      </c>
      <c r="E2026">
        <v>2400</v>
      </c>
      <c r="F2026">
        <v>0</v>
      </c>
      <c r="G2026">
        <v>1303.2209473</v>
      </c>
      <c r="H2026">
        <v>1290.8149414</v>
      </c>
      <c r="I2026">
        <v>1395.8382568</v>
      </c>
      <c r="J2026">
        <v>1375.8549805</v>
      </c>
      <c r="K2026">
        <v>80</v>
      </c>
      <c r="L2026">
        <v>79.085922241000006</v>
      </c>
      <c r="M2026">
        <v>50</v>
      </c>
      <c r="N2026">
        <v>49.965667725000003</v>
      </c>
    </row>
    <row r="2027" spans="1:14" x14ac:dyDescent="0.25">
      <c r="A2027">
        <v>1652.3529579999999</v>
      </c>
      <c r="B2027" s="1">
        <f>DATE(2014,11,8) + TIME(8,28,15)</f>
        <v>41951.352951388886</v>
      </c>
      <c r="C2027">
        <v>0</v>
      </c>
      <c r="D2027">
        <v>2400</v>
      </c>
      <c r="E2027">
        <v>2400</v>
      </c>
      <c r="F2027">
        <v>0</v>
      </c>
      <c r="G2027">
        <v>1303.2004394999999</v>
      </c>
      <c r="H2027">
        <v>1290.7915039</v>
      </c>
      <c r="I2027">
        <v>1395.7781981999999</v>
      </c>
      <c r="J2027">
        <v>1375.8051757999999</v>
      </c>
      <c r="K2027">
        <v>80</v>
      </c>
      <c r="L2027">
        <v>79.025344849000007</v>
      </c>
      <c r="M2027">
        <v>50</v>
      </c>
      <c r="N2027">
        <v>49.967842101999999</v>
      </c>
    </row>
    <row r="2028" spans="1:14" x14ac:dyDescent="0.25">
      <c r="A2028">
        <v>1652.92832</v>
      </c>
      <c r="B2028" s="1">
        <f>DATE(2014,11,8) + TIME(22,16,46)</f>
        <v>41951.928310185183</v>
      </c>
      <c r="C2028">
        <v>0</v>
      </c>
      <c r="D2028">
        <v>2400</v>
      </c>
      <c r="E2028">
        <v>2400</v>
      </c>
      <c r="F2028">
        <v>0</v>
      </c>
      <c r="G2028">
        <v>1303.1793213000001</v>
      </c>
      <c r="H2028">
        <v>1290.7672118999999</v>
      </c>
      <c r="I2028">
        <v>1395.7205810999999</v>
      </c>
      <c r="J2028">
        <v>1375.7573242000001</v>
      </c>
      <c r="K2028">
        <v>80</v>
      </c>
      <c r="L2028">
        <v>78.962730407999999</v>
      </c>
      <c r="M2028">
        <v>50</v>
      </c>
      <c r="N2028">
        <v>49.969272613999998</v>
      </c>
    </row>
    <row r="2029" spans="1:14" x14ac:dyDescent="0.25">
      <c r="A2029">
        <v>1653.5391159999999</v>
      </c>
      <c r="B2029" s="1">
        <f>DATE(2014,11,9) + TIME(12,56,19)</f>
        <v>41952.5391087963</v>
      </c>
      <c r="C2029">
        <v>0</v>
      </c>
      <c r="D2029">
        <v>2400</v>
      </c>
      <c r="E2029">
        <v>2400</v>
      </c>
      <c r="F2029">
        <v>0</v>
      </c>
      <c r="G2029">
        <v>1303.1571045000001</v>
      </c>
      <c r="H2029">
        <v>1290.7416992000001</v>
      </c>
      <c r="I2029">
        <v>1395.6643065999999</v>
      </c>
      <c r="J2029">
        <v>1375.7108154</v>
      </c>
      <c r="K2029">
        <v>80</v>
      </c>
      <c r="L2029">
        <v>78.897499084000003</v>
      </c>
      <c r="M2029">
        <v>50</v>
      </c>
      <c r="N2029">
        <v>49.970222473</v>
      </c>
    </row>
    <row r="2030" spans="1:14" x14ac:dyDescent="0.25">
      <c r="A2030">
        <v>1654.1955129999999</v>
      </c>
      <c r="B2030" s="1">
        <f>DATE(2014,11,10) + TIME(4,41,32)</f>
        <v>41953.195509259262</v>
      </c>
      <c r="C2030">
        <v>0</v>
      </c>
      <c r="D2030">
        <v>2400</v>
      </c>
      <c r="E2030">
        <v>2400</v>
      </c>
      <c r="F2030">
        <v>0</v>
      </c>
      <c r="G2030">
        <v>1303.1335449000001</v>
      </c>
      <c r="H2030">
        <v>1290.7145995999999</v>
      </c>
      <c r="I2030">
        <v>1395.6087646000001</v>
      </c>
      <c r="J2030">
        <v>1375.6649170000001</v>
      </c>
      <c r="K2030">
        <v>80</v>
      </c>
      <c r="L2030">
        <v>78.828918457</v>
      </c>
      <c r="M2030">
        <v>50</v>
      </c>
      <c r="N2030">
        <v>49.970859527999998</v>
      </c>
    </row>
    <row r="2031" spans="1:14" x14ac:dyDescent="0.25">
      <c r="A2031">
        <v>1654.910292</v>
      </c>
      <c r="B2031" s="1">
        <f>DATE(2014,11,10) + TIME(21,50,49)</f>
        <v>41953.91028935185</v>
      </c>
      <c r="C2031">
        <v>0</v>
      </c>
      <c r="D2031">
        <v>2400</v>
      </c>
      <c r="E2031">
        <v>2400</v>
      </c>
      <c r="F2031">
        <v>0</v>
      </c>
      <c r="G2031">
        <v>1303.1081543</v>
      </c>
      <c r="H2031">
        <v>1290.6855469</v>
      </c>
      <c r="I2031">
        <v>1395.5531006000001</v>
      </c>
      <c r="J2031">
        <v>1375.6190185999999</v>
      </c>
      <c r="K2031">
        <v>80</v>
      </c>
      <c r="L2031">
        <v>78.756019592000001</v>
      </c>
      <c r="M2031">
        <v>50</v>
      </c>
      <c r="N2031">
        <v>49.971290588000002</v>
      </c>
    </row>
    <row r="2032" spans="1:14" x14ac:dyDescent="0.25">
      <c r="A2032">
        <v>1655.6840709999999</v>
      </c>
      <c r="B2032" s="1">
        <f>DATE(2014,11,11) + TIME(16,25,3)</f>
        <v>41954.684062499997</v>
      </c>
      <c r="C2032">
        <v>0</v>
      </c>
      <c r="D2032">
        <v>2400</v>
      </c>
      <c r="E2032">
        <v>2400</v>
      </c>
      <c r="F2032">
        <v>0</v>
      </c>
      <c r="G2032">
        <v>1303.0805664</v>
      </c>
      <c r="H2032">
        <v>1290.6538086</v>
      </c>
      <c r="I2032">
        <v>1395.496582</v>
      </c>
      <c r="J2032">
        <v>1375.5726318</v>
      </c>
      <c r="K2032">
        <v>80</v>
      </c>
      <c r="L2032">
        <v>78.678428650000001</v>
      </c>
      <c r="M2032">
        <v>50</v>
      </c>
      <c r="N2032">
        <v>49.971584319999998</v>
      </c>
    </row>
    <row r="2033" spans="1:14" x14ac:dyDescent="0.25">
      <c r="A2033">
        <v>1656.5011300000001</v>
      </c>
      <c r="B2033" s="1">
        <f>DATE(2014,11,12) + TIME(12,1,37)</f>
        <v>41955.501122685186</v>
      </c>
      <c r="C2033">
        <v>0</v>
      </c>
      <c r="D2033">
        <v>2400</v>
      </c>
      <c r="E2033">
        <v>2400</v>
      </c>
      <c r="F2033">
        <v>0</v>
      </c>
      <c r="G2033">
        <v>1303.0505370999999</v>
      </c>
      <c r="H2033">
        <v>1290.6195068</v>
      </c>
      <c r="I2033">
        <v>1395.4395752</v>
      </c>
      <c r="J2033">
        <v>1375.5258789</v>
      </c>
      <c r="K2033">
        <v>80</v>
      </c>
      <c r="L2033">
        <v>78.596771239999995</v>
      </c>
      <c r="M2033">
        <v>50</v>
      </c>
      <c r="N2033">
        <v>49.971782683999997</v>
      </c>
    </row>
    <row r="2034" spans="1:14" x14ac:dyDescent="0.25">
      <c r="A2034">
        <v>1657.3391349999999</v>
      </c>
      <c r="B2034" s="1">
        <f>DATE(2014,11,13) + TIME(8,8,21)</f>
        <v>41956.339131944442</v>
      </c>
      <c r="C2034">
        <v>0</v>
      </c>
      <c r="D2034">
        <v>2400</v>
      </c>
      <c r="E2034">
        <v>2400</v>
      </c>
      <c r="F2034">
        <v>0</v>
      </c>
      <c r="G2034">
        <v>1303.0187988</v>
      </c>
      <c r="H2034">
        <v>1290.5831298999999</v>
      </c>
      <c r="I2034">
        <v>1395.3834228999999</v>
      </c>
      <c r="J2034">
        <v>1375.4799805</v>
      </c>
      <c r="K2034">
        <v>80</v>
      </c>
      <c r="L2034">
        <v>78.512496948000006</v>
      </c>
      <c r="M2034">
        <v>50</v>
      </c>
      <c r="N2034">
        <v>49.971916198999999</v>
      </c>
    </row>
    <row r="2035" spans="1:14" x14ac:dyDescent="0.25">
      <c r="A2035">
        <v>1658.1923999999999</v>
      </c>
      <c r="B2035" s="1">
        <f>DATE(2014,11,14) + TIME(4,37,3)</f>
        <v>41957.192395833335</v>
      </c>
      <c r="C2035">
        <v>0</v>
      </c>
      <c r="D2035">
        <v>2400</v>
      </c>
      <c r="E2035">
        <v>2400</v>
      </c>
      <c r="F2035">
        <v>0</v>
      </c>
      <c r="G2035">
        <v>1302.9860839999999</v>
      </c>
      <c r="H2035">
        <v>1290.5455322</v>
      </c>
      <c r="I2035">
        <v>1395.3297118999999</v>
      </c>
      <c r="J2035">
        <v>1375.4361572</v>
      </c>
      <c r="K2035">
        <v>80</v>
      </c>
      <c r="L2035">
        <v>78.426704407000003</v>
      </c>
      <c r="M2035">
        <v>50</v>
      </c>
      <c r="N2035">
        <v>49.972007751</v>
      </c>
    </row>
    <row r="2036" spans="1:14" x14ac:dyDescent="0.25">
      <c r="A2036">
        <v>1659.07266</v>
      </c>
      <c r="B2036" s="1">
        <f>DATE(2014,11,15) + TIME(1,44,37)</f>
        <v>41958.072650462964</v>
      </c>
      <c r="C2036">
        <v>0</v>
      </c>
      <c r="D2036">
        <v>2400</v>
      </c>
      <c r="E2036">
        <v>2400</v>
      </c>
      <c r="F2036">
        <v>0</v>
      </c>
      <c r="G2036">
        <v>1302.9527588000001</v>
      </c>
      <c r="H2036">
        <v>1290.5072021000001</v>
      </c>
      <c r="I2036">
        <v>1395.2784423999999</v>
      </c>
      <c r="J2036">
        <v>1375.3944091999999</v>
      </c>
      <c r="K2036">
        <v>80</v>
      </c>
      <c r="L2036">
        <v>78.339370728000006</v>
      </c>
      <c r="M2036">
        <v>50</v>
      </c>
      <c r="N2036">
        <v>49.972072601000001</v>
      </c>
    </row>
    <row r="2037" spans="1:14" x14ac:dyDescent="0.25">
      <c r="A2037">
        <v>1659.991839</v>
      </c>
      <c r="B2037" s="1">
        <f>DATE(2014,11,15) + TIME(23,48,14)</f>
        <v>41958.991828703707</v>
      </c>
      <c r="C2037">
        <v>0</v>
      </c>
      <c r="D2037">
        <v>2400</v>
      </c>
      <c r="E2037">
        <v>2400</v>
      </c>
      <c r="F2037">
        <v>0</v>
      </c>
      <c r="G2037">
        <v>1302.9182129000001</v>
      </c>
      <c r="H2037">
        <v>1290.4672852000001</v>
      </c>
      <c r="I2037">
        <v>1395.2287598</v>
      </c>
      <c r="J2037">
        <v>1375.354126</v>
      </c>
      <c r="K2037">
        <v>80</v>
      </c>
      <c r="L2037">
        <v>78.249977111999996</v>
      </c>
      <c r="M2037">
        <v>50</v>
      </c>
      <c r="N2037">
        <v>49.972122192</v>
      </c>
    </row>
    <row r="2038" spans="1:14" x14ac:dyDescent="0.25">
      <c r="A2038">
        <v>1660.963051</v>
      </c>
      <c r="B2038" s="1">
        <f>DATE(2014,11,16) + TIME(23,6,47)</f>
        <v>41959.963043981479</v>
      </c>
      <c r="C2038">
        <v>0</v>
      </c>
      <c r="D2038">
        <v>2400</v>
      </c>
      <c r="E2038">
        <v>2400</v>
      </c>
      <c r="F2038">
        <v>0</v>
      </c>
      <c r="G2038">
        <v>1302.8820800999999</v>
      </c>
      <c r="H2038">
        <v>1290.425293</v>
      </c>
      <c r="I2038">
        <v>1395.1798096</v>
      </c>
      <c r="J2038">
        <v>1375.3146973</v>
      </c>
      <c r="K2038">
        <v>80</v>
      </c>
      <c r="L2038">
        <v>78.157684325999995</v>
      </c>
      <c r="M2038">
        <v>50</v>
      </c>
      <c r="N2038">
        <v>49.972164153999998</v>
      </c>
    </row>
    <row r="2039" spans="1:14" x14ac:dyDescent="0.25">
      <c r="A2039">
        <v>1662.002342</v>
      </c>
      <c r="B2039" s="1">
        <f>DATE(2014,11,18) + TIME(0,3,22)</f>
        <v>41961.002337962964</v>
      </c>
      <c r="C2039">
        <v>0</v>
      </c>
      <c r="D2039">
        <v>2400</v>
      </c>
      <c r="E2039">
        <v>2400</v>
      </c>
      <c r="F2039">
        <v>0</v>
      </c>
      <c r="G2039">
        <v>1302.8436279</v>
      </c>
      <c r="H2039">
        <v>1290.3807373</v>
      </c>
      <c r="I2039">
        <v>1395.1311035000001</v>
      </c>
      <c r="J2039">
        <v>1375.2753906</v>
      </c>
      <c r="K2039">
        <v>80</v>
      </c>
      <c r="L2039">
        <v>78.061416625999996</v>
      </c>
      <c r="M2039">
        <v>50</v>
      </c>
      <c r="N2039">
        <v>49.972194672000001</v>
      </c>
    </row>
    <row r="2040" spans="1:14" x14ac:dyDescent="0.25">
      <c r="A2040">
        <v>1663.1298939999999</v>
      </c>
      <c r="B2040" s="1">
        <f>DATE(2014,11,19) + TIME(3,7,2)</f>
        <v>41962.129884259259</v>
      </c>
      <c r="C2040">
        <v>0</v>
      </c>
      <c r="D2040">
        <v>2400</v>
      </c>
      <c r="E2040">
        <v>2400</v>
      </c>
      <c r="F2040">
        <v>0</v>
      </c>
      <c r="G2040">
        <v>1302.8022461</v>
      </c>
      <c r="H2040">
        <v>1290.3326416</v>
      </c>
      <c r="I2040">
        <v>1395.0820312000001</v>
      </c>
      <c r="J2040">
        <v>1375.2358397999999</v>
      </c>
      <c r="K2040">
        <v>80</v>
      </c>
      <c r="L2040">
        <v>77.959831238000007</v>
      </c>
      <c r="M2040">
        <v>50</v>
      </c>
      <c r="N2040">
        <v>49.972225189</v>
      </c>
    </row>
    <row r="2041" spans="1:14" x14ac:dyDescent="0.25">
      <c r="A2041">
        <v>1664.314881</v>
      </c>
      <c r="B2041" s="1">
        <f>DATE(2014,11,20) + TIME(7,33,25)</f>
        <v>41963.314872685187</v>
      </c>
      <c r="C2041">
        <v>0</v>
      </c>
      <c r="D2041">
        <v>2400</v>
      </c>
      <c r="E2041">
        <v>2400</v>
      </c>
      <c r="F2041">
        <v>0</v>
      </c>
      <c r="G2041">
        <v>1302.7570800999999</v>
      </c>
      <c r="H2041">
        <v>1290.2801514</v>
      </c>
      <c r="I2041">
        <v>1395.0317382999999</v>
      </c>
      <c r="J2041">
        <v>1375.1954346</v>
      </c>
      <c r="K2041">
        <v>80</v>
      </c>
      <c r="L2041">
        <v>77.853340149000005</v>
      </c>
      <c r="M2041">
        <v>50</v>
      </c>
      <c r="N2041">
        <v>49.972251892000003</v>
      </c>
    </row>
    <row r="2042" spans="1:14" x14ac:dyDescent="0.25">
      <c r="A2042">
        <v>1665.5100179999999</v>
      </c>
      <c r="B2042" s="1">
        <f>DATE(2014,11,21) + TIME(12,14,25)</f>
        <v>41964.510011574072</v>
      </c>
      <c r="C2042">
        <v>0</v>
      </c>
      <c r="D2042">
        <v>2400</v>
      </c>
      <c r="E2042">
        <v>2400</v>
      </c>
      <c r="F2042">
        <v>0</v>
      </c>
      <c r="G2042">
        <v>1302.7089844</v>
      </c>
      <c r="H2042">
        <v>1290.2243652</v>
      </c>
      <c r="I2042">
        <v>1394.9819336</v>
      </c>
      <c r="J2042">
        <v>1375.1555175999999</v>
      </c>
      <c r="K2042">
        <v>80</v>
      </c>
      <c r="L2042">
        <v>77.744422912999994</v>
      </c>
      <c r="M2042">
        <v>50</v>
      </c>
      <c r="N2042">
        <v>49.972274779999999</v>
      </c>
    </row>
    <row r="2043" spans="1:14" x14ac:dyDescent="0.25">
      <c r="A2043">
        <v>1666.7319279999999</v>
      </c>
      <c r="B2043" s="1">
        <f>DATE(2014,11,22) + TIME(17,33,58)</f>
        <v>41965.731921296298</v>
      </c>
      <c r="C2043">
        <v>0</v>
      </c>
      <c r="D2043">
        <v>2400</v>
      </c>
      <c r="E2043">
        <v>2400</v>
      </c>
      <c r="F2043">
        <v>0</v>
      </c>
      <c r="G2043">
        <v>1302.6601562000001</v>
      </c>
      <c r="H2043">
        <v>1290.1672363</v>
      </c>
      <c r="I2043">
        <v>1394.9344481999999</v>
      </c>
      <c r="J2043">
        <v>1375.1175536999999</v>
      </c>
      <c r="K2043">
        <v>80</v>
      </c>
      <c r="L2043">
        <v>77.634330750000004</v>
      </c>
      <c r="M2043">
        <v>50</v>
      </c>
      <c r="N2043">
        <v>49.972297668000003</v>
      </c>
    </row>
    <row r="2044" spans="1:14" x14ac:dyDescent="0.25">
      <c r="A2044">
        <v>1667.997423</v>
      </c>
      <c r="B2044" s="1">
        <f>DATE(2014,11,23) + TIME(23,56,17)</f>
        <v>41966.997418981482</v>
      </c>
      <c r="C2044">
        <v>0</v>
      </c>
      <c r="D2044">
        <v>2400</v>
      </c>
      <c r="E2044">
        <v>2400</v>
      </c>
      <c r="F2044">
        <v>0</v>
      </c>
      <c r="G2044">
        <v>1302.6097411999999</v>
      </c>
      <c r="H2044">
        <v>1290.1080322</v>
      </c>
      <c r="I2044">
        <v>1394.8886719</v>
      </c>
      <c r="J2044">
        <v>1375.0809326000001</v>
      </c>
      <c r="K2044">
        <v>80</v>
      </c>
      <c r="L2044">
        <v>77.522735596000004</v>
      </c>
      <c r="M2044">
        <v>50</v>
      </c>
      <c r="N2044">
        <v>49.972320557000003</v>
      </c>
    </row>
    <row r="2045" spans="1:14" x14ac:dyDescent="0.25">
      <c r="A2045">
        <v>1669.324421</v>
      </c>
      <c r="B2045" s="1">
        <f>DATE(2014,11,25) + TIME(7,47,9)</f>
        <v>41968.32440972222</v>
      </c>
      <c r="C2045">
        <v>0</v>
      </c>
      <c r="D2045">
        <v>2400</v>
      </c>
      <c r="E2045">
        <v>2400</v>
      </c>
      <c r="F2045">
        <v>0</v>
      </c>
      <c r="G2045">
        <v>1302.5568848</v>
      </c>
      <c r="H2045">
        <v>1290.0457764</v>
      </c>
      <c r="I2045">
        <v>1394.8436279</v>
      </c>
      <c r="J2045">
        <v>1375.0450439000001</v>
      </c>
      <c r="K2045">
        <v>80</v>
      </c>
      <c r="L2045">
        <v>77.408676146999994</v>
      </c>
      <c r="M2045">
        <v>50</v>
      </c>
      <c r="N2045">
        <v>49.972347259999999</v>
      </c>
    </row>
    <row r="2046" spans="1:14" x14ac:dyDescent="0.25">
      <c r="A2046">
        <v>1670.7337419999999</v>
      </c>
      <c r="B2046" s="1">
        <f>DATE(2014,11,26) + TIME(17,36,35)</f>
        <v>41969.733738425923</v>
      </c>
      <c r="C2046">
        <v>0</v>
      </c>
      <c r="D2046">
        <v>2400</v>
      </c>
      <c r="E2046">
        <v>2400</v>
      </c>
      <c r="F2046">
        <v>0</v>
      </c>
      <c r="G2046">
        <v>1302.5009766000001</v>
      </c>
      <c r="H2046">
        <v>1289.9796143000001</v>
      </c>
      <c r="I2046">
        <v>1394.7988281</v>
      </c>
      <c r="J2046">
        <v>1375.0092772999999</v>
      </c>
      <c r="K2046">
        <v>80</v>
      </c>
      <c r="L2046">
        <v>77.290878296000002</v>
      </c>
      <c r="M2046">
        <v>50</v>
      </c>
      <c r="N2046">
        <v>49.972370148000003</v>
      </c>
    </row>
    <row r="2047" spans="1:14" x14ac:dyDescent="0.25">
      <c r="A2047">
        <v>1672.244295</v>
      </c>
      <c r="B2047" s="1">
        <f>DATE(2014,11,28) + TIME(5,51,47)</f>
        <v>41971.244293981479</v>
      </c>
      <c r="C2047">
        <v>0</v>
      </c>
      <c r="D2047">
        <v>2400</v>
      </c>
      <c r="E2047">
        <v>2400</v>
      </c>
      <c r="F2047">
        <v>0</v>
      </c>
      <c r="G2047">
        <v>1302.4406738</v>
      </c>
      <c r="H2047">
        <v>1289.9080810999999</v>
      </c>
      <c r="I2047">
        <v>1394.7535399999999</v>
      </c>
      <c r="J2047">
        <v>1374.9733887</v>
      </c>
      <c r="K2047">
        <v>80</v>
      </c>
      <c r="L2047">
        <v>77.16796875</v>
      </c>
      <c r="M2047">
        <v>50</v>
      </c>
      <c r="N2047">
        <v>49.972400665000002</v>
      </c>
    </row>
    <row r="2048" spans="1:14" x14ac:dyDescent="0.25">
      <c r="A2048">
        <v>1673.8166799999999</v>
      </c>
      <c r="B2048" s="1">
        <f>DATE(2014,11,29) + TIME(19,36,1)</f>
        <v>41972.816678240742</v>
      </c>
      <c r="C2048">
        <v>0</v>
      </c>
      <c r="D2048">
        <v>2400</v>
      </c>
      <c r="E2048">
        <v>2400</v>
      </c>
      <c r="F2048">
        <v>0</v>
      </c>
      <c r="G2048">
        <v>1302.3751221</v>
      </c>
      <c r="H2048">
        <v>1289.8302002</v>
      </c>
      <c r="I2048">
        <v>1394.7075195</v>
      </c>
      <c r="J2048">
        <v>1374.9367675999999</v>
      </c>
      <c r="K2048">
        <v>80</v>
      </c>
      <c r="L2048">
        <v>77.040267943999993</v>
      </c>
      <c r="M2048">
        <v>50</v>
      </c>
      <c r="N2048">
        <v>49.972427367999998</v>
      </c>
    </row>
    <row r="2049" spans="1:14" x14ac:dyDescent="0.25">
      <c r="A2049">
        <v>1675</v>
      </c>
      <c r="B2049" s="1">
        <f>DATE(2014,12,1) + TIME(0,0,0)</f>
        <v>41974</v>
      </c>
      <c r="C2049">
        <v>0</v>
      </c>
      <c r="D2049">
        <v>2400</v>
      </c>
      <c r="E2049">
        <v>2400</v>
      </c>
      <c r="F2049">
        <v>0</v>
      </c>
      <c r="G2049">
        <v>1302.3052978999999</v>
      </c>
      <c r="H2049">
        <v>1289.7485352000001</v>
      </c>
      <c r="I2049">
        <v>1394.6618652</v>
      </c>
      <c r="J2049">
        <v>1374.9003906</v>
      </c>
      <c r="K2049">
        <v>80</v>
      </c>
      <c r="L2049">
        <v>76.924171447999996</v>
      </c>
      <c r="M2049">
        <v>50</v>
      </c>
      <c r="N2049">
        <v>49.972446441999999</v>
      </c>
    </row>
    <row r="2050" spans="1:14" x14ac:dyDescent="0.25">
      <c r="A2050">
        <v>1676.5889159999999</v>
      </c>
      <c r="B2050" s="1">
        <f>DATE(2014,12,2) + TIME(14,8,2)</f>
        <v>41975.588912037034</v>
      </c>
      <c r="C2050">
        <v>0</v>
      </c>
      <c r="D2050">
        <v>2400</v>
      </c>
      <c r="E2050">
        <v>2400</v>
      </c>
      <c r="F2050">
        <v>0</v>
      </c>
      <c r="G2050">
        <v>1302.2523193</v>
      </c>
      <c r="H2050">
        <v>1289.6823730000001</v>
      </c>
      <c r="I2050">
        <v>1394.6293945</v>
      </c>
      <c r="J2050">
        <v>1374.8746338000001</v>
      </c>
      <c r="K2050">
        <v>80</v>
      </c>
      <c r="L2050">
        <v>76.806770325000002</v>
      </c>
      <c r="M2050">
        <v>50</v>
      </c>
      <c r="N2050">
        <v>49.972476958999998</v>
      </c>
    </row>
    <row r="2051" spans="1:14" x14ac:dyDescent="0.25">
      <c r="A2051">
        <v>1678.261006</v>
      </c>
      <c r="B2051" s="1">
        <f>DATE(2014,12,4) + TIME(6,15,50)</f>
        <v>41977.260995370372</v>
      </c>
      <c r="C2051">
        <v>0</v>
      </c>
      <c r="D2051">
        <v>2400</v>
      </c>
      <c r="E2051">
        <v>2400</v>
      </c>
      <c r="F2051">
        <v>0</v>
      </c>
      <c r="G2051">
        <v>1302.1802978999999</v>
      </c>
      <c r="H2051">
        <v>1289.5958252</v>
      </c>
      <c r="I2051">
        <v>1394.5872803</v>
      </c>
      <c r="J2051">
        <v>1374.8411865</v>
      </c>
      <c r="K2051">
        <v>80</v>
      </c>
      <c r="L2051">
        <v>76.680213928000001</v>
      </c>
      <c r="M2051">
        <v>50</v>
      </c>
      <c r="N2051">
        <v>49.972511292</v>
      </c>
    </row>
    <row r="2052" spans="1:14" x14ac:dyDescent="0.25">
      <c r="A2052">
        <v>1680.005623</v>
      </c>
      <c r="B2052" s="1">
        <f>DATE(2014,12,6) + TIME(0,8,5)</f>
        <v>41979.005613425928</v>
      </c>
      <c r="C2052">
        <v>0</v>
      </c>
      <c r="D2052">
        <v>2400</v>
      </c>
      <c r="E2052">
        <v>2400</v>
      </c>
      <c r="F2052">
        <v>0</v>
      </c>
      <c r="G2052">
        <v>1302.1029053</v>
      </c>
      <c r="H2052">
        <v>1289.5024414</v>
      </c>
      <c r="I2052">
        <v>1394.5449219</v>
      </c>
      <c r="J2052">
        <v>1374.8074951000001</v>
      </c>
      <c r="K2052">
        <v>80</v>
      </c>
      <c r="L2052">
        <v>76.547851562000005</v>
      </c>
      <c r="M2052">
        <v>50</v>
      </c>
      <c r="N2052">
        <v>49.972541808999999</v>
      </c>
    </row>
    <row r="2053" spans="1:14" x14ac:dyDescent="0.25">
      <c r="A2053">
        <v>1681.844386</v>
      </c>
      <c r="B2053" s="1">
        <f>DATE(2014,12,7) + TIME(20,15,54)</f>
        <v>41980.844375000001</v>
      </c>
      <c r="C2053">
        <v>0</v>
      </c>
      <c r="D2053">
        <v>2400</v>
      </c>
      <c r="E2053">
        <v>2400</v>
      </c>
      <c r="F2053">
        <v>0</v>
      </c>
      <c r="G2053">
        <v>1302.0206298999999</v>
      </c>
      <c r="H2053">
        <v>1289.4022216999999</v>
      </c>
      <c r="I2053">
        <v>1394.5026855000001</v>
      </c>
      <c r="J2053">
        <v>1374.7740478999999</v>
      </c>
      <c r="K2053">
        <v>80</v>
      </c>
      <c r="L2053">
        <v>76.41078186</v>
      </c>
      <c r="M2053">
        <v>50</v>
      </c>
      <c r="N2053">
        <v>49.972576140999998</v>
      </c>
    </row>
    <row r="2054" spans="1:14" x14ac:dyDescent="0.25">
      <c r="A2054">
        <v>1683.764899</v>
      </c>
      <c r="B2054" s="1">
        <f>DATE(2014,12,9) + TIME(18,21,27)</f>
        <v>41982.76489583333</v>
      </c>
      <c r="C2054">
        <v>0</v>
      </c>
      <c r="D2054">
        <v>2400</v>
      </c>
      <c r="E2054">
        <v>2400</v>
      </c>
      <c r="F2054">
        <v>0</v>
      </c>
      <c r="G2054">
        <v>1301.9320068</v>
      </c>
      <c r="H2054">
        <v>1289.2939452999999</v>
      </c>
      <c r="I2054">
        <v>1394.4602050999999</v>
      </c>
      <c r="J2054">
        <v>1374.7403564000001</v>
      </c>
      <c r="K2054">
        <v>80</v>
      </c>
      <c r="L2054">
        <v>76.269248962000006</v>
      </c>
      <c r="M2054">
        <v>50</v>
      </c>
      <c r="N2054">
        <v>49.972614288000003</v>
      </c>
    </row>
    <row r="2055" spans="1:14" x14ac:dyDescent="0.25">
      <c r="A2055">
        <v>1685.725189</v>
      </c>
      <c r="B2055" s="1">
        <f>DATE(2014,12,11) + TIME(17,24,16)</f>
        <v>41984.725185185183</v>
      </c>
      <c r="C2055">
        <v>0</v>
      </c>
      <c r="D2055">
        <v>2400</v>
      </c>
      <c r="E2055">
        <v>2400</v>
      </c>
      <c r="F2055">
        <v>0</v>
      </c>
      <c r="G2055">
        <v>1301.8374022999999</v>
      </c>
      <c r="H2055">
        <v>1289.1777344</v>
      </c>
      <c r="I2055">
        <v>1394.4178466999999</v>
      </c>
      <c r="J2055">
        <v>1374.7066649999999</v>
      </c>
      <c r="K2055">
        <v>80</v>
      </c>
      <c r="L2055">
        <v>76.124748229999994</v>
      </c>
      <c r="M2055">
        <v>50</v>
      </c>
      <c r="N2055">
        <v>49.972652435000001</v>
      </c>
    </row>
    <row r="2056" spans="1:14" x14ac:dyDescent="0.25">
      <c r="A2056">
        <v>1687.713812</v>
      </c>
      <c r="B2056" s="1">
        <f>DATE(2014,12,13) + TIME(17,7,53)</f>
        <v>41986.713807870372</v>
      </c>
      <c r="C2056">
        <v>0</v>
      </c>
      <c r="D2056">
        <v>2400</v>
      </c>
      <c r="E2056">
        <v>2400</v>
      </c>
      <c r="F2056">
        <v>0</v>
      </c>
      <c r="G2056">
        <v>1301.7385254000001</v>
      </c>
      <c r="H2056">
        <v>1289.0556641000001</v>
      </c>
      <c r="I2056">
        <v>1394.3764647999999</v>
      </c>
      <c r="J2056">
        <v>1374.6738281</v>
      </c>
      <c r="K2056">
        <v>80</v>
      </c>
      <c r="L2056">
        <v>75.979309082</v>
      </c>
      <c r="M2056">
        <v>50</v>
      </c>
      <c r="N2056">
        <v>49.972690581999998</v>
      </c>
    </row>
    <row r="2057" spans="1:14" x14ac:dyDescent="0.25">
      <c r="A2057">
        <v>1689.7287249999999</v>
      </c>
      <c r="B2057" s="1">
        <f>DATE(2014,12,15) + TIME(17,29,21)</f>
        <v>41988.728715277779</v>
      </c>
      <c r="C2057">
        <v>0</v>
      </c>
      <c r="D2057">
        <v>2400</v>
      </c>
      <c r="E2057">
        <v>2400</v>
      </c>
      <c r="F2057">
        <v>0</v>
      </c>
      <c r="G2057">
        <v>1301.6358643000001</v>
      </c>
      <c r="H2057">
        <v>1288.9278564000001</v>
      </c>
      <c r="I2057">
        <v>1394.3363036999999</v>
      </c>
      <c r="J2057">
        <v>1374.6418457</v>
      </c>
      <c r="K2057">
        <v>80</v>
      </c>
      <c r="L2057">
        <v>75.833900451999995</v>
      </c>
      <c r="M2057">
        <v>50</v>
      </c>
      <c r="N2057">
        <v>49.972728729000004</v>
      </c>
    </row>
    <row r="2058" spans="1:14" x14ac:dyDescent="0.25">
      <c r="A2058">
        <v>1691.775987</v>
      </c>
      <c r="B2058" s="1">
        <f>DATE(2014,12,17) + TIME(18,37,25)</f>
        <v>41990.775983796295</v>
      </c>
      <c r="C2058">
        <v>0</v>
      </c>
      <c r="D2058">
        <v>2400</v>
      </c>
      <c r="E2058">
        <v>2400</v>
      </c>
      <c r="F2058">
        <v>0</v>
      </c>
      <c r="G2058">
        <v>1301.5292969</v>
      </c>
      <c r="H2058">
        <v>1288.7945557</v>
      </c>
      <c r="I2058">
        <v>1394.2972411999999</v>
      </c>
      <c r="J2058">
        <v>1374.6107178</v>
      </c>
      <c r="K2058">
        <v>80</v>
      </c>
      <c r="L2058">
        <v>75.688743591000005</v>
      </c>
      <c r="M2058">
        <v>50</v>
      </c>
      <c r="N2058">
        <v>49.972766876000001</v>
      </c>
    </row>
    <row r="2059" spans="1:14" x14ac:dyDescent="0.25">
      <c r="A2059">
        <v>1693.8602980000001</v>
      </c>
      <c r="B2059" s="1">
        <f>DATE(2014,12,19) + TIME(20,38,49)</f>
        <v>41992.860289351855</v>
      </c>
      <c r="C2059">
        <v>0</v>
      </c>
      <c r="D2059">
        <v>2400</v>
      </c>
      <c r="E2059">
        <v>2400</v>
      </c>
      <c r="F2059">
        <v>0</v>
      </c>
      <c r="G2059">
        <v>1301.4183350000001</v>
      </c>
      <c r="H2059">
        <v>1288.6551514</v>
      </c>
      <c r="I2059">
        <v>1394.2591553</v>
      </c>
      <c r="J2059">
        <v>1374.5803223</v>
      </c>
      <c r="K2059">
        <v>80</v>
      </c>
      <c r="L2059">
        <v>75.543586731000005</v>
      </c>
      <c r="M2059">
        <v>50</v>
      </c>
      <c r="N2059">
        <v>49.972808837999999</v>
      </c>
    </row>
    <row r="2060" spans="1:14" x14ac:dyDescent="0.25">
      <c r="A2060">
        <v>1695.9860040000001</v>
      </c>
      <c r="B2060" s="1">
        <f>DATE(2014,12,21) + TIME(23,39,50)</f>
        <v>41994.985995370371</v>
      </c>
      <c r="C2060">
        <v>0</v>
      </c>
      <c r="D2060">
        <v>2400</v>
      </c>
      <c r="E2060">
        <v>2400</v>
      </c>
      <c r="F2060">
        <v>0</v>
      </c>
      <c r="G2060">
        <v>1301.3026123</v>
      </c>
      <c r="H2060">
        <v>1288.5089111</v>
      </c>
      <c r="I2060">
        <v>1394.2218018000001</v>
      </c>
      <c r="J2060">
        <v>1374.5505370999999</v>
      </c>
      <c r="K2060">
        <v>80</v>
      </c>
      <c r="L2060">
        <v>75.398124695000007</v>
      </c>
      <c r="M2060">
        <v>50</v>
      </c>
      <c r="N2060">
        <v>49.972846984999997</v>
      </c>
    </row>
    <row r="2061" spans="1:14" x14ac:dyDescent="0.25">
      <c r="A2061">
        <v>1698.1490739999999</v>
      </c>
      <c r="B2061" s="1">
        <f>DATE(2014,12,24) + TIME(3,34,39)</f>
        <v>41997.149062500001</v>
      </c>
      <c r="C2061">
        <v>0</v>
      </c>
      <c r="D2061">
        <v>2400</v>
      </c>
      <c r="E2061">
        <v>2400</v>
      </c>
      <c r="F2061">
        <v>0</v>
      </c>
      <c r="G2061">
        <v>1301.1816406</v>
      </c>
      <c r="H2061">
        <v>1288.3553466999999</v>
      </c>
      <c r="I2061">
        <v>1394.1851807</v>
      </c>
      <c r="J2061">
        <v>1374.5212402</v>
      </c>
      <c r="K2061">
        <v>80</v>
      </c>
      <c r="L2061">
        <v>75.252189635999997</v>
      </c>
      <c r="M2061">
        <v>50</v>
      </c>
      <c r="N2061">
        <v>49.972888947000001</v>
      </c>
    </row>
    <row r="2062" spans="1:14" x14ac:dyDescent="0.25">
      <c r="A2062">
        <v>1700.3366040000001</v>
      </c>
      <c r="B2062" s="1">
        <f>DATE(2014,12,26) + TIME(8,4,42)</f>
        <v>41999.336597222224</v>
      </c>
      <c r="C2062">
        <v>0</v>
      </c>
      <c r="D2062">
        <v>2400</v>
      </c>
      <c r="E2062">
        <v>2400</v>
      </c>
      <c r="F2062">
        <v>0</v>
      </c>
      <c r="G2062">
        <v>1301.0555420000001</v>
      </c>
      <c r="H2062">
        <v>1288.1943358999999</v>
      </c>
      <c r="I2062">
        <v>1394.1491699000001</v>
      </c>
      <c r="J2062">
        <v>1374.4925536999999</v>
      </c>
      <c r="K2062">
        <v>80</v>
      </c>
      <c r="L2062">
        <v>75.106063843000001</v>
      </c>
      <c r="M2062">
        <v>50</v>
      </c>
      <c r="N2062">
        <v>49.972930908000002</v>
      </c>
    </row>
    <row r="2063" spans="1:14" x14ac:dyDescent="0.25">
      <c r="A2063">
        <v>1702.5532639999999</v>
      </c>
      <c r="B2063" s="1">
        <f>DATE(2014,12,28) + TIME(13,16,42)</f>
        <v>42001.553263888891</v>
      </c>
      <c r="C2063">
        <v>0</v>
      </c>
      <c r="D2063">
        <v>2400</v>
      </c>
      <c r="E2063">
        <v>2400</v>
      </c>
      <c r="F2063">
        <v>0</v>
      </c>
      <c r="G2063">
        <v>1300.9248047000001</v>
      </c>
      <c r="H2063">
        <v>1288.0266113</v>
      </c>
      <c r="I2063">
        <v>1394.1140137</v>
      </c>
      <c r="J2063">
        <v>1374.4644774999999</v>
      </c>
      <c r="K2063">
        <v>80</v>
      </c>
      <c r="L2063">
        <v>74.960113524999997</v>
      </c>
      <c r="M2063">
        <v>50</v>
      </c>
      <c r="N2063">
        <v>49.972976684999999</v>
      </c>
    </row>
    <row r="2064" spans="1:14" x14ac:dyDescent="0.25">
      <c r="A2064">
        <v>1704.8050109999999</v>
      </c>
      <c r="B2064" s="1">
        <f>DATE(2014,12,30) + TIME(19,19,12)</f>
        <v>42003.805</v>
      </c>
      <c r="C2064">
        <v>0</v>
      </c>
      <c r="D2064">
        <v>2400</v>
      </c>
      <c r="E2064">
        <v>2400</v>
      </c>
      <c r="F2064">
        <v>0</v>
      </c>
      <c r="G2064">
        <v>1300.7890625</v>
      </c>
      <c r="H2064">
        <v>1287.8515625</v>
      </c>
      <c r="I2064">
        <v>1394.0797118999999</v>
      </c>
      <c r="J2064">
        <v>1374.4368896000001</v>
      </c>
      <c r="K2064">
        <v>80</v>
      </c>
      <c r="L2064">
        <v>74.813964843999997</v>
      </c>
      <c r="M2064">
        <v>50</v>
      </c>
      <c r="N2064">
        <v>49.973018646</v>
      </c>
    </row>
    <row r="2065" spans="1:14" x14ac:dyDescent="0.25">
      <c r="A2065">
        <v>1706</v>
      </c>
      <c r="B2065" s="1">
        <f>DATE(2015,1,1) + TIME(0,0,0)</f>
        <v>42005</v>
      </c>
      <c r="C2065">
        <v>0</v>
      </c>
      <c r="D2065">
        <v>2400</v>
      </c>
      <c r="E2065">
        <v>2400</v>
      </c>
      <c r="F2065">
        <v>0</v>
      </c>
      <c r="G2065">
        <v>1300.6495361</v>
      </c>
      <c r="H2065">
        <v>1287.6757812000001</v>
      </c>
      <c r="I2065">
        <v>1394.0454102000001</v>
      </c>
      <c r="J2065">
        <v>1374.4093018000001</v>
      </c>
      <c r="K2065">
        <v>80</v>
      </c>
      <c r="L2065">
        <v>74.696525574000006</v>
      </c>
      <c r="M2065">
        <v>50</v>
      </c>
      <c r="N2065">
        <v>49.973037720000001</v>
      </c>
    </row>
    <row r="2066" spans="1:14" x14ac:dyDescent="0.25">
      <c r="A2066">
        <v>1708.2832780000001</v>
      </c>
      <c r="B2066" s="1">
        <f>DATE(2015,1,3) + TIME(6,47,55)</f>
        <v>42007.283275462964</v>
      </c>
      <c r="C2066">
        <v>0</v>
      </c>
      <c r="D2066">
        <v>2400</v>
      </c>
      <c r="E2066">
        <v>2400</v>
      </c>
      <c r="F2066">
        <v>0</v>
      </c>
      <c r="G2066">
        <v>1300.5671387</v>
      </c>
      <c r="H2066">
        <v>1287.5607910000001</v>
      </c>
      <c r="I2066">
        <v>1394.0285644999999</v>
      </c>
      <c r="J2066">
        <v>1374.3957519999999</v>
      </c>
      <c r="K2066">
        <v>80</v>
      </c>
      <c r="L2066">
        <v>74.579536438000005</v>
      </c>
      <c r="M2066">
        <v>50</v>
      </c>
      <c r="N2066">
        <v>49.973083496000001</v>
      </c>
    </row>
    <row r="2067" spans="1:14" x14ac:dyDescent="0.25">
      <c r="A2067">
        <v>1710.6078950000001</v>
      </c>
      <c r="B2067" s="1">
        <f>DATE(2015,1,5) + TIME(14,35,22)</f>
        <v>42009.607893518521</v>
      </c>
      <c r="C2067">
        <v>0</v>
      </c>
      <c r="D2067">
        <v>2400</v>
      </c>
      <c r="E2067">
        <v>2400</v>
      </c>
      <c r="F2067">
        <v>0</v>
      </c>
      <c r="G2067">
        <v>1300.4213867000001</v>
      </c>
      <c r="H2067">
        <v>1287.3728027</v>
      </c>
      <c r="I2067">
        <v>1393.9958495999999</v>
      </c>
      <c r="J2067">
        <v>1374.3695068</v>
      </c>
      <c r="K2067">
        <v>80</v>
      </c>
      <c r="L2067">
        <v>74.440963745000005</v>
      </c>
      <c r="M2067">
        <v>50</v>
      </c>
      <c r="N2067">
        <v>49.973129272000001</v>
      </c>
    </row>
    <row r="2068" spans="1:14" x14ac:dyDescent="0.25">
      <c r="A2068">
        <v>1712.9658870000001</v>
      </c>
      <c r="B2068" s="1">
        <f>DATE(2015,1,7) + TIME(23,10,52)</f>
        <v>42011.965879629628</v>
      </c>
      <c r="C2068">
        <v>0</v>
      </c>
      <c r="D2068">
        <v>2400</v>
      </c>
      <c r="E2068">
        <v>2400</v>
      </c>
      <c r="F2068">
        <v>0</v>
      </c>
      <c r="G2068">
        <v>1300.2673339999999</v>
      </c>
      <c r="H2068">
        <v>1287.1715088000001</v>
      </c>
      <c r="I2068">
        <v>1393.9636230000001</v>
      </c>
      <c r="J2068">
        <v>1374.3435059000001</v>
      </c>
      <c r="K2068">
        <v>80</v>
      </c>
      <c r="L2068">
        <v>74.295692443999997</v>
      </c>
      <c r="M2068">
        <v>50</v>
      </c>
      <c r="N2068">
        <v>49.973175048999998</v>
      </c>
    </row>
    <row r="2069" spans="1:14" x14ac:dyDescent="0.25">
      <c r="A2069">
        <v>1715.3630780000001</v>
      </c>
      <c r="B2069" s="1">
        <f>DATE(2015,1,10) + TIME(8,42,49)</f>
        <v>42014.363067129627</v>
      </c>
      <c r="C2069">
        <v>0</v>
      </c>
      <c r="D2069">
        <v>2400</v>
      </c>
      <c r="E2069">
        <v>2400</v>
      </c>
      <c r="F2069">
        <v>0</v>
      </c>
      <c r="G2069">
        <v>1300.1068115</v>
      </c>
      <c r="H2069">
        <v>1286.9604492000001</v>
      </c>
      <c r="I2069">
        <v>1393.9320068</v>
      </c>
      <c r="J2069">
        <v>1374.3178711</v>
      </c>
      <c r="K2069">
        <v>80</v>
      </c>
      <c r="L2069">
        <v>74.147834778000004</v>
      </c>
      <c r="M2069">
        <v>50</v>
      </c>
      <c r="N2069">
        <v>49.973220824999999</v>
      </c>
    </row>
    <row r="2070" spans="1:14" x14ac:dyDescent="0.25">
      <c r="A2070">
        <v>1717.804907</v>
      </c>
      <c r="B2070" s="1">
        <f>DATE(2015,1,12) + TIME(19,19,3)</f>
        <v>42016.804895833331</v>
      </c>
      <c r="C2070">
        <v>0</v>
      </c>
      <c r="D2070">
        <v>2400</v>
      </c>
      <c r="E2070">
        <v>2400</v>
      </c>
      <c r="F2070">
        <v>0</v>
      </c>
      <c r="G2070">
        <v>1299.9396973</v>
      </c>
      <c r="H2070">
        <v>1286.739624</v>
      </c>
      <c r="I2070">
        <v>1393.9006348</v>
      </c>
      <c r="J2070">
        <v>1374.2926024999999</v>
      </c>
      <c r="K2070">
        <v>80</v>
      </c>
      <c r="L2070">
        <v>73.998107910000002</v>
      </c>
      <c r="M2070">
        <v>50</v>
      </c>
      <c r="N2070">
        <v>49.973266602000002</v>
      </c>
    </row>
    <row r="2071" spans="1:14" x14ac:dyDescent="0.25">
      <c r="A2071">
        <v>1720.295519</v>
      </c>
      <c r="B2071" s="1">
        <f>DATE(2015,1,15) + TIME(7,5,32)</f>
        <v>42019.29550925926</v>
      </c>
      <c r="C2071">
        <v>0</v>
      </c>
      <c r="D2071">
        <v>2400</v>
      </c>
      <c r="E2071">
        <v>2400</v>
      </c>
      <c r="F2071">
        <v>0</v>
      </c>
      <c r="G2071">
        <v>1299.765625</v>
      </c>
      <c r="H2071">
        <v>1286.5086670000001</v>
      </c>
      <c r="I2071">
        <v>1393.8696289</v>
      </c>
      <c r="J2071">
        <v>1374.2674560999999</v>
      </c>
      <c r="K2071">
        <v>80</v>
      </c>
      <c r="L2071">
        <v>73.846366881999998</v>
      </c>
      <c r="M2071">
        <v>50</v>
      </c>
      <c r="N2071">
        <v>49.973312378000003</v>
      </c>
    </row>
    <row r="2072" spans="1:14" x14ac:dyDescent="0.25">
      <c r="A2072">
        <v>1722.8203370000001</v>
      </c>
      <c r="B2072" s="1">
        <f>DATE(2015,1,17) + TIME(19,41,17)</f>
        <v>42021.820335648146</v>
      </c>
      <c r="C2072">
        <v>0</v>
      </c>
      <c r="D2072">
        <v>2400</v>
      </c>
      <c r="E2072">
        <v>2400</v>
      </c>
      <c r="F2072">
        <v>0</v>
      </c>
      <c r="G2072">
        <v>1299.5841064000001</v>
      </c>
      <c r="H2072">
        <v>1286.2670897999999</v>
      </c>
      <c r="I2072">
        <v>1393.8388672000001</v>
      </c>
      <c r="J2072">
        <v>1374.2425536999999</v>
      </c>
      <c r="K2072">
        <v>80</v>
      </c>
      <c r="L2072">
        <v>73.692497252999999</v>
      </c>
      <c r="M2072">
        <v>50</v>
      </c>
      <c r="N2072">
        <v>49.973361969000003</v>
      </c>
    </row>
    <row r="2073" spans="1:14" x14ac:dyDescent="0.25">
      <c r="A2073">
        <v>1725.3739579999999</v>
      </c>
      <c r="B2073" s="1">
        <f>DATE(2015,1,20) + TIME(8,58,29)</f>
        <v>42024.37394675926</v>
      </c>
      <c r="C2073">
        <v>0</v>
      </c>
      <c r="D2073">
        <v>2400</v>
      </c>
      <c r="E2073">
        <v>2400</v>
      </c>
      <c r="F2073">
        <v>0</v>
      </c>
      <c r="G2073">
        <v>1299.3959961</v>
      </c>
      <c r="H2073">
        <v>1286.0155029</v>
      </c>
      <c r="I2073">
        <v>1393.8085937999999</v>
      </c>
      <c r="J2073">
        <v>1374.2178954999999</v>
      </c>
      <c r="K2073">
        <v>80</v>
      </c>
      <c r="L2073">
        <v>73.536834717000005</v>
      </c>
      <c r="M2073">
        <v>50</v>
      </c>
      <c r="N2073">
        <v>49.973407745000003</v>
      </c>
    </row>
    <row r="2074" spans="1:14" x14ac:dyDescent="0.25">
      <c r="A2074">
        <v>1727.9628740000001</v>
      </c>
      <c r="B2074" s="1">
        <f>DATE(2015,1,22) + TIME(23,6,32)</f>
        <v>42026.962870370371</v>
      </c>
      <c r="C2074">
        <v>0</v>
      </c>
      <c r="D2074">
        <v>2400</v>
      </c>
      <c r="E2074">
        <v>2400</v>
      </c>
      <c r="F2074">
        <v>0</v>
      </c>
      <c r="G2074">
        <v>1299.2015381000001</v>
      </c>
      <c r="H2074">
        <v>1285.7545166</v>
      </c>
      <c r="I2074">
        <v>1393.7786865</v>
      </c>
      <c r="J2074">
        <v>1374.1934814000001</v>
      </c>
      <c r="K2074">
        <v>80</v>
      </c>
      <c r="L2074">
        <v>73.379325867000006</v>
      </c>
      <c r="M2074">
        <v>50</v>
      </c>
      <c r="N2074">
        <v>49.973457336000003</v>
      </c>
    </row>
    <row r="2075" spans="1:14" x14ac:dyDescent="0.25">
      <c r="A2075">
        <v>1730.5928100000001</v>
      </c>
      <c r="B2075" s="1">
        <f>DATE(2015,1,25) + TIME(14,13,38)</f>
        <v>42029.592800925922</v>
      </c>
      <c r="C2075">
        <v>0</v>
      </c>
      <c r="D2075">
        <v>2400</v>
      </c>
      <c r="E2075">
        <v>2400</v>
      </c>
      <c r="F2075">
        <v>0</v>
      </c>
      <c r="G2075">
        <v>1299.0003661999999</v>
      </c>
      <c r="H2075">
        <v>1285.4835204999999</v>
      </c>
      <c r="I2075">
        <v>1393.7490233999999</v>
      </c>
      <c r="J2075">
        <v>1374.1693115</v>
      </c>
      <c r="K2075">
        <v>80</v>
      </c>
      <c r="L2075">
        <v>73.219459533999995</v>
      </c>
      <c r="M2075">
        <v>50</v>
      </c>
      <c r="N2075">
        <v>49.973503113</v>
      </c>
    </row>
    <row r="2076" spans="1:14" x14ac:dyDescent="0.25">
      <c r="A2076">
        <v>1733.2693870000001</v>
      </c>
      <c r="B2076" s="1">
        <f>DATE(2015,1,28) + TIME(6,27,55)</f>
        <v>42032.269386574073</v>
      </c>
      <c r="C2076">
        <v>0</v>
      </c>
      <c r="D2076">
        <v>2400</v>
      </c>
      <c r="E2076">
        <v>2400</v>
      </c>
      <c r="F2076">
        <v>0</v>
      </c>
      <c r="G2076">
        <v>1298.7917480000001</v>
      </c>
      <c r="H2076">
        <v>1285.2015381000001</v>
      </c>
      <c r="I2076">
        <v>1393.7197266000001</v>
      </c>
      <c r="J2076">
        <v>1374.1453856999999</v>
      </c>
      <c r="K2076">
        <v>80</v>
      </c>
      <c r="L2076">
        <v>73.056617736999996</v>
      </c>
      <c r="M2076">
        <v>50</v>
      </c>
      <c r="N2076">
        <v>49.973552703999999</v>
      </c>
    </row>
    <row r="2077" spans="1:14" x14ac:dyDescent="0.25">
      <c r="A2077">
        <v>1735.998206</v>
      </c>
      <c r="B2077" s="1">
        <f>DATE(2015,1,30) + TIME(23,57,25)</f>
        <v>42034.998206018521</v>
      </c>
      <c r="C2077">
        <v>0</v>
      </c>
      <c r="D2077">
        <v>2400</v>
      </c>
      <c r="E2077">
        <v>2400</v>
      </c>
      <c r="F2077">
        <v>0</v>
      </c>
      <c r="G2077">
        <v>1298.5754394999999</v>
      </c>
      <c r="H2077">
        <v>1284.9079589999999</v>
      </c>
      <c r="I2077">
        <v>1393.6905518000001</v>
      </c>
      <c r="J2077">
        <v>1374.1214600000001</v>
      </c>
      <c r="K2077">
        <v>80</v>
      </c>
      <c r="L2077">
        <v>72.890113830999994</v>
      </c>
      <c r="M2077">
        <v>50</v>
      </c>
      <c r="N2077">
        <v>49.973602294999999</v>
      </c>
    </row>
    <row r="2078" spans="1:14" x14ac:dyDescent="0.25">
      <c r="A2078">
        <v>1737</v>
      </c>
      <c r="B2078" s="1">
        <f>DATE(2015,2,1) + TIME(0,0,0)</f>
        <v>42036</v>
      </c>
      <c r="C2078">
        <v>0</v>
      </c>
      <c r="D2078">
        <v>2400</v>
      </c>
      <c r="E2078">
        <v>2400</v>
      </c>
      <c r="F2078">
        <v>0</v>
      </c>
      <c r="G2078">
        <v>1298.3590088000001</v>
      </c>
      <c r="H2078">
        <v>1284.6242675999999</v>
      </c>
      <c r="I2078">
        <v>1393.6607666</v>
      </c>
      <c r="J2078">
        <v>1374.0969238</v>
      </c>
      <c r="K2078">
        <v>80</v>
      </c>
      <c r="L2078">
        <v>72.768714904999996</v>
      </c>
      <c r="M2078">
        <v>50</v>
      </c>
      <c r="N2078">
        <v>49.973617554</v>
      </c>
    </row>
    <row r="2079" spans="1:14" x14ac:dyDescent="0.25">
      <c r="A2079">
        <v>1739.786703</v>
      </c>
      <c r="B2079" s="1">
        <f>DATE(2015,2,3) + TIME(18,52,51)</f>
        <v>42038.78670138889</v>
      </c>
      <c r="C2079">
        <v>0</v>
      </c>
      <c r="D2079">
        <v>2400</v>
      </c>
      <c r="E2079">
        <v>2400</v>
      </c>
      <c r="F2079">
        <v>0</v>
      </c>
      <c r="G2079">
        <v>1298.2561035000001</v>
      </c>
      <c r="H2079">
        <v>1284.4675293</v>
      </c>
      <c r="I2079">
        <v>1393.651001</v>
      </c>
      <c r="J2079">
        <v>1374.0889893000001</v>
      </c>
      <c r="K2079">
        <v>80</v>
      </c>
      <c r="L2079">
        <v>72.642395019999995</v>
      </c>
      <c r="M2079">
        <v>50</v>
      </c>
      <c r="N2079">
        <v>49.973670959000003</v>
      </c>
    </row>
    <row r="2080" spans="1:14" x14ac:dyDescent="0.25">
      <c r="A2080">
        <v>1742.647483</v>
      </c>
      <c r="B2080" s="1">
        <f>DATE(2015,2,6) + TIME(15,32,22)</f>
        <v>42041.647476851853</v>
      </c>
      <c r="C2080">
        <v>0</v>
      </c>
      <c r="D2080">
        <v>2400</v>
      </c>
      <c r="E2080">
        <v>2400</v>
      </c>
      <c r="F2080">
        <v>0</v>
      </c>
      <c r="G2080">
        <v>1298.0288086</v>
      </c>
      <c r="H2080">
        <v>1284.1607666</v>
      </c>
      <c r="I2080">
        <v>1393.6221923999999</v>
      </c>
      <c r="J2080">
        <v>1374.0651855000001</v>
      </c>
      <c r="K2080">
        <v>80</v>
      </c>
      <c r="L2080">
        <v>72.475891113000003</v>
      </c>
      <c r="M2080">
        <v>50</v>
      </c>
      <c r="N2080">
        <v>49.973724365000002</v>
      </c>
    </row>
    <row r="2081" spans="1:14" x14ac:dyDescent="0.25">
      <c r="A2081">
        <v>1745.5419019999999</v>
      </c>
      <c r="B2081" s="1">
        <f>DATE(2015,2,9) + TIME(13,0,20)</f>
        <v>42044.541898148149</v>
      </c>
      <c r="C2081">
        <v>0</v>
      </c>
      <c r="D2081">
        <v>2400</v>
      </c>
      <c r="E2081">
        <v>2400</v>
      </c>
      <c r="F2081">
        <v>0</v>
      </c>
      <c r="G2081">
        <v>1297.7850341999999</v>
      </c>
      <c r="H2081">
        <v>1283.8272704999999</v>
      </c>
      <c r="I2081">
        <v>1393.5931396000001</v>
      </c>
      <c r="J2081">
        <v>1374.0412598</v>
      </c>
      <c r="K2081">
        <v>80</v>
      </c>
      <c r="L2081">
        <v>72.295310974000003</v>
      </c>
      <c r="M2081">
        <v>50</v>
      </c>
      <c r="N2081">
        <v>49.973773956000002</v>
      </c>
    </row>
    <row r="2082" spans="1:14" x14ac:dyDescent="0.25">
      <c r="A2082">
        <v>1748.476942</v>
      </c>
      <c r="B2082" s="1">
        <f>DATE(2015,2,12) + TIME(11,26,47)</f>
        <v>42047.47693287037</v>
      </c>
      <c r="C2082">
        <v>0</v>
      </c>
      <c r="D2082">
        <v>2400</v>
      </c>
      <c r="E2082">
        <v>2400</v>
      </c>
      <c r="F2082">
        <v>0</v>
      </c>
      <c r="G2082">
        <v>1297.5322266000001</v>
      </c>
      <c r="H2082">
        <v>1283.4794922000001</v>
      </c>
      <c r="I2082">
        <v>1393.5643310999999</v>
      </c>
      <c r="J2082">
        <v>1374.0174560999999</v>
      </c>
      <c r="K2082">
        <v>80</v>
      </c>
      <c r="L2082">
        <v>72.107696532999995</v>
      </c>
      <c r="M2082">
        <v>50</v>
      </c>
      <c r="N2082">
        <v>49.973827362000002</v>
      </c>
    </row>
    <row r="2083" spans="1:14" x14ac:dyDescent="0.25">
      <c r="A2083">
        <v>1751.4596200000001</v>
      </c>
      <c r="B2083" s="1">
        <f>DATE(2015,2,15) + TIME(11,1,51)</f>
        <v>42050.459618055553</v>
      </c>
      <c r="C2083">
        <v>0</v>
      </c>
      <c r="D2083">
        <v>2400</v>
      </c>
      <c r="E2083">
        <v>2400</v>
      </c>
      <c r="F2083">
        <v>0</v>
      </c>
      <c r="G2083">
        <v>1297.2712402</v>
      </c>
      <c r="H2083">
        <v>1283.1191406</v>
      </c>
      <c r="I2083">
        <v>1393.5357666</v>
      </c>
      <c r="J2083">
        <v>1373.9937743999999</v>
      </c>
      <c r="K2083">
        <v>80</v>
      </c>
      <c r="L2083">
        <v>71.913887024000005</v>
      </c>
      <c r="M2083">
        <v>50</v>
      </c>
      <c r="N2083">
        <v>49.973876953000001</v>
      </c>
    </row>
    <row r="2084" spans="1:14" x14ac:dyDescent="0.25">
      <c r="A2084">
        <v>1754.496881</v>
      </c>
      <c r="B2084" s="1">
        <f>DATE(2015,2,18) + TIME(11,55,30)</f>
        <v>42053.496874999997</v>
      </c>
      <c r="C2084">
        <v>0</v>
      </c>
      <c r="D2084">
        <v>2400</v>
      </c>
      <c r="E2084">
        <v>2400</v>
      </c>
      <c r="F2084">
        <v>0</v>
      </c>
      <c r="G2084">
        <v>1297.0018310999999</v>
      </c>
      <c r="H2084">
        <v>1282.7459716999999</v>
      </c>
      <c r="I2084">
        <v>1393.5072021000001</v>
      </c>
      <c r="J2084">
        <v>1373.9699707</v>
      </c>
      <c r="K2084">
        <v>80</v>
      </c>
      <c r="L2084">
        <v>71.713287354000002</v>
      </c>
      <c r="M2084">
        <v>50</v>
      </c>
      <c r="N2084">
        <v>49.973930359000001</v>
      </c>
    </row>
    <row r="2085" spans="1:14" x14ac:dyDescent="0.25">
      <c r="A2085">
        <v>1757.5805989999999</v>
      </c>
      <c r="B2085" s="1">
        <f>DATE(2015,2,21) + TIME(13,56,3)</f>
        <v>42056.580590277779</v>
      </c>
      <c r="C2085">
        <v>0</v>
      </c>
      <c r="D2085">
        <v>2400</v>
      </c>
      <c r="E2085">
        <v>2400</v>
      </c>
      <c r="F2085">
        <v>0</v>
      </c>
      <c r="G2085">
        <v>1296.7236327999999</v>
      </c>
      <c r="H2085">
        <v>1282.3591309000001</v>
      </c>
      <c r="I2085">
        <v>1393.4785156</v>
      </c>
      <c r="J2085">
        <v>1373.9461670000001</v>
      </c>
      <c r="K2085">
        <v>80</v>
      </c>
      <c r="L2085">
        <v>71.505119324000006</v>
      </c>
      <c r="M2085">
        <v>50</v>
      </c>
      <c r="N2085">
        <v>49.973983765</v>
      </c>
    </row>
    <row r="2086" spans="1:14" x14ac:dyDescent="0.25">
      <c r="A2086">
        <v>1760.695639</v>
      </c>
      <c r="B2086" s="1">
        <f>DATE(2015,2,24) + TIME(16,41,43)</f>
        <v>42059.695636574077</v>
      </c>
      <c r="C2086">
        <v>0</v>
      </c>
      <c r="D2086">
        <v>2400</v>
      </c>
      <c r="E2086">
        <v>2400</v>
      </c>
      <c r="F2086">
        <v>0</v>
      </c>
      <c r="G2086">
        <v>1296.4370117000001</v>
      </c>
      <c r="H2086">
        <v>1281.9595947</v>
      </c>
      <c r="I2086">
        <v>1393.4498291</v>
      </c>
      <c r="J2086">
        <v>1373.9222411999999</v>
      </c>
      <c r="K2086">
        <v>80</v>
      </c>
      <c r="L2086">
        <v>71.289283752000003</v>
      </c>
      <c r="M2086">
        <v>50</v>
      </c>
      <c r="N2086">
        <v>49.974037170000003</v>
      </c>
    </row>
    <row r="2087" spans="1:14" x14ac:dyDescent="0.25">
      <c r="A2087">
        <v>1763.849082</v>
      </c>
      <c r="B2087" s="1">
        <f>DATE(2015,2,27) + TIME(20,22,40)</f>
        <v>42062.849074074074</v>
      </c>
      <c r="C2087">
        <v>0</v>
      </c>
      <c r="D2087">
        <v>2400</v>
      </c>
      <c r="E2087">
        <v>2400</v>
      </c>
      <c r="F2087">
        <v>0</v>
      </c>
      <c r="G2087">
        <v>1296.1434326000001</v>
      </c>
      <c r="H2087">
        <v>1281.5489502</v>
      </c>
      <c r="I2087">
        <v>1393.4213867000001</v>
      </c>
      <c r="J2087">
        <v>1373.8983154</v>
      </c>
      <c r="K2087">
        <v>80</v>
      </c>
      <c r="L2087">
        <v>71.065795898000005</v>
      </c>
      <c r="M2087">
        <v>50</v>
      </c>
      <c r="N2087">
        <v>49.974090576000002</v>
      </c>
    </row>
    <row r="2088" spans="1:14" x14ac:dyDescent="0.25">
      <c r="A2088">
        <v>1765</v>
      </c>
      <c r="B2088" s="1">
        <f>DATE(2015,3,1) + TIME(0,0,0)</f>
        <v>42064</v>
      </c>
      <c r="C2088">
        <v>0</v>
      </c>
      <c r="D2088">
        <v>2400</v>
      </c>
      <c r="E2088">
        <v>2400</v>
      </c>
      <c r="F2088">
        <v>0</v>
      </c>
      <c r="G2088">
        <v>1295.854126</v>
      </c>
      <c r="H2088">
        <v>1281.1583252</v>
      </c>
      <c r="I2088">
        <v>1393.3922118999999</v>
      </c>
      <c r="J2088">
        <v>1373.8737793</v>
      </c>
      <c r="K2088">
        <v>80</v>
      </c>
      <c r="L2088">
        <v>70.894386291999993</v>
      </c>
      <c r="M2088">
        <v>50</v>
      </c>
      <c r="N2088">
        <v>49.974105835000003</v>
      </c>
    </row>
    <row r="2089" spans="1:14" x14ac:dyDescent="0.25">
      <c r="A2089">
        <v>1768.1995300000001</v>
      </c>
      <c r="B2089" s="1">
        <f>DATE(2015,3,4) + TIME(4,47,19)</f>
        <v>42067.199525462966</v>
      </c>
      <c r="C2089">
        <v>0</v>
      </c>
      <c r="D2089">
        <v>2400</v>
      </c>
      <c r="E2089">
        <v>2400</v>
      </c>
      <c r="F2089">
        <v>0</v>
      </c>
      <c r="G2089">
        <v>1295.7155762</v>
      </c>
      <c r="H2089">
        <v>1280.9404297000001</v>
      </c>
      <c r="I2089">
        <v>1393.3826904</v>
      </c>
      <c r="J2089">
        <v>1373.8658447</v>
      </c>
      <c r="K2089">
        <v>80</v>
      </c>
      <c r="L2089">
        <v>70.729522704999994</v>
      </c>
      <c r="M2089">
        <v>50</v>
      </c>
      <c r="N2089">
        <v>49.974163054999998</v>
      </c>
    </row>
    <row r="2090" spans="1:14" x14ac:dyDescent="0.25">
      <c r="A2090">
        <v>1771.475383</v>
      </c>
      <c r="B2090" s="1">
        <f>DATE(2015,3,7) + TIME(11,24,33)</f>
        <v>42070.475381944445</v>
      </c>
      <c r="C2090">
        <v>0</v>
      </c>
      <c r="D2090">
        <v>2400</v>
      </c>
      <c r="E2090">
        <v>2400</v>
      </c>
      <c r="F2090">
        <v>0</v>
      </c>
      <c r="G2090">
        <v>1295.4185791</v>
      </c>
      <c r="H2090">
        <v>1280.527832</v>
      </c>
      <c r="I2090">
        <v>1393.354126</v>
      </c>
      <c r="J2090">
        <v>1373.8417969</v>
      </c>
      <c r="K2090">
        <v>80</v>
      </c>
      <c r="L2090">
        <v>70.499076842999997</v>
      </c>
      <c r="M2090">
        <v>50</v>
      </c>
      <c r="N2090">
        <v>49.974220275999997</v>
      </c>
    </row>
    <row r="2091" spans="1:14" x14ac:dyDescent="0.25">
      <c r="A2091">
        <v>1774.805155</v>
      </c>
      <c r="B2091" s="1">
        <f>DATE(2015,3,10) + TIME(19,19,25)</f>
        <v>42073.805150462962</v>
      </c>
      <c r="C2091">
        <v>0</v>
      </c>
      <c r="D2091">
        <v>2400</v>
      </c>
      <c r="E2091">
        <v>2400</v>
      </c>
      <c r="F2091">
        <v>0</v>
      </c>
      <c r="G2091">
        <v>1295.1009521000001</v>
      </c>
      <c r="H2091">
        <v>1280.0804443</v>
      </c>
      <c r="I2091">
        <v>1393.3253173999999</v>
      </c>
      <c r="J2091">
        <v>1373.8175048999999</v>
      </c>
      <c r="K2091">
        <v>80</v>
      </c>
      <c r="L2091">
        <v>70.245361328000001</v>
      </c>
      <c r="M2091">
        <v>50</v>
      </c>
      <c r="N2091">
        <v>49.974273682000003</v>
      </c>
    </row>
    <row r="2092" spans="1:14" x14ac:dyDescent="0.25">
      <c r="A2092">
        <v>1778.186854</v>
      </c>
      <c r="B2092" s="1">
        <f>DATE(2015,3,14) + TIME(4,29,4)</f>
        <v>42077.186851851853</v>
      </c>
      <c r="C2092">
        <v>0</v>
      </c>
      <c r="D2092">
        <v>2400</v>
      </c>
      <c r="E2092">
        <v>2400</v>
      </c>
      <c r="F2092">
        <v>0</v>
      </c>
      <c r="G2092">
        <v>1294.7729492000001</v>
      </c>
      <c r="H2092">
        <v>1279.6157227000001</v>
      </c>
      <c r="I2092">
        <v>1393.2963867000001</v>
      </c>
      <c r="J2092">
        <v>1373.7929687999999</v>
      </c>
      <c r="K2092">
        <v>80</v>
      </c>
      <c r="L2092">
        <v>69.977828978999995</v>
      </c>
      <c r="M2092">
        <v>50</v>
      </c>
      <c r="N2092">
        <v>49.974327086999999</v>
      </c>
    </row>
    <row r="2093" spans="1:14" x14ac:dyDescent="0.25">
      <c r="A2093">
        <v>1781.6286399999999</v>
      </c>
      <c r="B2093" s="1">
        <f>DATE(2015,3,17) + TIME(15,5,14)</f>
        <v>42080.628634259258</v>
      </c>
      <c r="C2093">
        <v>0</v>
      </c>
      <c r="D2093">
        <v>2400</v>
      </c>
      <c r="E2093">
        <v>2400</v>
      </c>
      <c r="F2093">
        <v>0</v>
      </c>
      <c r="G2093">
        <v>1294.4364014</v>
      </c>
      <c r="H2093">
        <v>1279.137207</v>
      </c>
      <c r="I2093">
        <v>1393.2672118999999</v>
      </c>
      <c r="J2093">
        <v>1373.7681885</v>
      </c>
      <c r="K2093">
        <v>80</v>
      </c>
      <c r="L2093">
        <v>69.697021484000004</v>
      </c>
      <c r="M2093">
        <v>50</v>
      </c>
      <c r="N2093">
        <v>49.974384307999998</v>
      </c>
    </row>
    <row r="2094" spans="1:14" x14ac:dyDescent="0.25">
      <c r="A2094">
        <v>1785.138854</v>
      </c>
      <c r="B2094" s="1">
        <f>DATE(2015,3,21) + TIME(3,19,56)</f>
        <v>42084.138842592591</v>
      </c>
      <c r="C2094">
        <v>0</v>
      </c>
      <c r="D2094">
        <v>2400</v>
      </c>
      <c r="E2094">
        <v>2400</v>
      </c>
      <c r="F2094">
        <v>0</v>
      </c>
      <c r="G2094">
        <v>1294.0914307</v>
      </c>
      <c r="H2094">
        <v>1278.6450195</v>
      </c>
      <c r="I2094">
        <v>1393.2376709</v>
      </c>
      <c r="J2094">
        <v>1373.7430420000001</v>
      </c>
      <c r="K2094">
        <v>80</v>
      </c>
      <c r="L2094">
        <v>69.402404785000002</v>
      </c>
      <c r="M2094">
        <v>50</v>
      </c>
      <c r="N2094">
        <v>49.974441528</v>
      </c>
    </row>
    <row r="2095" spans="1:14" x14ac:dyDescent="0.25">
      <c r="A2095">
        <v>1788.7263270000001</v>
      </c>
      <c r="B2095" s="1">
        <f>DATE(2015,3,24) + TIME(17,25,54)</f>
        <v>42087.726319444446</v>
      </c>
      <c r="C2095">
        <v>0</v>
      </c>
      <c r="D2095">
        <v>2400</v>
      </c>
      <c r="E2095">
        <v>2400</v>
      </c>
      <c r="F2095">
        <v>0</v>
      </c>
      <c r="G2095">
        <v>1293.7373047000001</v>
      </c>
      <c r="H2095">
        <v>1278.1381836</v>
      </c>
      <c r="I2095">
        <v>1393.2077637</v>
      </c>
      <c r="J2095">
        <v>1373.7175293</v>
      </c>
      <c r="K2095">
        <v>80</v>
      </c>
      <c r="L2095">
        <v>69.092506408999995</v>
      </c>
      <c r="M2095">
        <v>50</v>
      </c>
      <c r="N2095">
        <v>49.974494933999999</v>
      </c>
    </row>
    <row r="2096" spans="1:14" x14ac:dyDescent="0.25">
      <c r="A2096">
        <v>1792.388635</v>
      </c>
      <c r="B2096" s="1">
        <f>DATE(2015,3,28) + TIME(9,19,38)</f>
        <v>42091.38863425926</v>
      </c>
      <c r="C2096">
        <v>0</v>
      </c>
      <c r="D2096">
        <v>2400</v>
      </c>
      <c r="E2096">
        <v>2400</v>
      </c>
      <c r="F2096">
        <v>0</v>
      </c>
      <c r="G2096">
        <v>1293.3735352000001</v>
      </c>
      <c r="H2096">
        <v>1277.6162108999999</v>
      </c>
      <c r="I2096">
        <v>1393.1773682</v>
      </c>
      <c r="J2096">
        <v>1373.6914062000001</v>
      </c>
      <c r="K2096">
        <v>80</v>
      </c>
      <c r="L2096">
        <v>68.766029357999997</v>
      </c>
      <c r="M2096">
        <v>50</v>
      </c>
      <c r="N2096">
        <v>49.974552154999998</v>
      </c>
    </row>
    <row r="2097" spans="1:14" x14ac:dyDescent="0.25">
      <c r="A2097">
        <v>1796</v>
      </c>
      <c r="B2097" s="1">
        <f>DATE(2015,4,1) + TIME(0,0,0)</f>
        <v>42095</v>
      </c>
      <c r="C2097">
        <v>0</v>
      </c>
      <c r="D2097">
        <v>2400</v>
      </c>
      <c r="E2097">
        <v>2400</v>
      </c>
      <c r="F2097">
        <v>0</v>
      </c>
      <c r="G2097">
        <v>1293.0009766000001</v>
      </c>
      <c r="H2097">
        <v>1277.0800781</v>
      </c>
      <c r="I2097">
        <v>1393.1464844</v>
      </c>
      <c r="J2097">
        <v>1373.6649170000001</v>
      </c>
      <c r="K2097">
        <v>80</v>
      </c>
      <c r="L2097">
        <v>68.424301146999994</v>
      </c>
      <c r="M2097">
        <v>50</v>
      </c>
      <c r="N2097">
        <v>49.974609375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2022-05-31T08:51:02Z</dcterms:created>
  <dcterms:modified xsi:type="dcterms:W3CDTF">2022-05-31T08:51:46Z</dcterms:modified>
</cp:coreProperties>
</file>